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ECC\dev\X-Panel\frontend\src\assets\templates\mbax\"/>
    </mc:Choice>
  </mc:AlternateContent>
  <xr:revisionPtr revIDLastSave="0" documentId="13_ncr:1_{080664B7-A820-428A-9D94-9667740FBB55}" xr6:coauthVersionLast="47" xr6:coauthVersionMax="47" xr10:uidLastSave="{00000000-0000-0000-0000-000000000000}"/>
  <bookViews>
    <workbookView xWindow="-108" yWindow="-108" windowWidth="23256" windowHeight="12456" tabRatio="702" firstSheet="3" activeTab="10" xr2:uid="{00000000-000D-0000-FFFF-FFFF00000000}"/>
  </bookViews>
  <sheets>
    <sheet name="Fr-01" sheetId="10" r:id="rId1"/>
    <sheet name="Fr-02" sheetId="9" r:id="rId2"/>
    <sheet name="Fr-03.1" sheetId="3" r:id="rId3"/>
    <sheet name="Fr-03.2" sheetId="16" r:id="rId4"/>
    <sheet name="Screen scope 3" sheetId="26" r:id="rId5"/>
    <sheet name="Fr-04.1" sheetId="1" r:id="rId6"/>
    <sheet name="Fr-04.2" sheetId="15" r:id="rId7"/>
    <sheet name="Fr-05" sheetId="6" r:id="rId8"/>
    <sheet name="EF TGO AR4" sheetId="13" state="hidden" r:id="rId9"/>
    <sheet name="EF TGO AR5" sheetId="14" r:id="rId10"/>
    <sheet name="EF (1)" sheetId="38" r:id="rId11"/>
    <sheet name="บันทึกการปรับปรุง" sheetId="11" r:id="rId12"/>
    <sheet name="1.1 Stationary " sheetId="17" r:id="rId13"/>
    <sheet name="1.2 Mobile" sheetId="18" r:id="rId14"/>
    <sheet name="1.4 Fugitive Emission" sheetId="46" r:id="rId15"/>
    <sheet name="1.4.1 สารทำความเย็น" sheetId="36" r:id="rId16"/>
    <sheet name="1.4.2 สารดับเพลิง" sheetId="34" r:id="rId17"/>
    <sheet name="1.4.3 Septic" sheetId="23" r:id="rId18"/>
    <sheet name="1.4.4 ปุ๋ย" sheetId="24" r:id="rId19"/>
    <sheet name="1.4.5 ระบบบำบัดน้ำเสีย WWTP" sheetId="39" r:id="rId20"/>
    <sheet name="Scope 2.1 Purchased Electricity" sheetId="25" r:id="rId21"/>
    <sheet name="Scope 3.1.1 วัตถุดิบผลิต" sheetId="27" r:id="rId22"/>
    <sheet name="Scope 3.1.2 น้ำประปา" sheetId="28" r:id="rId23"/>
    <sheet name="Scope 3.1.3 กระดาษ A4" sheetId="35" r:id="rId24"/>
    <sheet name="Scope 3.1.4 จ้างเหมารถพนักงาน" sheetId="45" r:id="rId25"/>
    <sheet name="Scope 3.4" sheetId="29" r:id="rId26"/>
    <sheet name="Scope 3.5" sheetId="30" r:id="rId27"/>
    <sheet name="Scope 3.7" sheetId="31" r:id="rId28"/>
    <sheet name="Scope 3.9" sheetId="32" r:id="rId29"/>
    <sheet name="Scope 3.12" sheetId="33" r:id="rId30"/>
  </sheets>
  <externalReferences>
    <externalReference r:id="rId31"/>
    <externalReference r:id="rId3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8" l="1"/>
  <c r="E18" i="38"/>
  <c r="B53" i="1" l="1"/>
  <c r="B52" i="1"/>
  <c r="B51" i="1"/>
  <c r="C3" i="26"/>
  <c r="H12" i="26"/>
  <c r="E33" i="26"/>
  <c r="E4" i="26"/>
  <c r="E3" i="26"/>
  <c r="H4" i="26"/>
  <c r="H3" i="26"/>
  <c r="C69" i="16"/>
  <c r="C35" i="16"/>
  <c r="B30" i="1"/>
  <c r="B32" i="1"/>
  <c r="D5" i="35"/>
  <c r="E11" i="25"/>
  <c r="E8" i="25" s="1"/>
  <c r="E7" i="25"/>
  <c r="I3" i="26" l="1"/>
  <c r="I62" i="23"/>
  <c r="I58" i="23"/>
  <c r="I57" i="23"/>
  <c r="I56" i="23"/>
  <c r="I50" i="23"/>
  <c r="F14" i="18"/>
  <c r="F33" i="18"/>
  <c r="I10" i="17"/>
  <c r="A4" i="17" l="1"/>
  <c r="E13" i="1" l="1"/>
  <c r="J8" i="18"/>
  <c r="B26" i="1"/>
  <c r="M26" i="1"/>
  <c r="B11" i="1"/>
  <c r="F5" i="36" l="1"/>
  <c r="D4" i="17" l="1"/>
  <c r="H7" i="36"/>
  <c r="E43" i="1" l="1"/>
  <c r="E42" i="1"/>
  <c r="C36" i="38"/>
  <c r="E41" i="15" s="1"/>
  <c r="C35" i="38"/>
  <c r="E42" i="15" s="1"/>
  <c r="C34" i="38"/>
  <c r="E40" i="15" s="1"/>
  <c r="M7" i="36"/>
  <c r="J32" i="16"/>
  <c r="C14" i="26"/>
  <c r="C13" i="26"/>
  <c r="C32" i="16" s="1"/>
  <c r="L13" i="45"/>
  <c r="J13" i="45"/>
  <c r="L11" i="45"/>
  <c r="K11" i="45"/>
  <c r="J11" i="45"/>
  <c r="L9" i="45"/>
  <c r="K9" i="45"/>
  <c r="J9" i="45" s="1"/>
  <c r="L7" i="45"/>
  <c r="K7" i="45"/>
  <c r="J7" i="45" s="1"/>
  <c r="L5" i="45"/>
  <c r="K5" i="45"/>
  <c r="J5" i="45" s="1"/>
  <c r="B46" i="23"/>
  <c r="B47" i="23"/>
  <c r="B48" i="23"/>
  <c r="B49" i="23"/>
  <c r="B50" i="23"/>
  <c r="B45" i="23"/>
  <c r="B40" i="23"/>
  <c r="B41" i="23"/>
  <c r="B42" i="23"/>
  <c r="B43" i="23"/>
  <c r="B44" i="23"/>
  <c r="B39" i="23"/>
  <c r="J4" i="45" l="1"/>
  <c r="E13" i="26" s="1"/>
  <c r="E41" i="1"/>
  <c r="J31" i="16"/>
  <c r="G12" i="26"/>
  <c r="D12" i="26"/>
  <c r="C12" i="26"/>
  <c r="C31" i="16" s="1"/>
  <c r="H32" i="15"/>
  <c r="H32" i="1"/>
  <c r="AX12" i="1"/>
  <c r="N4" i="32"/>
  <c r="F79" i="27"/>
  <c r="I17" i="27"/>
  <c r="J17" i="27"/>
  <c r="K17" i="27"/>
  <c r="L17" i="27"/>
  <c r="M17" i="27"/>
  <c r="N17" i="27"/>
  <c r="O17" i="27"/>
  <c r="P17" i="27"/>
  <c r="Q17" i="27"/>
  <c r="R17" i="27"/>
  <c r="S17" i="27"/>
  <c r="E14" i="26" l="1"/>
  <c r="I14" i="26" s="1"/>
  <c r="Z37" i="15"/>
  <c r="P37" i="15"/>
  <c r="P38" i="1"/>
  <c r="C38" i="1"/>
  <c r="C37" i="15" s="1"/>
  <c r="B38" i="1"/>
  <c r="B37" i="15" s="1"/>
  <c r="E5" i="34"/>
  <c r="D38" i="1" s="1"/>
  <c r="G11" i="29"/>
  <c r="G8" i="29"/>
  <c r="G7" i="29"/>
  <c r="G5" i="29"/>
  <c r="P5" i="36"/>
  <c r="Z42" i="15"/>
  <c r="Q42" i="15"/>
  <c r="E39" i="15"/>
  <c r="E38" i="15"/>
  <c r="C42" i="15"/>
  <c r="B42" i="15"/>
  <c r="H24" i="15"/>
  <c r="G24" i="15"/>
  <c r="Q24" i="15" s="1"/>
  <c r="H23" i="15"/>
  <c r="G23" i="15"/>
  <c r="H22" i="15"/>
  <c r="G22" i="15"/>
  <c r="Z24" i="15"/>
  <c r="Z18" i="15"/>
  <c r="Z19" i="15"/>
  <c r="Z20" i="15"/>
  <c r="Z21" i="15"/>
  <c r="Z22" i="15"/>
  <c r="Z23" i="15"/>
  <c r="H15" i="15"/>
  <c r="G15" i="15"/>
  <c r="H14" i="15"/>
  <c r="G14" i="15"/>
  <c r="G21" i="15"/>
  <c r="G20" i="15"/>
  <c r="G19" i="15"/>
  <c r="G18" i="15"/>
  <c r="C18" i="15"/>
  <c r="C19" i="15"/>
  <c r="C20" i="15"/>
  <c r="C21" i="15"/>
  <c r="C22" i="15"/>
  <c r="C23" i="15"/>
  <c r="C24" i="15"/>
  <c r="B18" i="15"/>
  <c r="B19" i="15"/>
  <c r="B20" i="15"/>
  <c r="B21" i="15"/>
  <c r="B22" i="15"/>
  <c r="B23" i="15"/>
  <c r="B24" i="15"/>
  <c r="Q43" i="1"/>
  <c r="Q41" i="1"/>
  <c r="E40" i="1"/>
  <c r="E39" i="1"/>
  <c r="Q39" i="1" s="1"/>
  <c r="H15" i="1"/>
  <c r="G15" i="1"/>
  <c r="H14" i="1"/>
  <c r="G14" i="1"/>
  <c r="D5" i="17"/>
  <c r="A5" i="17"/>
  <c r="H24" i="1"/>
  <c r="G24" i="1"/>
  <c r="H23" i="1"/>
  <c r="G23" i="1"/>
  <c r="H22" i="1"/>
  <c r="G22" i="1"/>
  <c r="G20" i="1"/>
  <c r="G18" i="1"/>
  <c r="E9" i="18"/>
  <c r="D9" i="18"/>
  <c r="E8" i="18"/>
  <c r="E7" i="18"/>
  <c r="D8" i="18"/>
  <c r="D7" i="18"/>
  <c r="A9" i="18"/>
  <c r="A8" i="18"/>
  <c r="A7" i="18"/>
  <c r="E6" i="18"/>
  <c r="D6" i="18"/>
  <c r="A6" i="18"/>
  <c r="E5" i="18"/>
  <c r="D5" i="18"/>
  <c r="A5" i="18"/>
  <c r="AA38" i="1" l="1"/>
  <c r="D37" i="15"/>
  <c r="AA37" i="15" s="1"/>
  <c r="AN38" i="1"/>
  <c r="AN37" i="15"/>
  <c r="Q37" i="15"/>
  <c r="AO37" i="15" s="1"/>
  <c r="Q38" i="1"/>
  <c r="AO38" i="1" s="1"/>
  <c r="Q23" i="1"/>
  <c r="Q23" i="15"/>
  <c r="Q22" i="15"/>
  <c r="M27" i="15" l="1"/>
  <c r="M28" i="15"/>
  <c r="M26" i="15"/>
  <c r="J39" i="10"/>
  <c r="B35" i="3"/>
  <c r="B60" i="1" s="1"/>
  <c r="B59" i="15" s="1"/>
  <c r="B37" i="6" s="1"/>
  <c r="H37" i="6"/>
  <c r="AS59" i="15" a="1"/>
  <c r="AS59" i="15" s="1"/>
  <c r="AS60" i="1" a="1"/>
  <c r="AS60" i="1" s="1"/>
  <c r="J4" i="6"/>
  <c r="AR4" i="15"/>
  <c r="P4" i="16"/>
  <c r="M4" i="3"/>
  <c r="M4" i="9" l="1"/>
  <c r="H32" i="10"/>
  <c r="H29" i="10"/>
  <c r="H27" i="10"/>
  <c r="H20" i="10"/>
  <c r="H21" i="10"/>
  <c r="H16" i="10"/>
  <c r="H17" i="10"/>
  <c r="H18" i="10"/>
  <c r="H19" i="10"/>
  <c r="H13" i="10"/>
  <c r="H14" i="10"/>
  <c r="H15" i="10"/>
  <c r="H9" i="10"/>
  <c r="B49" i="15"/>
  <c r="Z45" i="15"/>
  <c r="Z44" i="15"/>
  <c r="Q45" i="15"/>
  <c r="C45" i="15"/>
  <c r="C44" i="15"/>
  <c r="B45" i="15"/>
  <c r="B44" i="15"/>
  <c r="Z39" i="15"/>
  <c r="Z40" i="15"/>
  <c r="Z41" i="15"/>
  <c r="Z38" i="15"/>
  <c r="Z36" i="15"/>
  <c r="P36" i="15"/>
  <c r="Z12" i="15"/>
  <c r="Z13" i="15"/>
  <c r="Z14" i="15"/>
  <c r="Z15" i="15"/>
  <c r="Z16" i="15"/>
  <c r="Z17" i="15"/>
  <c r="Z25" i="15"/>
  <c r="Z26" i="15"/>
  <c r="Z27" i="15"/>
  <c r="Z28" i="15"/>
  <c r="Z29" i="15"/>
  <c r="Z30" i="15"/>
  <c r="Z31" i="15"/>
  <c r="Z32" i="15"/>
  <c r="Z11" i="15"/>
  <c r="G17" i="15"/>
  <c r="G12" i="15"/>
  <c r="Q25" i="15"/>
  <c r="AO25" i="15" s="1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Q26" i="15"/>
  <c r="Q27" i="15"/>
  <c r="Q28" i="15"/>
  <c r="G11" i="15"/>
  <c r="C14" i="15"/>
  <c r="C15" i="15"/>
  <c r="C17" i="15"/>
  <c r="C31" i="15"/>
  <c r="B31" i="15"/>
  <c r="B14" i="15"/>
  <c r="B15" i="15"/>
  <c r="B16" i="15"/>
  <c r="B17" i="15"/>
  <c r="B25" i="15"/>
  <c r="B10" i="15"/>
  <c r="B121" i="38"/>
  <c r="Q42" i="1" s="1"/>
  <c r="C41" i="15"/>
  <c r="C40" i="15"/>
  <c r="B41" i="15"/>
  <c r="B40" i="15"/>
  <c r="C39" i="15"/>
  <c r="B39" i="15"/>
  <c r="C38" i="15"/>
  <c r="B38" i="15"/>
  <c r="Q14" i="1" l="1"/>
  <c r="Q15" i="1"/>
  <c r="Q22" i="1"/>
  <c r="Q24" i="1" l="1"/>
  <c r="F45" i="18" l="1"/>
  <c r="F46" i="18"/>
  <c r="F47" i="18"/>
  <c r="F48" i="18"/>
  <c r="F49" i="18"/>
  <c r="F50" i="18"/>
  <c r="F51" i="18"/>
  <c r="F52" i="18"/>
  <c r="F53" i="18"/>
  <c r="F54" i="18"/>
  <c r="F55" i="18"/>
  <c r="F5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F35" i="18"/>
  <c r="F36" i="18"/>
  <c r="F37" i="18"/>
  <c r="F38" i="18"/>
  <c r="F39" i="18"/>
  <c r="F40" i="18"/>
  <c r="F41" i="18"/>
  <c r="F42" i="18"/>
  <c r="F16" i="18"/>
  <c r="G20" i="29"/>
  <c r="G19" i="29"/>
  <c r="G18" i="29"/>
  <c r="G17" i="29"/>
  <c r="G16" i="29"/>
  <c r="G15" i="29"/>
  <c r="G14" i="29"/>
  <c r="G13" i="29"/>
  <c r="F20" i="29"/>
  <c r="F19" i="29"/>
  <c r="F18" i="29"/>
  <c r="F17" i="29"/>
  <c r="F16" i="29"/>
  <c r="F15" i="29"/>
  <c r="F14" i="29"/>
  <c r="F13" i="29"/>
  <c r="E14" i="29"/>
  <c r="E15" i="29"/>
  <c r="E16" i="29"/>
  <c r="E17" i="29"/>
  <c r="E18" i="29"/>
  <c r="E19" i="29"/>
  <c r="E20" i="29"/>
  <c r="E13" i="29"/>
  <c r="A14" i="29"/>
  <c r="A15" i="29"/>
  <c r="A16" i="29"/>
  <c r="A17" i="29"/>
  <c r="A18" i="29"/>
  <c r="A19" i="29"/>
  <c r="A20" i="29"/>
  <c r="A13" i="29"/>
  <c r="Z52" i="1"/>
  <c r="Z51" i="15" s="1"/>
  <c r="Z53" i="1"/>
  <c r="Z52" i="15" s="1"/>
  <c r="Z51" i="1"/>
  <c r="Z50" i="15" s="1"/>
  <c r="J26" i="16"/>
  <c r="D7" i="26"/>
  <c r="C7" i="26"/>
  <c r="C26" i="16" s="1"/>
  <c r="A17" i="27"/>
  <c r="B17" i="27"/>
  <c r="E17" i="27"/>
  <c r="G17" i="27"/>
  <c r="H17" i="27"/>
  <c r="A18" i="27"/>
  <c r="B18" i="27"/>
  <c r="E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A20" i="27"/>
  <c r="B20" i="27"/>
  <c r="E20" i="27"/>
  <c r="G20" i="27"/>
  <c r="A21" i="27"/>
  <c r="B21" i="27"/>
  <c r="E21" i="27"/>
  <c r="G21" i="27"/>
  <c r="A22" i="27"/>
  <c r="B22" i="27"/>
  <c r="E22" i="27"/>
  <c r="G22" i="27"/>
  <c r="A23" i="27"/>
  <c r="B23" i="27"/>
  <c r="E23" i="27"/>
  <c r="G23" i="27"/>
  <c r="A24" i="27"/>
  <c r="B24" i="27"/>
  <c r="E24" i="27"/>
  <c r="G24" i="27"/>
  <c r="E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B16" i="27"/>
  <c r="A16" i="27"/>
  <c r="F16" i="27"/>
  <c r="D13" i="29" l="1"/>
  <c r="K13" i="29" s="1"/>
  <c r="L13" i="29" s="1"/>
  <c r="F44" i="18"/>
  <c r="F8" i="18" s="1"/>
  <c r="F43" i="18"/>
  <c r="F6" i="18"/>
  <c r="P10" i="32"/>
  <c r="P11" i="32"/>
  <c r="P12" i="32"/>
  <c r="P13" i="32"/>
  <c r="P14" i="32"/>
  <c r="P15" i="32"/>
  <c r="P24" i="32"/>
  <c r="P25" i="32"/>
  <c r="P30" i="32"/>
  <c r="P31" i="32"/>
  <c r="P32" i="32"/>
  <c r="P33" i="32"/>
  <c r="P34" i="32"/>
  <c r="P35" i="32"/>
  <c r="P44" i="32"/>
  <c r="P45" i="32"/>
  <c r="P50" i="32"/>
  <c r="P51" i="32"/>
  <c r="P52" i="32"/>
  <c r="P53" i="32"/>
  <c r="P54" i="32"/>
  <c r="P55" i="32"/>
  <c r="P64" i="32"/>
  <c r="P65" i="32"/>
  <c r="P70" i="32"/>
  <c r="P71" i="32"/>
  <c r="P72" i="32"/>
  <c r="P73" i="32"/>
  <c r="P74" i="32"/>
  <c r="P75" i="32"/>
  <c r="P84" i="32"/>
  <c r="P85" i="32"/>
  <c r="P90" i="32"/>
  <c r="P91" i="32"/>
  <c r="P92" i="32"/>
  <c r="P93" i="32"/>
  <c r="P94" i="32"/>
  <c r="P95" i="32"/>
  <c r="P104" i="32"/>
  <c r="P105" i="32"/>
  <c r="P110" i="32"/>
  <c r="P111" i="32"/>
  <c r="P112" i="32"/>
  <c r="P113" i="32"/>
  <c r="P114" i="32"/>
  <c r="P115" i="32"/>
  <c r="P124" i="32"/>
  <c r="P125" i="32"/>
  <c r="P130" i="32"/>
  <c r="P131" i="32"/>
  <c r="P132" i="32"/>
  <c r="P133" i="32"/>
  <c r="P134" i="32"/>
  <c r="P135" i="32"/>
  <c r="P144" i="32"/>
  <c r="P145" i="32"/>
  <c r="P150" i="32"/>
  <c r="P151" i="32"/>
  <c r="P152" i="32"/>
  <c r="P153" i="32"/>
  <c r="P154" i="32"/>
  <c r="P155" i="32"/>
  <c r="P164" i="32"/>
  <c r="P165" i="32"/>
  <c r="P170" i="32"/>
  <c r="P171" i="32"/>
  <c r="P172" i="32"/>
  <c r="P173" i="32"/>
  <c r="P174" i="32"/>
  <c r="P175" i="32"/>
  <c r="P184" i="32"/>
  <c r="P185" i="32"/>
  <c r="P190" i="32"/>
  <c r="P191" i="32"/>
  <c r="P192" i="32"/>
  <c r="P193" i="32"/>
  <c r="P194" i="32"/>
  <c r="P195" i="32"/>
  <c r="P204" i="32"/>
  <c r="P205" i="32"/>
  <c r="P210" i="32"/>
  <c r="P211" i="32"/>
  <c r="P212" i="32"/>
  <c r="P213" i="32"/>
  <c r="P214" i="32"/>
  <c r="P215" i="32"/>
  <c r="P224" i="32"/>
  <c r="P225" i="32"/>
  <c r="P230" i="32"/>
  <c r="P231" i="32"/>
  <c r="P232" i="32"/>
  <c r="P233" i="32"/>
  <c r="P234" i="32"/>
  <c r="P235" i="32"/>
  <c r="P244" i="32"/>
  <c r="P245" i="32"/>
  <c r="P250" i="32"/>
  <c r="P251" i="32"/>
  <c r="P252" i="32"/>
  <c r="P253" i="32"/>
  <c r="P254" i="32"/>
  <c r="P255" i="32"/>
  <c r="P264" i="32"/>
  <c r="P265" i="32"/>
  <c r="P270" i="32"/>
  <c r="P271" i="32"/>
  <c r="P272" i="32"/>
  <c r="P273" i="32"/>
  <c r="P274" i="32"/>
  <c r="P275" i="32"/>
  <c r="P284" i="32"/>
  <c r="P285" i="32"/>
  <c r="P290" i="32"/>
  <c r="P291" i="32"/>
  <c r="P292" i="32"/>
  <c r="P293" i="32"/>
  <c r="P294" i="32"/>
  <c r="P295" i="32"/>
  <c r="P304" i="32"/>
  <c r="P305" i="32"/>
  <c r="P310" i="32"/>
  <c r="P311" i="32"/>
  <c r="P312" i="32"/>
  <c r="P313" i="32"/>
  <c r="P314" i="32"/>
  <c r="P315" i="32"/>
  <c r="P324" i="32"/>
  <c r="P325" i="32"/>
  <c r="P330" i="32"/>
  <c r="P331" i="32"/>
  <c r="P332" i="32"/>
  <c r="P333" i="32"/>
  <c r="P334" i="32"/>
  <c r="P335" i="32"/>
  <c r="P344" i="32"/>
  <c r="P345" i="32"/>
  <c r="P350" i="32"/>
  <c r="P351" i="32"/>
  <c r="P352" i="32"/>
  <c r="P353" i="32"/>
  <c r="P354" i="32"/>
  <c r="P355" i="32"/>
  <c r="P364" i="32"/>
  <c r="P365" i="32"/>
  <c r="P366" i="32"/>
  <c r="P370" i="32"/>
  <c r="P371" i="32"/>
  <c r="P372" i="32"/>
  <c r="P373" i="32"/>
  <c r="P374" i="32"/>
  <c r="P375" i="32"/>
  <c r="P384" i="32"/>
  <c r="P385" i="32"/>
  <c r="P386" i="32"/>
  <c r="P390" i="32"/>
  <c r="P391" i="32"/>
  <c r="P392" i="32"/>
  <c r="P393" i="32"/>
  <c r="P394" i="32"/>
  <c r="P395" i="32"/>
  <c r="P404" i="32"/>
  <c r="P405" i="32"/>
  <c r="P406" i="32"/>
  <c r="P410" i="32"/>
  <c r="P411" i="32"/>
  <c r="P412" i="32"/>
  <c r="P413" i="32"/>
  <c r="P414" i="32"/>
  <c r="P415" i="32"/>
  <c r="P424" i="32"/>
  <c r="P425" i="32"/>
  <c r="P426" i="32"/>
  <c r="P430" i="32"/>
  <c r="P431" i="32"/>
  <c r="P432" i="32"/>
  <c r="P433" i="32"/>
  <c r="P434" i="32"/>
  <c r="P435" i="32"/>
  <c r="P444" i="32"/>
  <c r="P445" i="32"/>
  <c r="P446" i="32"/>
  <c r="P450" i="32"/>
  <c r="P451" i="32"/>
  <c r="P452" i="32"/>
  <c r="P453" i="32"/>
  <c r="P454" i="32"/>
  <c r="P455" i="32"/>
  <c r="P464" i="32"/>
  <c r="P465" i="32"/>
  <c r="P466" i="32"/>
  <c r="P470" i="32"/>
  <c r="P471" i="32"/>
  <c r="P472" i="32"/>
  <c r="P473" i="32"/>
  <c r="P474" i="32"/>
  <c r="P475" i="32"/>
  <c r="P484" i="32"/>
  <c r="P485" i="32"/>
  <c r="P486" i="32"/>
  <c r="P490" i="32"/>
  <c r="P491" i="32"/>
  <c r="P492" i="32"/>
  <c r="P493" i="32"/>
  <c r="P494" i="32"/>
  <c r="P495" i="32"/>
  <c r="P504" i="32"/>
  <c r="P505" i="32"/>
  <c r="P506" i="32"/>
  <c r="P510" i="32"/>
  <c r="P511" i="32"/>
  <c r="P512" i="32"/>
  <c r="P513" i="32"/>
  <c r="P514" i="32"/>
  <c r="P515" i="32"/>
  <c r="P524" i="32"/>
  <c r="P525" i="32"/>
  <c r="P526" i="32"/>
  <c r="P530" i="32"/>
  <c r="P531" i="32"/>
  <c r="P532" i="32"/>
  <c r="P533" i="32"/>
  <c r="P534" i="32"/>
  <c r="P535" i="32"/>
  <c r="P544" i="32"/>
  <c r="P545" i="32"/>
  <c r="P546" i="32"/>
  <c r="P550" i="32"/>
  <c r="P551" i="32"/>
  <c r="P552" i="32"/>
  <c r="P553" i="32"/>
  <c r="P554" i="32"/>
  <c r="P555" i="32"/>
  <c r="P564" i="32"/>
  <c r="P565" i="32"/>
  <c r="P566" i="32"/>
  <c r="P570" i="32"/>
  <c r="P571" i="32"/>
  <c r="P572" i="32"/>
  <c r="P573" i="32"/>
  <c r="P574" i="32"/>
  <c r="P575" i="32"/>
  <c r="P584" i="32"/>
  <c r="P585" i="32"/>
  <c r="P586" i="32"/>
  <c r="P590" i="32"/>
  <c r="P591" i="32"/>
  <c r="P592" i="32"/>
  <c r="P593" i="32"/>
  <c r="P594" i="32"/>
  <c r="P595" i="32"/>
  <c r="P604" i="32"/>
  <c r="P605" i="32"/>
  <c r="P606" i="32"/>
  <c r="P610" i="32"/>
  <c r="P611" i="32"/>
  <c r="P612" i="32"/>
  <c r="P613" i="32"/>
  <c r="P614" i="32"/>
  <c r="P615" i="32"/>
  <c r="P624" i="32"/>
  <c r="P625" i="32"/>
  <c r="P626" i="32"/>
  <c r="P630" i="32"/>
  <c r="P631" i="32"/>
  <c r="P632" i="32"/>
  <c r="P633" i="32"/>
  <c r="P634" i="32"/>
  <c r="P635" i="32"/>
  <c r="P644" i="32"/>
  <c r="P645" i="32"/>
  <c r="P646" i="32"/>
  <c r="P650" i="32"/>
  <c r="P651" i="32"/>
  <c r="P652" i="32"/>
  <c r="P653" i="32"/>
  <c r="P654" i="32"/>
  <c r="P655" i="32"/>
  <c r="P664" i="32"/>
  <c r="P665" i="32"/>
  <c r="P666" i="32"/>
  <c r="P670" i="32"/>
  <c r="P671" i="32"/>
  <c r="P672" i="32"/>
  <c r="P673" i="32"/>
  <c r="P674" i="32"/>
  <c r="P675" i="32"/>
  <c r="P684" i="32"/>
  <c r="P685" i="32"/>
  <c r="P686" i="32"/>
  <c r="P690" i="32"/>
  <c r="P691" i="32"/>
  <c r="P692" i="32"/>
  <c r="P693" i="32"/>
  <c r="P694" i="32"/>
  <c r="P695" i="32"/>
  <c r="P704" i="32"/>
  <c r="P705" i="32"/>
  <c r="P706" i="32"/>
  <c r="P710" i="32"/>
  <c r="P711" i="32"/>
  <c r="P712" i="32"/>
  <c r="P713" i="32"/>
  <c r="P714" i="32"/>
  <c r="P715" i="32"/>
  <c r="P724" i="32"/>
  <c r="P725" i="32"/>
  <c r="P726" i="32"/>
  <c r="P730" i="32"/>
  <c r="P731" i="32"/>
  <c r="P732" i="32"/>
  <c r="P733" i="32"/>
  <c r="P734" i="32"/>
  <c r="P735" i="32"/>
  <c r="P744" i="32"/>
  <c r="P745" i="32"/>
  <c r="P746" i="32"/>
  <c r="P750" i="32"/>
  <c r="P751" i="32"/>
  <c r="P752" i="32"/>
  <c r="P753" i="32"/>
  <c r="P754" i="32"/>
  <c r="P755" i="32"/>
  <c r="P764" i="32"/>
  <c r="P765" i="32"/>
  <c r="P766" i="32"/>
  <c r="P770" i="32"/>
  <c r="P771" i="32"/>
  <c r="P772" i="32"/>
  <c r="P773" i="32"/>
  <c r="P774" i="32"/>
  <c r="P775" i="32"/>
  <c r="P784" i="32"/>
  <c r="P785" i="32"/>
  <c r="P786" i="32"/>
  <c r="P790" i="32"/>
  <c r="P791" i="32"/>
  <c r="P792" i="32"/>
  <c r="P793" i="32"/>
  <c r="P794" i="32"/>
  <c r="P795" i="32"/>
  <c r="P804" i="32"/>
  <c r="P805" i="32"/>
  <c r="P806" i="32"/>
  <c r="P810" i="32"/>
  <c r="P811" i="32"/>
  <c r="P812" i="32"/>
  <c r="P813" i="32"/>
  <c r="P814" i="32"/>
  <c r="P815" i="32"/>
  <c r="P824" i="32"/>
  <c r="P825" i="32"/>
  <c r="P826" i="32"/>
  <c r="P830" i="32"/>
  <c r="P831" i="32"/>
  <c r="P832" i="32"/>
  <c r="P833" i="32"/>
  <c r="P834" i="32"/>
  <c r="P835" i="32"/>
  <c r="P844" i="32"/>
  <c r="P845" i="32"/>
  <c r="P846" i="32"/>
  <c r="P850" i="32"/>
  <c r="P851" i="32"/>
  <c r="P852" i="32"/>
  <c r="P853" i="32"/>
  <c r="P854" i="32"/>
  <c r="P855" i="32"/>
  <c r="P864" i="32"/>
  <c r="P865" i="32"/>
  <c r="P866" i="32"/>
  <c r="O6" i="32"/>
  <c r="P6" i="32" s="1"/>
  <c r="O7" i="32"/>
  <c r="P7" i="32" s="1"/>
  <c r="O8" i="32"/>
  <c r="P8" i="32" s="1"/>
  <c r="O9" i="32"/>
  <c r="P9" i="32" s="1"/>
  <c r="O10" i="32"/>
  <c r="O11" i="32"/>
  <c r="O12" i="32"/>
  <c r="O13" i="32"/>
  <c r="O14" i="32"/>
  <c r="O15" i="32"/>
  <c r="O16" i="32"/>
  <c r="P16" i="32" s="1"/>
  <c r="O17" i="32"/>
  <c r="P17" i="32" s="1"/>
  <c r="O18" i="32"/>
  <c r="P18" i="32" s="1"/>
  <c r="O19" i="32"/>
  <c r="P19" i="32" s="1"/>
  <c r="O20" i="32"/>
  <c r="P20" i="32" s="1"/>
  <c r="O21" i="32"/>
  <c r="P21" i="32" s="1"/>
  <c r="O22" i="32"/>
  <c r="P22" i="32" s="1"/>
  <c r="O23" i="32"/>
  <c r="P23" i="32" s="1"/>
  <c r="O24" i="32"/>
  <c r="O25" i="32"/>
  <c r="O26" i="32"/>
  <c r="P26" i="32" s="1"/>
  <c r="O27" i="32"/>
  <c r="P27" i="32" s="1"/>
  <c r="O28" i="32"/>
  <c r="P28" i="32" s="1"/>
  <c r="O29" i="32"/>
  <c r="P29" i="32" s="1"/>
  <c r="O30" i="32"/>
  <c r="O31" i="32"/>
  <c r="O32" i="32"/>
  <c r="O33" i="32"/>
  <c r="O34" i="32"/>
  <c r="O35" i="32"/>
  <c r="O36" i="32"/>
  <c r="P36" i="32" s="1"/>
  <c r="O37" i="32"/>
  <c r="P37" i="32" s="1"/>
  <c r="O38" i="32"/>
  <c r="P38" i="32" s="1"/>
  <c r="O39" i="32"/>
  <c r="P39" i="32" s="1"/>
  <c r="O40" i="32"/>
  <c r="P40" i="32" s="1"/>
  <c r="O41" i="32"/>
  <c r="P41" i="32" s="1"/>
  <c r="O42" i="32"/>
  <c r="P42" i="32" s="1"/>
  <c r="O43" i="32"/>
  <c r="P43" i="32" s="1"/>
  <c r="O44" i="32"/>
  <c r="O45" i="32"/>
  <c r="O46" i="32"/>
  <c r="P46" i="32" s="1"/>
  <c r="O47" i="32"/>
  <c r="P47" i="32" s="1"/>
  <c r="O48" i="32"/>
  <c r="P48" i="32" s="1"/>
  <c r="O49" i="32"/>
  <c r="O4" i="32" s="1"/>
  <c r="O50" i="32"/>
  <c r="O51" i="32"/>
  <c r="O52" i="32"/>
  <c r="O53" i="32"/>
  <c r="O54" i="32"/>
  <c r="O55" i="32"/>
  <c r="O56" i="32"/>
  <c r="P56" i="32" s="1"/>
  <c r="O57" i="32"/>
  <c r="P57" i="32" s="1"/>
  <c r="O58" i="32"/>
  <c r="P58" i="32" s="1"/>
  <c r="O59" i="32"/>
  <c r="P59" i="32" s="1"/>
  <c r="O60" i="32"/>
  <c r="P60" i="32" s="1"/>
  <c r="O61" i="32"/>
  <c r="P61" i="32" s="1"/>
  <c r="O62" i="32"/>
  <c r="P62" i="32" s="1"/>
  <c r="O63" i="32"/>
  <c r="P63" i="32" s="1"/>
  <c r="O64" i="32"/>
  <c r="O65" i="32"/>
  <c r="O66" i="32"/>
  <c r="P66" i="32" s="1"/>
  <c r="O67" i="32"/>
  <c r="P67" i="32" s="1"/>
  <c r="O68" i="32"/>
  <c r="P68" i="32" s="1"/>
  <c r="O69" i="32"/>
  <c r="P69" i="32" s="1"/>
  <c r="O70" i="32"/>
  <c r="O71" i="32"/>
  <c r="O72" i="32"/>
  <c r="O73" i="32"/>
  <c r="O74" i="32"/>
  <c r="O75" i="32"/>
  <c r="O76" i="32"/>
  <c r="P76" i="32" s="1"/>
  <c r="O77" i="32"/>
  <c r="P77" i="32" s="1"/>
  <c r="O78" i="32"/>
  <c r="P78" i="32" s="1"/>
  <c r="O79" i="32"/>
  <c r="P79" i="32" s="1"/>
  <c r="O80" i="32"/>
  <c r="P80" i="32" s="1"/>
  <c r="O81" i="32"/>
  <c r="P81" i="32" s="1"/>
  <c r="O82" i="32"/>
  <c r="P82" i="32" s="1"/>
  <c r="O83" i="32"/>
  <c r="P83" i="32" s="1"/>
  <c r="O84" i="32"/>
  <c r="O85" i="32"/>
  <c r="O86" i="32"/>
  <c r="P86" i="32" s="1"/>
  <c r="O87" i="32"/>
  <c r="P87" i="32" s="1"/>
  <c r="O88" i="32"/>
  <c r="P88" i="32" s="1"/>
  <c r="O89" i="32"/>
  <c r="P89" i="32" s="1"/>
  <c r="O90" i="32"/>
  <c r="O91" i="32"/>
  <c r="O92" i="32"/>
  <c r="O93" i="32"/>
  <c r="O94" i="32"/>
  <c r="O95" i="32"/>
  <c r="O96" i="32"/>
  <c r="P96" i="32" s="1"/>
  <c r="O97" i="32"/>
  <c r="P97" i="32" s="1"/>
  <c r="O98" i="32"/>
  <c r="P98" i="32" s="1"/>
  <c r="O99" i="32"/>
  <c r="P99" i="32" s="1"/>
  <c r="O100" i="32"/>
  <c r="P100" i="32" s="1"/>
  <c r="O101" i="32"/>
  <c r="P101" i="32" s="1"/>
  <c r="O102" i="32"/>
  <c r="P102" i="32" s="1"/>
  <c r="O103" i="32"/>
  <c r="P103" i="32" s="1"/>
  <c r="O104" i="32"/>
  <c r="O105" i="32"/>
  <c r="O106" i="32"/>
  <c r="P106" i="32" s="1"/>
  <c r="O107" i="32"/>
  <c r="P107" i="32" s="1"/>
  <c r="O108" i="32"/>
  <c r="P108" i="32" s="1"/>
  <c r="O109" i="32"/>
  <c r="P109" i="32" s="1"/>
  <c r="O110" i="32"/>
  <c r="O111" i="32"/>
  <c r="O112" i="32"/>
  <c r="O113" i="32"/>
  <c r="O114" i="32"/>
  <c r="O115" i="32"/>
  <c r="O116" i="32"/>
  <c r="P116" i="32" s="1"/>
  <c r="O117" i="32"/>
  <c r="P117" i="32" s="1"/>
  <c r="O118" i="32"/>
  <c r="P118" i="32" s="1"/>
  <c r="O119" i="32"/>
  <c r="P119" i="32" s="1"/>
  <c r="O120" i="32"/>
  <c r="P120" i="32" s="1"/>
  <c r="O121" i="32"/>
  <c r="P121" i="32" s="1"/>
  <c r="O122" i="32"/>
  <c r="P122" i="32" s="1"/>
  <c r="O123" i="32"/>
  <c r="P123" i="32" s="1"/>
  <c r="O124" i="32"/>
  <c r="O125" i="32"/>
  <c r="O126" i="32"/>
  <c r="P126" i="32" s="1"/>
  <c r="O127" i="32"/>
  <c r="P127" i="32" s="1"/>
  <c r="O128" i="32"/>
  <c r="P128" i="32" s="1"/>
  <c r="O129" i="32"/>
  <c r="P129" i="32" s="1"/>
  <c r="O130" i="32"/>
  <c r="O131" i="32"/>
  <c r="O132" i="32"/>
  <c r="O133" i="32"/>
  <c r="O134" i="32"/>
  <c r="O135" i="32"/>
  <c r="O136" i="32"/>
  <c r="P136" i="32" s="1"/>
  <c r="O137" i="32"/>
  <c r="P137" i="32" s="1"/>
  <c r="O138" i="32"/>
  <c r="P138" i="32" s="1"/>
  <c r="O139" i="32"/>
  <c r="P139" i="32" s="1"/>
  <c r="O140" i="32"/>
  <c r="P140" i="32" s="1"/>
  <c r="O141" i="32"/>
  <c r="P141" i="32" s="1"/>
  <c r="O142" i="32"/>
  <c r="P142" i="32" s="1"/>
  <c r="O143" i="32"/>
  <c r="P143" i="32" s="1"/>
  <c r="O144" i="32"/>
  <c r="O145" i="32"/>
  <c r="O146" i="32"/>
  <c r="P146" i="32" s="1"/>
  <c r="O147" i="32"/>
  <c r="P147" i="32" s="1"/>
  <c r="O148" i="32"/>
  <c r="P148" i="32" s="1"/>
  <c r="O149" i="32"/>
  <c r="P149" i="32" s="1"/>
  <c r="O150" i="32"/>
  <c r="O151" i="32"/>
  <c r="O152" i="32"/>
  <c r="O153" i="32"/>
  <c r="O154" i="32"/>
  <c r="O155" i="32"/>
  <c r="O156" i="32"/>
  <c r="P156" i="32" s="1"/>
  <c r="O157" i="32"/>
  <c r="P157" i="32" s="1"/>
  <c r="O158" i="32"/>
  <c r="P158" i="32" s="1"/>
  <c r="O159" i="32"/>
  <c r="P159" i="32" s="1"/>
  <c r="O160" i="32"/>
  <c r="P160" i="32" s="1"/>
  <c r="O161" i="32"/>
  <c r="P161" i="32" s="1"/>
  <c r="O162" i="32"/>
  <c r="P162" i="32" s="1"/>
  <c r="O163" i="32"/>
  <c r="P163" i="32" s="1"/>
  <c r="O164" i="32"/>
  <c r="O165" i="32"/>
  <c r="O166" i="32"/>
  <c r="P166" i="32" s="1"/>
  <c r="O167" i="32"/>
  <c r="P167" i="32" s="1"/>
  <c r="O168" i="32"/>
  <c r="P168" i="32" s="1"/>
  <c r="O169" i="32"/>
  <c r="P169" i="32" s="1"/>
  <c r="O170" i="32"/>
  <c r="O171" i="32"/>
  <c r="O172" i="32"/>
  <c r="O173" i="32"/>
  <c r="O174" i="32"/>
  <c r="O175" i="32"/>
  <c r="O176" i="32"/>
  <c r="P176" i="32" s="1"/>
  <c r="O177" i="32"/>
  <c r="P177" i="32" s="1"/>
  <c r="O178" i="32"/>
  <c r="P178" i="32" s="1"/>
  <c r="O179" i="32"/>
  <c r="P179" i="32" s="1"/>
  <c r="O180" i="32"/>
  <c r="P180" i="32" s="1"/>
  <c r="O181" i="32"/>
  <c r="P181" i="32" s="1"/>
  <c r="O182" i="32"/>
  <c r="P182" i="32" s="1"/>
  <c r="O183" i="32"/>
  <c r="P183" i="32" s="1"/>
  <c r="O184" i="32"/>
  <c r="O185" i="32"/>
  <c r="O186" i="32"/>
  <c r="P186" i="32" s="1"/>
  <c r="O187" i="32"/>
  <c r="P187" i="32" s="1"/>
  <c r="O188" i="32"/>
  <c r="P188" i="32" s="1"/>
  <c r="O189" i="32"/>
  <c r="P189" i="32" s="1"/>
  <c r="O190" i="32"/>
  <c r="O191" i="32"/>
  <c r="O192" i="32"/>
  <c r="O193" i="32"/>
  <c r="O194" i="32"/>
  <c r="O195" i="32"/>
  <c r="O196" i="32"/>
  <c r="P196" i="32" s="1"/>
  <c r="O197" i="32"/>
  <c r="P197" i="32" s="1"/>
  <c r="O198" i="32"/>
  <c r="P198" i="32" s="1"/>
  <c r="O199" i="32"/>
  <c r="P199" i="32" s="1"/>
  <c r="O200" i="32"/>
  <c r="P200" i="32" s="1"/>
  <c r="O201" i="32"/>
  <c r="P201" i="32" s="1"/>
  <c r="O202" i="32"/>
  <c r="P202" i="32" s="1"/>
  <c r="O203" i="32"/>
  <c r="P203" i="32" s="1"/>
  <c r="O204" i="32"/>
  <c r="O205" i="32"/>
  <c r="O206" i="32"/>
  <c r="P206" i="32" s="1"/>
  <c r="O207" i="32"/>
  <c r="P207" i="32" s="1"/>
  <c r="O208" i="32"/>
  <c r="P208" i="32" s="1"/>
  <c r="O209" i="32"/>
  <c r="P209" i="32" s="1"/>
  <c r="O210" i="32"/>
  <c r="O211" i="32"/>
  <c r="O212" i="32"/>
  <c r="O213" i="32"/>
  <c r="O214" i="32"/>
  <c r="O215" i="32"/>
  <c r="O216" i="32"/>
  <c r="P216" i="32" s="1"/>
  <c r="O217" i="32"/>
  <c r="P217" i="32" s="1"/>
  <c r="O218" i="32"/>
  <c r="P218" i="32" s="1"/>
  <c r="O219" i="32"/>
  <c r="P219" i="32" s="1"/>
  <c r="O220" i="32"/>
  <c r="P220" i="32" s="1"/>
  <c r="O221" i="32"/>
  <c r="P221" i="32" s="1"/>
  <c r="O222" i="32"/>
  <c r="P222" i="32" s="1"/>
  <c r="O223" i="32"/>
  <c r="P223" i="32" s="1"/>
  <c r="O224" i="32"/>
  <c r="O225" i="32"/>
  <c r="O226" i="32"/>
  <c r="P226" i="32" s="1"/>
  <c r="O227" i="32"/>
  <c r="P227" i="32" s="1"/>
  <c r="O228" i="32"/>
  <c r="P228" i="32" s="1"/>
  <c r="O229" i="32"/>
  <c r="P229" i="32" s="1"/>
  <c r="O230" i="32"/>
  <c r="O231" i="32"/>
  <c r="O232" i="32"/>
  <c r="O233" i="32"/>
  <c r="O234" i="32"/>
  <c r="O235" i="32"/>
  <c r="O236" i="32"/>
  <c r="P236" i="32" s="1"/>
  <c r="O237" i="32"/>
  <c r="P237" i="32" s="1"/>
  <c r="O238" i="32"/>
  <c r="P238" i="32" s="1"/>
  <c r="O239" i="32"/>
  <c r="P239" i="32" s="1"/>
  <c r="O240" i="32"/>
  <c r="P240" i="32" s="1"/>
  <c r="O241" i="32"/>
  <c r="P241" i="32" s="1"/>
  <c r="O242" i="32"/>
  <c r="P242" i="32" s="1"/>
  <c r="O243" i="32"/>
  <c r="P243" i="32" s="1"/>
  <c r="O244" i="32"/>
  <c r="O245" i="32"/>
  <c r="O246" i="32"/>
  <c r="P246" i="32" s="1"/>
  <c r="O247" i="32"/>
  <c r="P247" i="32" s="1"/>
  <c r="O248" i="32"/>
  <c r="P248" i="32" s="1"/>
  <c r="O249" i="32"/>
  <c r="P249" i="32" s="1"/>
  <c r="O250" i="32"/>
  <c r="O251" i="32"/>
  <c r="O252" i="32"/>
  <c r="O253" i="32"/>
  <c r="O254" i="32"/>
  <c r="O255" i="32"/>
  <c r="O256" i="32"/>
  <c r="P256" i="32" s="1"/>
  <c r="O257" i="32"/>
  <c r="P257" i="32" s="1"/>
  <c r="O258" i="32"/>
  <c r="P258" i="32" s="1"/>
  <c r="O259" i="32"/>
  <c r="P259" i="32" s="1"/>
  <c r="O260" i="32"/>
  <c r="P260" i="32" s="1"/>
  <c r="O261" i="32"/>
  <c r="P261" i="32" s="1"/>
  <c r="O262" i="32"/>
  <c r="P262" i="32" s="1"/>
  <c r="O263" i="32"/>
  <c r="P263" i="32" s="1"/>
  <c r="O264" i="32"/>
  <c r="O265" i="32"/>
  <c r="O266" i="32"/>
  <c r="P266" i="32" s="1"/>
  <c r="O267" i="32"/>
  <c r="P267" i="32" s="1"/>
  <c r="O268" i="32"/>
  <c r="P268" i="32" s="1"/>
  <c r="O269" i="32"/>
  <c r="P269" i="32" s="1"/>
  <c r="O270" i="32"/>
  <c r="O271" i="32"/>
  <c r="O272" i="32"/>
  <c r="O273" i="32"/>
  <c r="O274" i="32"/>
  <c r="O275" i="32"/>
  <c r="O276" i="32"/>
  <c r="P276" i="32" s="1"/>
  <c r="O277" i="32"/>
  <c r="P277" i="32" s="1"/>
  <c r="O278" i="32"/>
  <c r="P278" i="32" s="1"/>
  <c r="O279" i="32"/>
  <c r="P279" i="32" s="1"/>
  <c r="O280" i="32"/>
  <c r="P280" i="32" s="1"/>
  <c r="O281" i="32"/>
  <c r="P281" i="32" s="1"/>
  <c r="O282" i="32"/>
  <c r="P282" i="32" s="1"/>
  <c r="O283" i="32"/>
  <c r="P283" i="32" s="1"/>
  <c r="O284" i="32"/>
  <c r="O285" i="32"/>
  <c r="O286" i="32"/>
  <c r="P286" i="32" s="1"/>
  <c r="O287" i="32"/>
  <c r="P287" i="32" s="1"/>
  <c r="O288" i="32"/>
  <c r="P288" i="32" s="1"/>
  <c r="O289" i="32"/>
  <c r="P289" i="32" s="1"/>
  <c r="O290" i="32"/>
  <c r="O291" i="32"/>
  <c r="O292" i="32"/>
  <c r="O293" i="32"/>
  <c r="O294" i="32"/>
  <c r="O295" i="32"/>
  <c r="O296" i="32"/>
  <c r="P296" i="32" s="1"/>
  <c r="O297" i="32"/>
  <c r="P297" i="32" s="1"/>
  <c r="O298" i="32"/>
  <c r="P298" i="32" s="1"/>
  <c r="O299" i="32"/>
  <c r="P299" i="32" s="1"/>
  <c r="O300" i="32"/>
  <c r="P300" i="32" s="1"/>
  <c r="O301" i="32"/>
  <c r="P301" i="32" s="1"/>
  <c r="O302" i="32"/>
  <c r="P302" i="32" s="1"/>
  <c r="O303" i="32"/>
  <c r="P303" i="32" s="1"/>
  <c r="O304" i="32"/>
  <c r="O305" i="32"/>
  <c r="O306" i="32"/>
  <c r="P306" i="32" s="1"/>
  <c r="O307" i="32"/>
  <c r="P307" i="32" s="1"/>
  <c r="O308" i="32"/>
  <c r="P308" i="32" s="1"/>
  <c r="O309" i="32"/>
  <c r="P309" i="32" s="1"/>
  <c r="O310" i="32"/>
  <c r="O311" i="32"/>
  <c r="O312" i="32"/>
  <c r="O313" i="32"/>
  <c r="O314" i="32"/>
  <c r="O315" i="32"/>
  <c r="O316" i="32"/>
  <c r="P316" i="32" s="1"/>
  <c r="O317" i="32"/>
  <c r="P317" i="32" s="1"/>
  <c r="O318" i="32"/>
  <c r="P318" i="32" s="1"/>
  <c r="O319" i="32"/>
  <c r="P319" i="32" s="1"/>
  <c r="O320" i="32"/>
  <c r="P320" i="32" s="1"/>
  <c r="O321" i="32"/>
  <c r="P321" i="32" s="1"/>
  <c r="O322" i="32"/>
  <c r="P322" i="32" s="1"/>
  <c r="O323" i="32"/>
  <c r="P323" i="32" s="1"/>
  <c r="O324" i="32"/>
  <c r="O325" i="32"/>
  <c r="O326" i="32"/>
  <c r="P326" i="32" s="1"/>
  <c r="O327" i="32"/>
  <c r="P327" i="32" s="1"/>
  <c r="O328" i="32"/>
  <c r="P328" i="32" s="1"/>
  <c r="O329" i="32"/>
  <c r="P329" i="32" s="1"/>
  <c r="O330" i="32"/>
  <c r="O331" i="32"/>
  <c r="O332" i="32"/>
  <c r="O333" i="32"/>
  <c r="O334" i="32"/>
  <c r="O335" i="32"/>
  <c r="O336" i="32"/>
  <c r="P336" i="32" s="1"/>
  <c r="O337" i="32"/>
  <c r="P337" i="32" s="1"/>
  <c r="O338" i="32"/>
  <c r="P338" i="32" s="1"/>
  <c r="O339" i="32"/>
  <c r="P339" i="32" s="1"/>
  <c r="O340" i="32"/>
  <c r="P340" i="32" s="1"/>
  <c r="O341" i="32"/>
  <c r="P341" i="32" s="1"/>
  <c r="O342" i="32"/>
  <c r="P342" i="32" s="1"/>
  <c r="O343" i="32"/>
  <c r="P343" i="32" s="1"/>
  <c r="O344" i="32"/>
  <c r="O345" i="32"/>
  <c r="O346" i="32"/>
  <c r="P346" i="32" s="1"/>
  <c r="O347" i="32"/>
  <c r="P347" i="32" s="1"/>
  <c r="O348" i="32"/>
  <c r="P348" i="32" s="1"/>
  <c r="O349" i="32"/>
  <c r="P349" i="32" s="1"/>
  <c r="O350" i="32"/>
  <c r="O351" i="32"/>
  <c r="O352" i="32"/>
  <c r="O353" i="32"/>
  <c r="O354" i="32"/>
  <c r="O355" i="32"/>
  <c r="O356" i="32"/>
  <c r="P356" i="32" s="1"/>
  <c r="O357" i="32"/>
  <c r="P357" i="32" s="1"/>
  <c r="O358" i="32"/>
  <c r="P358" i="32" s="1"/>
  <c r="O359" i="32"/>
  <c r="P359" i="32" s="1"/>
  <c r="O360" i="32"/>
  <c r="P360" i="32" s="1"/>
  <c r="O361" i="32"/>
  <c r="P361" i="32" s="1"/>
  <c r="O362" i="32"/>
  <c r="P362" i="32" s="1"/>
  <c r="O363" i="32"/>
  <c r="P363" i="32" s="1"/>
  <c r="O364" i="32"/>
  <c r="O365" i="32"/>
  <c r="O366" i="32"/>
  <c r="O367" i="32"/>
  <c r="P367" i="32" s="1"/>
  <c r="O368" i="32"/>
  <c r="P368" i="32" s="1"/>
  <c r="O369" i="32"/>
  <c r="P369" i="32" s="1"/>
  <c r="O370" i="32"/>
  <c r="O371" i="32"/>
  <c r="O372" i="32"/>
  <c r="O373" i="32"/>
  <c r="O374" i="32"/>
  <c r="O375" i="32"/>
  <c r="O376" i="32"/>
  <c r="P376" i="32" s="1"/>
  <c r="O377" i="32"/>
  <c r="P377" i="32" s="1"/>
  <c r="O378" i="32"/>
  <c r="P378" i="32" s="1"/>
  <c r="O379" i="32"/>
  <c r="P379" i="32" s="1"/>
  <c r="O380" i="32"/>
  <c r="P380" i="32" s="1"/>
  <c r="O381" i="32"/>
  <c r="P381" i="32" s="1"/>
  <c r="O382" i="32"/>
  <c r="P382" i="32" s="1"/>
  <c r="O383" i="32"/>
  <c r="P383" i="32" s="1"/>
  <c r="O384" i="32"/>
  <c r="O385" i="32"/>
  <c r="O386" i="32"/>
  <c r="O387" i="32"/>
  <c r="P387" i="32" s="1"/>
  <c r="O388" i="32"/>
  <c r="P388" i="32" s="1"/>
  <c r="O389" i="32"/>
  <c r="P389" i="32" s="1"/>
  <c r="O390" i="32"/>
  <c r="O391" i="32"/>
  <c r="O392" i="32"/>
  <c r="O393" i="32"/>
  <c r="O394" i="32"/>
  <c r="O395" i="32"/>
  <c r="O396" i="32"/>
  <c r="P396" i="32" s="1"/>
  <c r="O397" i="32"/>
  <c r="P397" i="32" s="1"/>
  <c r="O398" i="32"/>
  <c r="P398" i="32" s="1"/>
  <c r="O399" i="32"/>
  <c r="P399" i="32" s="1"/>
  <c r="O400" i="32"/>
  <c r="P400" i="32" s="1"/>
  <c r="O401" i="32"/>
  <c r="P401" i="32" s="1"/>
  <c r="O402" i="32"/>
  <c r="P402" i="32" s="1"/>
  <c r="O403" i="32"/>
  <c r="P403" i="32" s="1"/>
  <c r="O404" i="32"/>
  <c r="O405" i="32"/>
  <c r="O406" i="32"/>
  <c r="O407" i="32"/>
  <c r="P407" i="32" s="1"/>
  <c r="O408" i="32"/>
  <c r="P408" i="32" s="1"/>
  <c r="O409" i="32"/>
  <c r="P409" i="32" s="1"/>
  <c r="O410" i="32"/>
  <c r="O411" i="32"/>
  <c r="O412" i="32"/>
  <c r="O413" i="32"/>
  <c r="O414" i="32"/>
  <c r="O415" i="32"/>
  <c r="O416" i="32"/>
  <c r="P416" i="32" s="1"/>
  <c r="O417" i="32"/>
  <c r="P417" i="32" s="1"/>
  <c r="O418" i="32"/>
  <c r="P418" i="32" s="1"/>
  <c r="O419" i="32"/>
  <c r="P419" i="32" s="1"/>
  <c r="O420" i="32"/>
  <c r="P420" i="32" s="1"/>
  <c r="O421" i="32"/>
  <c r="P421" i="32" s="1"/>
  <c r="O422" i="32"/>
  <c r="P422" i="32" s="1"/>
  <c r="O423" i="32"/>
  <c r="P423" i="32" s="1"/>
  <c r="O424" i="32"/>
  <c r="O425" i="32"/>
  <c r="O426" i="32"/>
  <c r="O427" i="32"/>
  <c r="P427" i="32" s="1"/>
  <c r="O428" i="32"/>
  <c r="P428" i="32" s="1"/>
  <c r="O429" i="32"/>
  <c r="P429" i="32" s="1"/>
  <c r="O430" i="32"/>
  <c r="O431" i="32"/>
  <c r="O432" i="32"/>
  <c r="O433" i="32"/>
  <c r="O434" i="32"/>
  <c r="O435" i="32"/>
  <c r="O436" i="32"/>
  <c r="P436" i="32" s="1"/>
  <c r="O437" i="32"/>
  <c r="P437" i="32" s="1"/>
  <c r="O438" i="32"/>
  <c r="P438" i="32" s="1"/>
  <c r="O439" i="32"/>
  <c r="P439" i="32" s="1"/>
  <c r="O440" i="32"/>
  <c r="P440" i="32" s="1"/>
  <c r="O441" i="32"/>
  <c r="P441" i="32" s="1"/>
  <c r="O442" i="32"/>
  <c r="P442" i="32" s="1"/>
  <c r="O443" i="32"/>
  <c r="P443" i="32" s="1"/>
  <c r="O444" i="32"/>
  <c r="O445" i="32"/>
  <c r="O446" i="32"/>
  <c r="O447" i="32"/>
  <c r="P447" i="32" s="1"/>
  <c r="O448" i="32"/>
  <c r="P448" i="32" s="1"/>
  <c r="O449" i="32"/>
  <c r="P449" i="32" s="1"/>
  <c r="O450" i="32"/>
  <c r="O451" i="32"/>
  <c r="O452" i="32"/>
  <c r="O453" i="32"/>
  <c r="O454" i="32"/>
  <c r="O455" i="32"/>
  <c r="O456" i="32"/>
  <c r="P456" i="32" s="1"/>
  <c r="O457" i="32"/>
  <c r="P457" i="32" s="1"/>
  <c r="O458" i="32"/>
  <c r="P458" i="32" s="1"/>
  <c r="O459" i="32"/>
  <c r="P459" i="32" s="1"/>
  <c r="O460" i="32"/>
  <c r="P460" i="32" s="1"/>
  <c r="O461" i="32"/>
  <c r="P461" i="32" s="1"/>
  <c r="O462" i="32"/>
  <c r="P462" i="32" s="1"/>
  <c r="O463" i="32"/>
  <c r="P463" i="32" s="1"/>
  <c r="O464" i="32"/>
  <c r="O465" i="32"/>
  <c r="O466" i="32"/>
  <c r="O467" i="32"/>
  <c r="P467" i="32" s="1"/>
  <c r="O468" i="32"/>
  <c r="P468" i="32" s="1"/>
  <c r="O469" i="32"/>
  <c r="P469" i="32" s="1"/>
  <c r="O470" i="32"/>
  <c r="O471" i="32"/>
  <c r="O472" i="32"/>
  <c r="O473" i="32"/>
  <c r="O474" i="32"/>
  <c r="O475" i="32"/>
  <c r="O476" i="32"/>
  <c r="P476" i="32" s="1"/>
  <c r="O477" i="32"/>
  <c r="P477" i="32" s="1"/>
  <c r="O478" i="32"/>
  <c r="P478" i="32" s="1"/>
  <c r="O479" i="32"/>
  <c r="P479" i="32" s="1"/>
  <c r="O480" i="32"/>
  <c r="P480" i="32" s="1"/>
  <c r="O481" i="32"/>
  <c r="P481" i="32" s="1"/>
  <c r="O482" i="32"/>
  <c r="P482" i="32" s="1"/>
  <c r="O483" i="32"/>
  <c r="P483" i="32" s="1"/>
  <c r="O484" i="32"/>
  <c r="O485" i="32"/>
  <c r="O486" i="32"/>
  <c r="O487" i="32"/>
  <c r="P487" i="32" s="1"/>
  <c r="O488" i="32"/>
  <c r="P488" i="32" s="1"/>
  <c r="O489" i="32"/>
  <c r="P489" i="32" s="1"/>
  <c r="O490" i="32"/>
  <c r="O491" i="32"/>
  <c r="O492" i="32"/>
  <c r="O493" i="32"/>
  <c r="O494" i="32"/>
  <c r="O495" i="32"/>
  <c r="O496" i="32"/>
  <c r="P496" i="32" s="1"/>
  <c r="O497" i="32"/>
  <c r="P497" i="32" s="1"/>
  <c r="O498" i="32"/>
  <c r="P498" i="32" s="1"/>
  <c r="O499" i="32"/>
  <c r="P499" i="32" s="1"/>
  <c r="O500" i="32"/>
  <c r="P500" i="32" s="1"/>
  <c r="O501" i="32"/>
  <c r="P501" i="32" s="1"/>
  <c r="O502" i="32"/>
  <c r="P502" i="32" s="1"/>
  <c r="O503" i="32"/>
  <c r="P503" i="32" s="1"/>
  <c r="O504" i="32"/>
  <c r="O505" i="32"/>
  <c r="O506" i="32"/>
  <c r="O507" i="32"/>
  <c r="P507" i="32" s="1"/>
  <c r="O508" i="32"/>
  <c r="P508" i="32" s="1"/>
  <c r="O509" i="32"/>
  <c r="P509" i="32" s="1"/>
  <c r="O510" i="32"/>
  <c r="O511" i="32"/>
  <c r="O512" i="32"/>
  <c r="O513" i="32"/>
  <c r="O514" i="32"/>
  <c r="O515" i="32"/>
  <c r="O516" i="32"/>
  <c r="P516" i="32" s="1"/>
  <c r="O517" i="32"/>
  <c r="P517" i="32" s="1"/>
  <c r="O518" i="32"/>
  <c r="P518" i="32" s="1"/>
  <c r="O519" i="32"/>
  <c r="P519" i="32" s="1"/>
  <c r="O520" i="32"/>
  <c r="P520" i="32" s="1"/>
  <c r="O521" i="32"/>
  <c r="P521" i="32" s="1"/>
  <c r="O522" i="32"/>
  <c r="P522" i="32" s="1"/>
  <c r="O523" i="32"/>
  <c r="P523" i="32" s="1"/>
  <c r="O524" i="32"/>
  <c r="O525" i="32"/>
  <c r="O526" i="32"/>
  <c r="O527" i="32"/>
  <c r="P527" i="32" s="1"/>
  <c r="O528" i="32"/>
  <c r="P528" i="32" s="1"/>
  <c r="O529" i="32"/>
  <c r="P529" i="32" s="1"/>
  <c r="O530" i="32"/>
  <c r="O531" i="32"/>
  <c r="O532" i="32"/>
  <c r="O533" i="32"/>
  <c r="O534" i="32"/>
  <c r="O535" i="32"/>
  <c r="O536" i="32"/>
  <c r="P536" i="32" s="1"/>
  <c r="O537" i="32"/>
  <c r="P537" i="32" s="1"/>
  <c r="O538" i="32"/>
  <c r="P538" i="32" s="1"/>
  <c r="O539" i="32"/>
  <c r="P539" i="32" s="1"/>
  <c r="O540" i="32"/>
  <c r="P540" i="32" s="1"/>
  <c r="O541" i="32"/>
  <c r="P541" i="32" s="1"/>
  <c r="O542" i="32"/>
  <c r="P542" i="32" s="1"/>
  <c r="O543" i="32"/>
  <c r="P543" i="32" s="1"/>
  <c r="O544" i="32"/>
  <c r="O545" i="32"/>
  <c r="O546" i="32"/>
  <c r="O547" i="32"/>
  <c r="P547" i="32" s="1"/>
  <c r="O548" i="32"/>
  <c r="P548" i="32" s="1"/>
  <c r="O549" i="32"/>
  <c r="P549" i="32" s="1"/>
  <c r="O550" i="32"/>
  <c r="O551" i="32"/>
  <c r="O552" i="32"/>
  <c r="O553" i="32"/>
  <c r="O554" i="32"/>
  <c r="O555" i="32"/>
  <c r="O556" i="32"/>
  <c r="P556" i="32" s="1"/>
  <c r="O557" i="32"/>
  <c r="P557" i="32" s="1"/>
  <c r="O558" i="32"/>
  <c r="P558" i="32" s="1"/>
  <c r="O559" i="32"/>
  <c r="P559" i="32" s="1"/>
  <c r="O560" i="32"/>
  <c r="P560" i="32" s="1"/>
  <c r="O561" i="32"/>
  <c r="P561" i="32" s="1"/>
  <c r="O562" i="32"/>
  <c r="P562" i="32" s="1"/>
  <c r="O563" i="32"/>
  <c r="P563" i="32" s="1"/>
  <c r="O564" i="32"/>
  <c r="O565" i="32"/>
  <c r="O566" i="32"/>
  <c r="O567" i="32"/>
  <c r="P567" i="32" s="1"/>
  <c r="O568" i="32"/>
  <c r="P568" i="32" s="1"/>
  <c r="O569" i="32"/>
  <c r="P569" i="32" s="1"/>
  <c r="O570" i="32"/>
  <c r="O571" i="32"/>
  <c r="O572" i="32"/>
  <c r="O573" i="32"/>
  <c r="O574" i="32"/>
  <c r="O575" i="32"/>
  <c r="O576" i="32"/>
  <c r="P576" i="32" s="1"/>
  <c r="O577" i="32"/>
  <c r="P577" i="32" s="1"/>
  <c r="O578" i="32"/>
  <c r="P578" i="32" s="1"/>
  <c r="O579" i="32"/>
  <c r="P579" i="32" s="1"/>
  <c r="O580" i="32"/>
  <c r="P580" i="32" s="1"/>
  <c r="O581" i="32"/>
  <c r="P581" i="32" s="1"/>
  <c r="O582" i="32"/>
  <c r="P582" i="32" s="1"/>
  <c r="O583" i="32"/>
  <c r="P583" i="32" s="1"/>
  <c r="O584" i="32"/>
  <c r="O585" i="32"/>
  <c r="O586" i="32"/>
  <c r="O587" i="32"/>
  <c r="P587" i="32" s="1"/>
  <c r="O588" i="32"/>
  <c r="P588" i="32" s="1"/>
  <c r="O589" i="32"/>
  <c r="P589" i="32" s="1"/>
  <c r="O590" i="32"/>
  <c r="O591" i="32"/>
  <c r="O592" i="32"/>
  <c r="O593" i="32"/>
  <c r="O594" i="32"/>
  <c r="O595" i="32"/>
  <c r="O596" i="32"/>
  <c r="P596" i="32" s="1"/>
  <c r="O597" i="32"/>
  <c r="P597" i="32" s="1"/>
  <c r="O598" i="32"/>
  <c r="P598" i="32" s="1"/>
  <c r="O599" i="32"/>
  <c r="P599" i="32" s="1"/>
  <c r="O600" i="32"/>
  <c r="P600" i="32" s="1"/>
  <c r="O601" i="32"/>
  <c r="P601" i="32" s="1"/>
  <c r="O602" i="32"/>
  <c r="P602" i="32" s="1"/>
  <c r="O603" i="32"/>
  <c r="P603" i="32" s="1"/>
  <c r="O604" i="32"/>
  <c r="O605" i="32"/>
  <c r="O606" i="32"/>
  <c r="O607" i="32"/>
  <c r="P607" i="32" s="1"/>
  <c r="O608" i="32"/>
  <c r="P608" i="32" s="1"/>
  <c r="O609" i="32"/>
  <c r="P609" i="32" s="1"/>
  <c r="O610" i="32"/>
  <c r="O611" i="32"/>
  <c r="O612" i="32"/>
  <c r="O613" i="32"/>
  <c r="O614" i="32"/>
  <c r="O615" i="32"/>
  <c r="O616" i="32"/>
  <c r="P616" i="32" s="1"/>
  <c r="O617" i="32"/>
  <c r="P617" i="32" s="1"/>
  <c r="O618" i="32"/>
  <c r="P618" i="32" s="1"/>
  <c r="O619" i="32"/>
  <c r="P619" i="32" s="1"/>
  <c r="O620" i="32"/>
  <c r="P620" i="32" s="1"/>
  <c r="O621" i="32"/>
  <c r="P621" i="32" s="1"/>
  <c r="O622" i="32"/>
  <c r="P622" i="32" s="1"/>
  <c r="O623" i="32"/>
  <c r="P623" i="32" s="1"/>
  <c r="O624" i="32"/>
  <c r="O625" i="32"/>
  <c r="O626" i="32"/>
  <c r="O627" i="32"/>
  <c r="P627" i="32" s="1"/>
  <c r="O628" i="32"/>
  <c r="P628" i="32" s="1"/>
  <c r="O629" i="32"/>
  <c r="P629" i="32" s="1"/>
  <c r="O630" i="32"/>
  <c r="O631" i="32"/>
  <c r="O632" i="32"/>
  <c r="O633" i="32"/>
  <c r="O634" i="32"/>
  <c r="O635" i="32"/>
  <c r="O636" i="32"/>
  <c r="P636" i="32" s="1"/>
  <c r="O637" i="32"/>
  <c r="P637" i="32" s="1"/>
  <c r="O638" i="32"/>
  <c r="P638" i="32" s="1"/>
  <c r="O639" i="32"/>
  <c r="P639" i="32" s="1"/>
  <c r="O640" i="32"/>
  <c r="P640" i="32" s="1"/>
  <c r="O641" i="32"/>
  <c r="P641" i="32" s="1"/>
  <c r="O642" i="32"/>
  <c r="P642" i="32" s="1"/>
  <c r="O643" i="32"/>
  <c r="P643" i="32" s="1"/>
  <c r="O644" i="32"/>
  <c r="O645" i="32"/>
  <c r="O646" i="32"/>
  <c r="O647" i="32"/>
  <c r="P647" i="32" s="1"/>
  <c r="O648" i="32"/>
  <c r="P648" i="32" s="1"/>
  <c r="O649" i="32"/>
  <c r="P649" i="32" s="1"/>
  <c r="O650" i="32"/>
  <c r="O651" i="32"/>
  <c r="O652" i="32"/>
  <c r="O653" i="32"/>
  <c r="O654" i="32"/>
  <c r="O655" i="32"/>
  <c r="O656" i="32"/>
  <c r="P656" i="32" s="1"/>
  <c r="O657" i="32"/>
  <c r="P657" i="32" s="1"/>
  <c r="O658" i="32"/>
  <c r="P658" i="32" s="1"/>
  <c r="O659" i="32"/>
  <c r="P659" i="32" s="1"/>
  <c r="O660" i="32"/>
  <c r="P660" i="32" s="1"/>
  <c r="O661" i="32"/>
  <c r="P661" i="32" s="1"/>
  <c r="O662" i="32"/>
  <c r="P662" i="32" s="1"/>
  <c r="O663" i="32"/>
  <c r="P663" i="32" s="1"/>
  <c r="O664" i="32"/>
  <c r="O665" i="32"/>
  <c r="O666" i="32"/>
  <c r="O667" i="32"/>
  <c r="P667" i="32" s="1"/>
  <c r="O668" i="32"/>
  <c r="P668" i="32" s="1"/>
  <c r="O669" i="32"/>
  <c r="P669" i="32" s="1"/>
  <c r="O670" i="32"/>
  <c r="O671" i="32"/>
  <c r="O672" i="32"/>
  <c r="O673" i="32"/>
  <c r="O674" i="32"/>
  <c r="O675" i="32"/>
  <c r="O676" i="32"/>
  <c r="P676" i="32" s="1"/>
  <c r="O677" i="32"/>
  <c r="P677" i="32" s="1"/>
  <c r="O678" i="32"/>
  <c r="P678" i="32" s="1"/>
  <c r="O679" i="32"/>
  <c r="P679" i="32" s="1"/>
  <c r="O680" i="32"/>
  <c r="P680" i="32" s="1"/>
  <c r="O681" i="32"/>
  <c r="P681" i="32" s="1"/>
  <c r="O682" i="32"/>
  <c r="P682" i="32" s="1"/>
  <c r="O683" i="32"/>
  <c r="P683" i="32" s="1"/>
  <c r="O684" i="32"/>
  <c r="O685" i="32"/>
  <c r="O686" i="32"/>
  <c r="O687" i="32"/>
  <c r="P687" i="32" s="1"/>
  <c r="O688" i="32"/>
  <c r="P688" i="32" s="1"/>
  <c r="O689" i="32"/>
  <c r="P689" i="32" s="1"/>
  <c r="O690" i="32"/>
  <c r="O691" i="32"/>
  <c r="O692" i="32"/>
  <c r="O693" i="32"/>
  <c r="O694" i="32"/>
  <c r="O695" i="32"/>
  <c r="O696" i="32"/>
  <c r="P696" i="32" s="1"/>
  <c r="O697" i="32"/>
  <c r="P697" i="32" s="1"/>
  <c r="O698" i="32"/>
  <c r="P698" i="32" s="1"/>
  <c r="O699" i="32"/>
  <c r="P699" i="32" s="1"/>
  <c r="O700" i="32"/>
  <c r="P700" i="32" s="1"/>
  <c r="O701" i="32"/>
  <c r="P701" i="32" s="1"/>
  <c r="O702" i="32"/>
  <c r="P702" i="32" s="1"/>
  <c r="O703" i="32"/>
  <c r="P703" i="32" s="1"/>
  <c r="O704" i="32"/>
  <c r="O705" i="32"/>
  <c r="O706" i="32"/>
  <c r="O707" i="32"/>
  <c r="P707" i="32" s="1"/>
  <c r="O708" i="32"/>
  <c r="P708" i="32" s="1"/>
  <c r="O709" i="32"/>
  <c r="P709" i="32" s="1"/>
  <c r="O710" i="32"/>
  <c r="O711" i="32"/>
  <c r="O712" i="32"/>
  <c r="O713" i="32"/>
  <c r="O714" i="32"/>
  <c r="O715" i="32"/>
  <c r="O716" i="32"/>
  <c r="P716" i="32" s="1"/>
  <c r="O717" i="32"/>
  <c r="P717" i="32" s="1"/>
  <c r="O718" i="32"/>
  <c r="P718" i="32" s="1"/>
  <c r="O719" i="32"/>
  <c r="P719" i="32" s="1"/>
  <c r="O720" i="32"/>
  <c r="P720" i="32" s="1"/>
  <c r="O721" i="32"/>
  <c r="P721" i="32" s="1"/>
  <c r="O722" i="32"/>
  <c r="P722" i="32" s="1"/>
  <c r="O723" i="32"/>
  <c r="P723" i="32" s="1"/>
  <c r="O724" i="32"/>
  <c r="O725" i="32"/>
  <c r="O726" i="32"/>
  <c r="O727" i="32"/>
  <c r="P727" i="32" s="1"/>
  <c r="O728" i="32"/>
  <c r="P728" i="32" s="1"/>
  <c r="O729" i="32"/>
  <c r="P729" i="32" s="1"/>
  <c r="O730" i="32"/>
  <c r="O731" i="32"/>
  <c r="O732" i="32"/>
  <c r="O733" i="32"/>
  <c r="O734" i="32"/>
  <c r="O735" i="32"/>
  <c r="O736" i="32"/>
  <c r="P736" i="32" s="1"/>
  <c r="O737" i="32"/>
  <c r="P737" i="32" s="1"/>
  <c r="O738" i="32"/>
  <c r="P738" i="32" s="1"/>
  <c r="O739" i="32"/>
  <c r="P739" i="32" s="1"/>
  <c r="O740" i="32"/>
  <c r="P740" i="32" s="1"/>
  <c r="O741" i="32"/>
  <c r="P741" i="32" s="1"/>
  <c r="O742" i="32"/>
  <c r="P742" i="32" s="1"/>
  <c r="O743" i="32"/>
  <c r="P743" i="32" s="1"/>
  <c r="O744" i="32"/>
  <c r="O745" i="32"/>
  <c r="O746" i="32"/>
  <c r="O747" i="32"/>
  <c r="P747" i="32" s="1"/>
  <c r="O748" i="32"/>
  <c r="P748" i="32" s="1"/>
  <c r="O749" i="32"/>
  <c r="P749" i="32" s="1"/>
  <c r="O750" i="32"/>
  <c r="O751" i="32"/>
  <c r="O752" i="32"/>
  <c r="O753" i="32"/>
  <c r="O754" i="32"/>
  <c r="O755" i="32"/>
  <c r="O756" i="32"/>
  <c r="P756" i="32" s="1"/>
  <c r="O757" i="32"/>
  <c r="P757" i="32" s="1"/>
  <c r="O758" i="32"/>
  <c r="P758" i="32" s="1"/>
  <c r="O759" i="32"/>
  <c r="P759" i="32" s="1"/>
  <c r="O760" i="32"/>
  <c r="P760" i="32" s="1"/>
  <c r="O761" i="32"/>
  <c r="P761" i="32" s="1"/>
  <c r="O762" i="32"/>
  <c r="P762" i="32" s="1"/>
  <c r="O763" i="32"/>
  <c r="P763" i="32" s="1"/>
  <c r="O764" i="32"/>
  <c r="O765" i="32"/>
  <c r="O766" i="32"/>
  <c r="O767" i="32"/>
  <c r="P767" i="32" s="1"/>
  <c r="O768" i="32"/>
  <c r="P768" i="32" s="1"/>
  <c r="O769" i="32"/>
  <c r="P769" i="32" s="1"/>
  <c r="O770" i="32"/>
  <c r="O771" i="32"/>
  <c r="O772" i="32"/>
  <c r="O773" i="32"/>
  <c r="O774" i="32"/>
  <c r="O775" i="32"/>
  <c r="O776" i="32"/>
  <c r="P776" i="32" s="1"/>
  <c r="O777" i="32"/>
  <c r="P777" i="32" s="1"/>
  <c r="O778" i="32"/>
  <c r="P778" i="32" s="1"/>
  <c r="O779" i="32"/>
  <c r="P779" i="32" s="1"/>
  <c r="O780" i="32"/>
  <c r="P780" i="32" s="1"/>
  <c r="O781" i="32"/>
  <c r="P781" i="32" s="1"/>
  <c r="O782" i="32"/>
  <c r="P782" i="32" s="1"/>
  <c r="O783" i="32"/>
  <c r="P783" i="32" s="1"/>
  <c r="O784" i="32"/>
  <c r="O785" i="32"/>
  <c r="O786" i="32"/>
  <c r="O787" i="32"/>
  <c r="P787" i="32" s="1"/>
  <c r="O788" i="32"/>
  <c r="P788" i="32" s="1"/>
  <c r="O789" i="32"/>
  <c r="P789" i="32" s="1"/>
  <c r="O790" i="32"/>
  <c r="O791" i="32"/>
  <c r="O792" i="32"/>
  <c r="O793" i="32"/>
  <c r="O794" i="32"/>
  <c r="O795" i="32"/>
  <c r="O796" i="32"/>
  <c r="P796" i="32" s="1"/>
  <c r="O797" i="32"/>
  <c r="P797" i="32" s="1"/>
  <c r="O798" i="32"/>
  <c r="P798" i="32" s="1"/>
  <c r="O799" i="32"/>
  <c r="P799" i="32" s="1"/>
  <c r="O800" i="32"/>
  <c r="P800" i="32" s="1"/>
  <c r="O801" i="32"/>
  <c r="P801" i="32" s="1"/>
  <c r="O802" i="32"/>
  <c r="P802" i="32" s="1"/>
  <c r="O803" i="32"/>
  <c r="P803" i="32" s="1"/>
  <c r="O804" i="32"/>
  <c r="O805" i="32"/>
  <c r="O806" i="32"/>
  <c r="O807" i="32"/>
  <c r="P807" i="32" s="1"/>
  <c r="O808" i="32"/>
  <c r="P808" i="32" s="1"/>
  <c r="O809" i="32"/>
  <c r="P809" i="32" s="1"/>
  <c r="O810" i="32"/>
  <c r="O811" i="32"/>
  <c r="O812" i="32"/>
  <c r="O813" i="32"/>
  <c r="O814" i="32"/>
  <c r="O815" i="32"/>
  <c r="O816" i="32"/>
  <c r="P816" i="32" s="1"/>
  <c r="O817" i="32"/>
  <c r="P817" i="32" s="1"/>
  <c r="O818" i="32"/>
  <c r="P818" i="32" s="1"/>
  <c r="O819" i="32"/>
  <c r="P819" i="32" s="1"/>
  <c r="O820" i="32"/>
  <c r="P820" i="32" s="1"/>
  <c r="O821" i="32"/>
  <c r="P821" i="32" s="1"/>
  <c r="O822" i="32"/>
  <c r="P822" i="32" s="1"/>
  <c r="O823" i="32"/>
  <c r="P823" i="32" s="1"/>
  <c r="O824" i="32"/>
  <c r="O825" i="32"/>
  <c r="O826" i="32"/>
  <c r="O827" i="32"/>
  <c r="P827" i="32" s="1"/>
  <c r="O828" i="32"/>
  <c r="P828" i="32" s="1"/>
  <c r="O829" i="32"/>
  <c r="P829" i="32" s="1"/>
  <c r="O830" i="32"/>
  <c r="O831" i="32"/>
  <c r="O832" i="32"/>
  <c r="O833" i="32"/>
  <c r="O834" i="32"/>
  <c r="O835" i="32"/>
  <c r="O836" i="32"/>
  <c r="P836" i="32" s="1"/>
  <c r="O837" i="32"/>
  <c r="P837" i="32" s="1"/>
  <c r="O838" i="32"/>
  <c r="P838" i="32" s="1"/>
  <c r="O839" i="32"/>
  <c r="P839" i="32" s="1"/>
  <c r="O840" i="32"/>
  <c r="P840" i="32" s="1"/>
  <c r="O841" i="32"/>
  <c r="P841" i="32" s="1"/>
  <c r="O842" i="32"/>
  <c r="P842" i="32" s="1"/>
  <c r="O843" i="32"/>
  <c r="P843" i="32" s="1"/>
  <c r="O844" i="32"/>
  <c r="O845" i="32"/>
  <c r="O846" i="32"/>
  <c r="O847" i="32"/>
  <c r="P847" i="32" s="1"/>
  <c r="O848" i="32"/>
  <c r="P848" i="32" s="1"/>
  <c r="O849" i="32"/>
  <c r="P849" i="32" s="1"/>
  <c r="O850" i="32"/>
  <c r="O851" i="32"/>
  <c r="O852" i="32"/>
  <c r="O853" i="32"/>
  <c r="O854" i="32"/>
  <c r="O855" i="32"/>
  <c r="O856" i="32"/>
  <c r="P856" i="32" s="1"/>
  <c r="O857" i="32"/>
  <c r="P857" i="32" s="1"/>
  <c r="O858" i="32"/>
  <c r="P858" i="32" s="1"/>
  <c r="O859" i="32"/>
  <c r="P859" i="32" s="1"/>
  <c r="O860" i="32"/>
  <c r="P860" i="32" s="1"/>
  <c r="O861" i="32"/>
  <c r="P861" i="32" s="1"/>
  <c r="O862" i="32"/>
  <c r="P862" i="32" s="1"/>
  <c r="O863" i="32"/>
  <c r="P863" i="32" s="1"/>
  <c r="O864" i="32"/>
  <c r="O865" i="32"/>
  <c r="O866" i="32"/>
  <c r="O867" i="32"/>
  <c r="P867" i="32" s="1"/>
  <c r="O5" i="32"/>
  <c r="P5" i="32" s="1"/>
  <c r="Q5" i="32"/>
  <c r="Q4" i="32" s="1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08" i="32"/>
  <c r="Q409" i="32"/>
  <c r="Q410" i="32"/>
  <c r="Q411" i="32"/>
  <c r="Q412" i="32"/>
  <c r="Q413" i="32"/>
  <c r="Q414" i="32"/>
  <c r="Q415" i="32"/>
  <c r="Q416" i="32"/>
  <c r="Q417" i="32"/>
  <c r="Q418" i="32"/>
  <c r="Q419" i="32"/>
  <c r="Q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Q439" i="32"/>
  <c r="Q440" i="32"/>
  <c r="Q441" i="32"/>
  <c r="Q442" i="32"/>
  <c r="Q443" i="32"/>
  <c r="Q444" i="32"/>
  <c r="Q445" i="32"/>
  <c r="Q446" i="32"/>
  <c r="Q447" i="32"/>
  <c r="Q448" i="32"/>
  <c r="Q449" i="32"/>
  <c r="Q450" i="32"/>
  <c r="Q451" i="32"/>
  <c r="Q452" i="32"/>
  <c r="Q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Q466" i="32"/>
  <c r="Q467" i="32"/>
  <c r="Q468" i="32"/>
  <c r="Q469" i="32"/>
  <c r="Q470" i="32"/>
  <c r="Q471" i="32"/>
  <c r="Q472" i="32"/>
  <c r="Q473" i="32"/>
  <c r="Q474" i="32"/>
  <c r="Q475" i="32"/>
  <c r="Q476" i="32"/>
  <c r="Q477" i="32"/>
  <c r="Q478" i="32"/>
  <c r="Q479" i="32"/>
  <c r="Q480" i="32"/>
  <c r="Q481" i="32"/>
  <c r="Q482" i="32"/>
  <c r="Q483" i="32"/>
  <c r="Q484" i="32"/>
  <c r="Q485" i="32"/>
  <c r="Q486" i="32"/>
  <c r="Q487" i="32"/>
  <c r="Q488" i="32"/>
  <c r="Q489" i="32"/>
  <c r="Q490" i="32"/>
  <c r="Q491" i="32"/>
  <c r="Q492" i="32"/>
  <c r="Q493" i="32"/>
  <c r="Q494" i="32"/>
  <c r="Q495" i="32"/>
  <c r="Q496" i="32"/>
  <c r="Q497" i="32"/>
  <c r="Q498" i="32"/>
  <c r="Q499" i="32"/>
  <c r="Q500" i="32"/>
  <c r="Q501" i="32"/>
  <c r="Q502" i="32"/>
  <c r="Q503" i="32"/>
  <c r="Q504" i="32"/>
  <c r="Q505" i="32"/>
  <c r="Q506" i="32"/>
  <c r="Q507" i="32"/>
  <c r="Q508" i="32"/>
  <c r="Q509" i="32"/>
  <c r="Q510" i="32"/>
  <c r="Q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Q536" i="32"/>
  <c r="Q537" i="32"/>
  <c r="Q538" i="32"/>
  <c r="Q539" i="32"/>
  <c r="Q540" i="32"/>
  <c r="Q541" i="32"/>
  <c r="Q542" i="32"/>
  <c r="Q543" i="32"/>
  <c r="Q544" i="32"/>
  <c r="Q545" i="32"/>
  <c r="Q546" i="32"/>
  <c r="Q547" i="32"/>
  <c r="Q548" i="32"/>
  <c r="Q549" i="32"/>
  <c r="Q550" i="32"/>
  <c r="Q551" i="32"/>
  <c r="Q552" i="32"/>
  <c r="Q553" i="32"/>
  <c r="Q554" i="32"/>
  <c r="Q555" i="32"/>
  <c r="Q556" i="32"/>
  <c r="Q557" i="32"/>
  <c r="Q558" i="32"/>
  <c r="Q559" i="32"/>
  <c r="Q560" i="32"/>
  <c r="Q561" i="32"/>
  <c r="Q562" i="32"/>
  <c r="Q563" i="32"/>
  <c r="Q564" i="32"/>
  <c r="Q565" i="32"/>
  <c r="Q566" i="32"/>
  <c r="Q567" i="32"/>
  <c r="Q568" i="32"/>
  <c r="Q569" i="32"/>
  <c r="Q570" i="32"/>
  <c r="Q571" i="32"/>
  <c r="Q572" i="32"/>
  <c r="Q573" i="32"/>
  <c r="Q574" i="32"/>
  <c r="Q575" i="32"/>
  <c r="Q576" i="32"/>
  <c r="Q577" i="32"/>
  <c r="Q578" i="32"/>
  <c r="Q579" i="32"/>
  <c r="Q580" i="32"/>
  <c r="Q581" i="32"/>
  <c r="Q582" i="32"/>
  <c r="Q583" i="32"/>
  <c r="Q584" i="32"/>
  <c r="Q585" i="32"/>
  <c r="Q586" i="32"/>
  <c r="Q587" i="32"/>
  <c r="Q588" i="32"/>
  <c r="Q589" i="32"/>
  <c r="Q590" i="32"/>
  <c r="Q591" i="32"/>
  <c r="Q592" i="32"/>
  <c r="Q593" i="32"/>
  <c r="Q594" i="32"/>
  <c r="Q595" i="32"/>
  <c r="Q596" i="32"/>
  <c r="Q597" i="32"/>
  <c r="Q598" i="32"/>
  <c r="Q599" i="32"/>
  <c r="Q600" i="32"/>
  <c r="Q601" i="32"/>
  <c r="Q602" i="32"/>
  <c r="Q603" i="32"/>
  <c r="Q604" i="32"/>
  <c r="Q605" i="32"/>
  <c r="Q606" i="32"/>
  <c r="Q607" i="32"/>
  <c r="Q608" i="32"/>
  <c r="Q609" i="32"/>
  <c r="Q610" i="32"/>
  <c r="Q611" i="32"/>
  <c r="Q612" i="32"/>
  <c r="Q613" i="32"/>
  <c r="Q614" i="32"/>
  <c r="Q615" i="32"/>
  <c r="Q616" i="32"/>
  <c r="Q617" i="32"/>
  <c r="Q618" i="32"/>
  <c r="Q619" i="32"/>
  <c r="Q620" i="32"/>
  <c r="Q621" i="32"/>
  <c r="Q622" i="32"/>
  <c r="Q623" i="32"/>
  <c r="Q624" i="32"/>
  <c r="Q625" i="32"/>
  <c r="Q626" i="32"/>
  <c r="Q627" i="32"/>
  <c r="Q628" i="32"/>
  <c r="Q629" i="32"/>
  <c r="Q630" i="32"/>
  <c r="Q631" i="32"/>
  <c r="Q632" i="32"/>
  <c r="Q633" i="32"/>
  <c r="Q634" i="32"/>
  <c r="Q635" i="32"/>
  <c r="Q636" i="32"/>
  <c r="Q637" i="32"/>
  <c r="Q638" i="32"/>
  <c r="Q639" i="32"/>
  <c r="Q640" i="32"/>
  <c r="Q641" i="32"/>
  <c r="Q642" i="32"/>
  <c r="Q643" i="32"/>
  <c r="Q644" i="32"/>
  <c r="Q645" i="32"/>
  <c r="Q646" i="32"/>
  <c r="Q647" i="32"/>
  <c r="Q648" i="32"/>
  <c r="Q649" i="32"/>
  <c r="Q650" i="32"/>
  <c r="Q651" i="32"/>
  <c r="Q652" i="32"/>
  <c r="Q653" i="32"/>
  <c r="Q654" i="32"/>
  <c r="Q655" i="32"/>
  <c r="Q656" i="32"/>
  <c r="Q657" i="32"/>
  <c r="Q658" i="32"/>
  <c r="Q659" i="32"/>
  <c r="Q660" i="32"/>
  <c r="Q661" i="32"/>
  <c r="Q662" i="32"/>
  <c r="Q663" i="32"/>
  <c r="Q664" i="32"/>
  <c r="Q665" i="32"/>
  <c r="Q666" i="32"/>
  <c r="Q667" i="32"/>
  <c r="Q668" i="32"/>
  <c r="Q669" i="32"/>
  <c r="Q670" i="32"/>
  <c r="Q671" i="32"/>
  <c r="Q672" i="32"/>
  <c r="Q673" i="32"/>
  <c r="Q674" i="32"/>
  <c r="Q675" i="32"/>
  <c r="Q676" i="32"/>
  <c r="Q677" i="32"/>
  <c r="Q678" i="32"/>
  <c r="Q679" i="32"/>
  <c r="Q680" i="32"/>
  <c r="Q681" i="32"/>
  <c r="Q682" i="32"/>
  <c r="Q683" i="32"/>
  <c r="Q684" i="32"/>
  <c r="Q685" i="32"/>
  <c r="Q686" i="32"/>
  <c r="Q687" i="32"/>
  <c r="Q688" i="32"/>
  <c r="Q689" i="32"/>
  <c r="Q690" i="32"/>
  <c r="Q691" i="32"/>
  <c r="Q692" i="32"/>
  <c r="Q693" i="32"/>
  <c r="Q694" i="32"/>
  <c r="Q695" i="32"/>
  <c r="Q696" i="32"/>
  <c r="Q697" i="32"/>
  <c r="Q698" i="32"/>
  <c r="Q699" i="32"/>
  <c r="Q700" i="32"/>
  <c r="Q701" i="32"/>
  <c r="Q702" i="32"/>
  <c r="Q703" i="32"/>
  <c r="Q704" i="32"/>
  <c r="Q705" i="32"/>
  <c r="Q706" i="32"/>
  <c r="Q707" i="32"/>
  <c r="Q708" i="32"/>
  <c r="Q709" i="32"/>
  <c r="Q710" i="32"/>
  <c r="Q711" i="32"/>
  <c r="Q712" i="32"/>
  <c r="Q713" i="32"/>
  <c r="Q714" i="32"/>
  <c r="Q715" i="32"/>
  <c r="Q716" i="32"/>
  <c r="Q717" i="32"/>
  <c r="Q718" i="32"/>
  <c r="Q719" i="32"/>
  <c r="Q720" i="32"/>
  <c r="Q721" i="32"/>
  <c r="Q722" i="32"/>
  <c r="Q723" i="32"/>
  <c r="Q724" i="32"/>
  <c r="Q725" i="32"/>
  <c r="Q726" i="32"/>
  <c r="Q727" i="32"/>
  <c r="Q728" i="32"/>
  <c r="Q729" i="32"/>
  <c r="Q730" i="32"/>
  <c r="Q731" i="32"/>
  <c r="Q732" i="32"/>
  <c r="Q733" i="32"/>
  <c r="Q734" i="32"/>
  <c r="Q735" i="32"/>
  <c r="Q736" i="32"/>
  <c r="Q737" i="32"/>
  <c r="Q738" i="32"/>
  <c r="Q739" i="32"/>
  <c r="Q740" i="32"/>
  <c r="Q741" i="32"/>
  <c r="Q742" i="32"/>
  <c r="Q743" i="32"/>
  <c r="Q744" i="32"/>
  <c r="Q745" i="32"/>
  <c r="Q746" i="32"/>
  <c r="Q747" i="32"/>
  <c r="Q748" i="32"/>
  <c r="Q749" i="32"/>
  <c r="Q750" i="32"/>
  <c r="Q751" i="32"/>
  <c r="Q752" i="32"/>
  <c r="Q753" i="32"/>
  <c r="Q754" i="32"/>
  <c r="Q755" i="32"/>
  <c r="Q756" i="32"/>
  <c r="Q757" i="32"/>
  <c r="Q758" i="32"/>
  <c r="Q759" i="32"/>
  <c r="Q760" i="32"/>
  <c r="Q761" i="32"/>
  <c r="Q762" i="32"/>
  <c r="Q763" i="32"/>
  <c r="Q764" i="32"/>
  <c r="Q765" i="32"/>
  <c r="Q766" i="32"/>
  <c r="Q767" i="32"/>
  <c r="Q768" i="32"/>
  <c r="Q769" i="32"/>
  <c r="Q770" i="32"/>
  <c r="Q771" i="32"/>
  <c r="Q772" i="32"/>
  <c r="Q773" i="32"/>
  <c r="Q774" i="32"/>
  <c r="Q775" i="32"/>
  <c r="Q776" i="32"/>
  <c r="Q777" i="32"/>
  <c r="Q778" i="32"/>
  <c r="Q779" i="32"/>
  <c r="Q780" i="32"/>
  <c r="Q781" i="32"/>
  <c r="Q782" i="32"/>
  <c r="Q783" i="32"/>
  <c r="Q784" i="32"/>
  <c r="Q785" i="32"/>
  <c r="Q786" i="32"/>
  <c r="Q787" i="32"/>
  <c r="Q788" i="32"/>
  <c r="Q789" i="32"/>
  <c r="Q790" i="32"/>
  <c r="Q791" i="32"/>
  <c r="Q792" i="32"/>
  <c r="Q793" i="32"/>
  <c r="Q794" i="32"/>
  <c r="Q795" i="32"/>
  <c r="Q796" i="32"/>
  <c r="Q797" i="32"/>
  <c r="Q798" i="32"/>
  <c r="Q799" i="32"/>
  <c r="Q800" i="32"/>
  <c r="Q801" i="32"/>
  <c r="Q802" i="32"/>
  <c r="Q803" i="32"/>
  <c r="Q804" i="32"/>
  <c r="Q805" i="32"/>
  <c r="Q806" i="32"/>
  <c r="Q807" i="32"/>
  <c r="Q808" i="32"/>
  <c r="Q809" i="32"/>
  <c r="Q810" i="32"/>
  <c r="Q811" i="32"/>
  <c r="Q812" i="32"/>
  <c r="Q813" i="32"/>
  <c r="Q814" i="32"/>
  <c r="Q815" i="32"/>
  <c r="Q816" i="32"/>
  <c r="Q817" i="32"/>
  <c r="Q818" i="32"/>
  <c r="Q819" i="32"/>
  <c r="Q820" i="32"/>
  <c r="Q821" i="32"/>
  <c r="Q822" i="32"/>
  <c r="Q823" i="32"/>
  <c r="Q824" i="32"/>
  <c r="Q825" i="32"/>
  <c r="Q826" i="32"/>
  <c r="Q827" i="32"/>
  <c r="Q828" i="32"/>
  <c r="Q829" i="32"/>
  <c r="Q830" i="32"/>
  <c r="Q831" i="32"/>
  <c r="Q832" i="32"/>
  <c r="Q833" i="32"/>
  <c r="Q834" i="32"/>
  <c r="Q835" i="32"/>
  <c r="Q836" i="32"/>
  <c r="Q837" i="32"/>
  <c r="Q838" i="32"/>
  <c r="Q839" i="32"/>
  <c r="Q840" i="32"/>
  <c r="Q841" i="32"/>
  <c r="Q842" i="32"/>
  <c r="Q843" i="32"/>
  <c r="Q844" i="32"/>
  <c r="Q845" i="32"/>
  <c r="Q846" i="32"/>
  <c r="Q847" i="32"/>
  <c r="Q848" i="32"/>
  <c r="Q849" i="32"/>
  <c r="Q850" i="32"/>
  <c r="Q851" i="32"/>
  <c r="Q852" i="32"/>
  <c r="Q853" i="32"/>
  <c r="Q854" i="32"/>
  <c r="Q855" i="32"/>
  <c r="Q856" i="32"/>
  <c r="Q857" i="32"/>
  <c r="Q858" i="32"/>
  <c r="Q859" i="32"/>
  <c r="Q860" i="32"/>
  <c r="Q861" i="32"/>
  <c r="Q862" i="32"/>
  <c r="Q863" i="32"/>
  <c r="Q864" i="32"/>
  <c r="Q865" i="32"/>
  <c r="Q866" i="32"/>
  <c r="Q867" i="32"/>
  <c r="M52" i="16"/>
  <c r="J30" i="16"/>
  <c r="J29" i="16"/>
  <c r="C64" i="16"/>
  <c r="C65" i="16"/>
  <c r="C63" i="16"/>
  <c r="D43" i="26"/>
  <c r="D42" i="26"/>
  <c r="D41" i="26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2" i="32"/>
  <c r="L791" i="32"/>
  <c r="L790" i="32"/>
  <c r="L789" i="32"/>
  <c r="L788" i="32"/>
  <c r="L787" i="32"/>
  <c r="L786" i="32"/>
  <c r="L785" i="32"/>
  <c r="L784" i="32"/>
  <c r="L783" i="32"/>
  <c r="L782" i="32"/>
  <c r="L780" i="32"/>
  <c r="L779" i="32"/>
  <c r="L778" i="32"/>
  <c r="L777" i="32"/>
  <c r="L775" i="32"/>
  <c r="L774" i="32"/>
  <c r="L773" i="32"/>
  <c r="L772" i="32"/>
  <c r="L771" i="32"/>
  <c r="L770" i="32"/>
  <c r="L769" i="32"/>
  <c r="L768" i="32"/>
  <c r="L767" i="32"/>
  <c r="L766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37" i="32"/>
  <c r="L636" i="32"/>
  <c r="L635" i="32"/>
  <c r="L634" i="32"/>
  <c r="L633" i="32"/>
  <c r="L632" i="32"/>
  <c r="L631" i="32"/>
  <c r="L629" i="32"/>
  <c r="L627" i="32"/>
  <c r="L626" i="32"/>
  <c r="L625" i="32"/>
  <c r="L624" i="32"/>
  <c r="L623" i="32"/>
  <c r="L622" i="32"/>
  <c r="L621" i="32"/>
  <c r="L620" i="32"/>
  <c r="L619" i="32"/>
  <c r="L618" i="32"/>
  <c r="L617" i="32"/>
  <c r="L616" i="32"/>
  <c r="L615" i="32"/>
  <c r="L614" i="32"/>
  <c r="L613" i="32"/>
  <c r="L612" i="32"/>
  <c r="L611" i="32"/>
  <c r="L610" i="32"/>
  <c r="L609" i="32"/>
  <c r="L608" i="32"/>
  <c r="L607" i="32"/>
  <c r="L606" i="32"/>
  <c r="L605" i="32"/>
  <c r="L604" i="32"/>
  <c r="L602" i="32"/>
  <c r="L601" i="32"/>
  <c r="L600" i="32"/>
  <c r="L599" i="32"/>
  <c r="L598" i="32"/>
  <c r="L597" i="32"/>
  <c r="L596" i="32"/>
  <c r="L594" i="32"/>
  <c r="L592" i="32"/>
  <c r="L591" i="32"/>
  <c r="L590" i="32"/>
  <c r="L589" i="32"/>
  <c r="L588" i="32"/>
  <c r="L587" i="32"/>
  <c r="L586" i="32"/>
  <c r="L585" i="32"/>
  <c r="L584" i="32"/>
  <c r="L583" i="32"/>
  <c r="L582" i="32"/>
  <c r="L581" i="32"/>
  <c r="L580" i="32"/>
  <c r="L579" i="32"/>
  <c r="L578" i="32"/>
  <c r="L577" i="32"/>
  <c r="L576" i="32"/>
  <c r="L575" i="32"/>
  <c r="L574" i="32"/>
  <c r="L573" i="32"/>
  <c r="L572" i="32"/>
  <c r="L571" i="32"/>
  <c r="L570" i="32"/>
  <c r="L569" i="32"/>
  <c r="L568" i="32"/>
  <c r="L567" i="32"/>
  <c r="L566" i="32"/>
  <c r="L564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505" i="32"/>
  <c r="L504" i="32"/>
  <c r="L503" i="32"/>
  <c r="L502" i="32"/>
  <c r="L501" i="32"/>
  <c r="L500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0" i="32"/>
  <c r="L419" i="32"/>
  <c r="L418" i="32"/>
  <c r="L417" i="32"/>
  <c r="L416" i="32"/>
  <c r="L415" i="32"/>
  <c r="L414" i="32"/>
  <c r="L413" i="32"/>
  <c r="L412" i="32"/>
  <c r="L411" i="32"/>
  <c r="L410" i="32"/>
  <c r="L406" i="32"/>
  <c r="L405" i="32"/>
  <c r="L404" i="32"/>
  <c r="L403" i="32"/>
  <c r="L402" i="32"/>
  <c r="L401" i="32"/>
  <c r="L400" i="32"/>
  <c r="L399" i="32"/>
  <c r="L398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4" i="32"/>
  <c r="L283" i="32"/>
  <c r="L282" i="32"/>
  <c r="L281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38" i="32"/>
  <c r="L236" i="32"/>
  <c r="L235" i="32"/>
  <c r="L234" i="32"/>
  <c r="L232" i="32"/>
  <c r="L231" i="32"/>
  <c r="L230" i="32"/>
  <c r="L229" i="32"/>
  <c r="L228" i="32"/>
  <c r="L226" i="32"/>
  <c r="L225" i="32"/>
  <c r="L224" i="32"/>
  <c r="L223" i="32"/>
  <c r="L222" i="32"/>
  <c r="L221" i="32"/>
  <c r="L220" i="32"/>
  <c r="L219" i="32"/>
  <c r="L214" i="32"/>
  <c r="L213" i="32"/>
  <c r="L212" i="32"/>
  <c r="L211" i="32"/>
  <c r="L210" i="32"/>
  <c r="L20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60" i="32"/>
  <c r="L59" i="32"/>
  <c r="L58" i="32"/>
  <c r="L57" i="32"/>
  <c r="L56" i="32"/>
  <c r="L55" i="32"/>
  <c r="L54" i="32"/>
  <c r="L53" i="32"/>
  <c r="L52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7" i="32"/>
  <c r="L16" i="32"/>
  <c r="L15" i="32"/>
  <c r="L14" i="32"/>
  <c r="L13" i="32"/>
  <c r="L12" i="32"/>
  <c r="L11" i="32"/>
  <c r="L10" i="32"/>
  <c r="L9" i="32"/>
  <c r="L8" i="32"/>
  <c r="L7" i="32"/>
  <c r="L6" i="32"/>
  <c r="L5" i="32"/>
  <c r="P49" i="32" l="1"/>
  <c r="P4" i="32" s="1"/>
  <c r="D20" i="1"/>
  <c r="G6" i="18"/>
  <c r="D18" i="1" s="1"/>
  <c r="F7" i="18"/>
  <c r="E41" i="26"/>
  <c r="I41" i="26" s="1"/>
  <c r="M63" i="16" s="1"/>
  <c r="E42" i="26"/>
  <c r="I42" i="26" s="1"/>
  <c r="M64" i="16" s="1"/>
  <c r="E43" i="26"/>
  <c r="AE18" i="1" l="1"/>
  <c r="AK18" i="1"/>
  <c r="AJ18" i="1"/>
  <c r="AM18" i="1"/>
  <c r="AC18" i="1"/>
  <c r="AF18" i="1"/>
  <c r="AL18" i="1"/>
  <c r="AH18" i="1"/>
  <c r="D18" i="15"/>
  <c r="H6" i="18"/>
  <c r="I6" i="18" s="1"/>
  <c r="J7" i="18"/>
  <c r="D19" i="1" s="1"/>
  <c r="D19" i="15" s="1"/>
  <c r="AF20" i="1"/>
  <c r="AM20" i="1"/>
  <c r="D20" i="15"/>
  <c r="AK20" i="1"/>
  <c r="AC20" i="1"/>
  <c r="AJ20" i="1"/>
  <c r="AH20" i="1"/>
  <c r="AE20" i="1"/>
  <c r="AL20" i="1"/>
  <c r="K8" i="18"/>
  <c r="L8" i="18" s="1"/>
  <c r="AM18" i="15"/>
  <c r="I43" i="26"/>
  <c r="M65" i="16" s="1"/>
  <c r="N3" i="33"/>
  <c r="E45" i="26" s="1"/>
  <c r="I45" i="26" s="1"/>
  <c r="M69" i="16" s="1"/>
  <c r="L866" i="33"/>
  <c r="L865" i="33"/>
  <c r="L864" i="33"/>
  <c r="L863" i="33"/>
  <c r="L862" i="33"/>
  <c r="L861" i="33"/>
  <c r="L860" i="33"/>
  <c r="L859" i="33"/>
  <c r="L858" i="33"/>
  <c r="L857" i="33"/>
  <c r="L856" i="33"/>
  <c r="L855" i="33"/>
  <c r="L854" i="33"/>
  <c r="L853" i="33"/>
  <c r="L852" i="33"/>
  <c r="L851" i="33"/>
  <c r="L850" i="33"/>
  <c r="L849" i="33"/>
  <c r="L848" i="33"/>
  <c r="L847" i="33"/>
  <c r="L846" i="33"/>
  <c r="L845" i="33"/>
  <c r="L844" i="33"/>
  <c r="L843" i="33"/>
  <c r="L842" i="33"/>
  <c r="L841" i="33"/>
  <c r="L839" i="33"/>
  <c r="L838" i="33"/>
  <c r="L837" i="33"/>
  <c r="L836" i="33"/>
  <c r="L835" i="33"/>
  <c r="L834" i="33"/>
  <c r="L833" i="33"/>
  <c r="L832" i="33"/>
  <c r="L831" i="33"/>
  <c r="L830" i="33"/>
  <c r="L829" i="33"/>
  <c r="L828" i="33"/>
  <c r="L827" i="33"/>
  <c r="L826" i="33"/>
  <c r="L825" i="33"/>
  <c r="L824" i="33"/>
  <c r="L823" i="33"/>
  <c r="L822" i="33"/>
  <c r="L821" i="33"/>
  <c r="L820" i="33"/>
  <c r="L819" i="33"/>
  <c r="L818" i="33"/>
  <c r="L817" i="33"/>
  <c r="L816" i="33"/>
  <c r="L815" i="33"/>
  <c r="L812" i="33"/>
  <c r="L811" i="33"/>
  <c r="L810" i="33"/>
  <c r="L809" i="33"/>
  <c r="L808" i="33"/>
  <c r="L807" i="33"/>
  <c r="L806" i="33"/>
  <c r="L805" i="33"/>
  <c r="L804" i="33"/>
  <c r="L803" i="33"/>
  <c r="L802" i="33"/>
  <c r="L801" i="33"/>
  <c r="L800" i="33"/>
  <c r="L799" i="33"/>
  <c r="L798" i="33"/>
  <c r="L797" i="33"/>
  <c r="L796" i="33"/>
  <c r="L795" i="33"/>
  <c r="L794" i="33"/>
  <c r="L793" i="33"/>
  <c r="L791" i="33"/>
  <c r="L790" i="33"/>
  <c r="L789" i="33"/>
  <c r="L788" i="33"/>
  <c r="L787" i="33"/>
  <c r="L786" i="33"/>
  <c r="L785" i="33"/>
  <c r="L784" i="33"/>
  <c r="L783" i="33"/>
  <c r="L782" i="33"/>
  <c r="L781" i="33"/>
  <c r="L779" i="33"/>
  <c r="L778" i="33"/>
  <c r="L777" i="33"/>
  <c r="L776" i="33"/>
  <c r="L774" i="33"/>
  <c r="L773" i="33"/>
  <c r="L772" i="33"/>
  <c r="L771" i="33"/>
  <c r="L770" i="33"/>
  <c r="L769" i="33"/>
  <c r="L768" i="33"/>
  <c r="L767" i="33"/>
  <c r="L766" i="33"/>
  <c r="L765" i="33"/>
  <c r="L763" i="33"/>
  <c r="L762" i="33"/>
  <c r="L761" i="33"/>
  <c r="L760" i="33"/>
  <c r="L759" i="33"/>
  <c r="L758" i="33"/>
  <c r="L757" i="33"/>
  <c r="L756" i="33"/>
  <c r="L755" i="33"/>
  <c r="L754" i="33"/>
  <c r="L753" i="33"/>
  <c r="L752" i="33"/>
  <c r="L751" i="33"/>
  <c r="L750" i="33"/>
  <c r="L749" i="33"/>
  <c r="L748" i="33"/>
  <c r="L747" i="33"/>
  <c r="L746" i="33"/>
  <c r="L745" i="33"/>
  <c r="L744" i="33"/>
  <c r="L743" i="33"/>
  <c r="L742" i="33"/>
  <c r="L741" i="33"/>
  <c r="L740" i="33"/>
  <c r="L739" i="33"/>
  <c r="L738" i="33"/>
  <c r="L737" i="33"/>
  <c r="L736" i="33"/>
  <c r="L735" i="33"/>
  <c r="L734" i="33"/>
  <c r="L733" i="33"/>
  <c r="L732" i="33"/>
  <c r="L731" i="33"/>
  <c r="L730" i="33"/>
  <c r="L729" i="33"/>
  <c r="L728" i="33"/>
  <c r="L727" i="33"/>
  <c r="L726" i="33"/>
  <c r="L725" i="33"/>
  <c r="L724" i="33"/>
  <c r="L723" i="33"/>
  <c r="L722" i="33"/>
  <c r="L721" i="33"/>
  <c r="L720" i="33"/>
  <c r="L719" i="33"/>
  <c r="L718" i="33"/>
  <c r="L717" i="33"/>
  <c r="L716" i="33"/>
  <c r="L714" i="33"/>
  <c r="L713" i="33"/>
  <c r="L712" i="33"/>
  <c r="L711" i="33"/>
  <c r="L710" i="33"/>
  <c r="L709" i="33"/>
  <c r="L708" i="33"/>
  <c r="L707" i="33"/>
  <c r="L706" i="33"/>
  <c r="L705" i="33"/>
  <c r="L704" i="33"/>
  <c r="L703" i="33"/>
  <c r="L702" i="33"/>
  <c r="L701" i="33"/>
  <c r="L700" i="33"/>
  <c r="L699" i="33"/>
  <c r="L698" i="33"/>
  <c r="L697" i="33"/>
  <c r="L696" i="33"/>
  <c r="L695" i="33"/>
  <c r="L694" i="33"/>
  <c r="L693" i="33"/>
  <c r="L692" i="33"/>
  <c r="L691" i="33"/>
  <c r="L690" i="33"/>
  <c r="L689" i="33"/>
  <c r="L688" i="33"/>
  <c r="L687" i="33"/>
  <c r="L686" i="33"/>
  <c r="L685" i="33"/>
  <c r="L684" i="33"/>
  <c r="L683" i="33"/>
  <c r="L682" i="33"/>
  <c r="L681" i="33"/>
  <c r="L680" i="33"/>
  <c r="L679" i="33"/>
  <c r="L678" i="33"/>
  <c r="L677" i="33"/>
  <c r="L676" i="33"/>
  <c r="L675" i="33"/>
  <c r="L674" i="33"/>
  <c r="L673" i="33"/>
  <c r="L672" i="33"/>
  <c r="L671" i="33"/>
  <c r="L670" i="33"/>
  <c r="L669" i="33"/>
  <c r="L668" i="33"/>
  <c r="L667" i="33"/>
  <c r="L666" i="33"/>
  <c r="L665" i="33"/>
  <c r="L664" i="33"/>
  <c r="L663" i="33"/>
  <c r="L662" i="33"/>
  <c r="L661" i="33"/>
  <c r="L660" i="33"/>
  <c r="L659" i="33"/>
  <c r="L658" i="33"/>
  <c r="L657" i="33"/>
  <c r="L656" i="33"/>
  <c r="L655" i="33"/>
  <c r="L654" i="33"/>
  <c r="L653" i="33"/>
  <c r="L652" i="33"/>
  <c r="L651" i="33"/>
  <c r="L650" i="33"/>
  <c r="L649" i="33"/>
  <c r="L648" i="33"/>
  <c r="L647" i="33"/>
  <c r="L646" i="33"/>
  <c r="L645" i="33"/>
  <c r="L644" i="33"/>
  <c r="L643" i="33"/>
  <c r="L642" i="33"/>
  <c r="L641" i="33"/>
  <c r="L640" i="33"/>
  <c r="L639" i="33"/>
  <c r="L638" i="33"/>
  <c r="L637" i="33"/>
  <c r="L636" i="33"/>
  <c r="L635" i="33"/>
  <c r="L634" i="33"/>
  <c r="L633" i="33"/>
  <c r="L632" i="33"/>
  <c r="L631" i="33"/>
  <c r="L630" i="33"/>
  <c r="L628" i="33"/>
  <c r="L626" i="33"/>
  <c r="L625" i="33"/>
  <c r="L624" i="33"/>
  <c r="L623" i="33"/>
  <c r="L622" i="33"/>
  <c r="L621" i="33"/>
  <c r="L620" i="33"/>
  <c r="L619" i="33"/>
  <c r="L618" i="33"/>
  <c r="L617" i="33"/>
  <c r="L616" i="33"/>
  <c r="L615" i="33"/>
  <c r="L614" i="33"/>
  <c r="L613" i="33"/>
  <c r="L612" i="33"/>
  <c r="L611" i="33"/>
  <c r="L610" i="33"/>
  <c r="L609" i="33"/>
  <c r="L608" i="33"/>
  <c r="L607" i="33"/>
  <c r="L606" i="33"/>
  <c r="L605" i="33"/>
  <c r="L604" i="33"/>
  <c r="L603" i="33"/>
  <c r="L601" i="33"/>
  <c r="L600" i="33"/>
  <c r="L599" i="33"/>
  <c r="L598" i="33"/>
  <c r="L597" i="33"/>
  <c r="L596" i="33"/>
  <c r="L595" i="33"/>
  <c r="L593" i="33"/>
  <c r="L591" i="33"/>
  <c r="L590" i="33"/>
  <c r="L589" i="33"/>
  <c r="L588" i="33"/>
  <c r="L587" i="33"/>
  <c r="L586" i="33"/>
  <c r="L585" i="33"/>
  <c r="L584" i="33"/>
  <c r="L583" i="33"/>
  <c r="L582" i="33"/>
  <c r="L581" i="33"/>
  <c r="L580" i="33"/>
  <c r="L579" i="33"/>
  <c r="L578" i="33"/>
  <c r="L577" i="33"/>
  <c r="L576" i="33"/>
  <c r="L575" i="33"/>
  <c r="L574" i="33"/>
  <c r="L573" i="33"/>
  <c r="L572" i="33"/>
  <c r="L571" i="33"/>
  <c r="L570" i="33"/>
  <c r="L569" i="33"/>
  <c r="L568" i="33"/>
  <c r="L567" i="33"/>
  <c r="L566" i="33"/>
  <c r="L565" i="33"/>
  <c r="L563" i="33"/>
  <c r="L562" i="33"/>
  <c r="L561" i="33"/>
  <c r="L560" i="33"/>
  <c r="L559" i="33"/>
  <c r="L558" i="33"/>
  <c r="L557" i="33"/>
  <c r="L556" i="33"/>
  <c r="L555" i="33"/>
  <c r="L554" i="33"/>
  <c r="L553" i="33"/>
  <c r="L552" i="33"/>
  <c r="L551" i="33"/>
  <c r="L550" i="33"/>
  <c r="L549" i="33"/>
  <c r="L548" i="33"/>
  <c r="L547" i="33"/>
  <c r="L546" i="33"/>
  <c r="L545" i="33"/>
  <c r="L544" i="33"/>
  <c r="L543" i="33"/>
  <c r="L542" i="33"/>
  <c r="L541" i="33"/>
  <c r="L540" i="33"/>
  <c r="L539" i="33"/>
  <c r="L538" i="33"/>
  <c r="L537" i="33"/>
  <c r="L536" i="33"/>
  <c r="L535" i="33"/>
  <c r="L534" i="33"/>
  <c r="L533" i="33"/>
  <c r="L532" i="33"/>
  <c r="L531" i="33"/>
  <c r="L530" i="33"/>
  <c r="L529" i="33"/>
  <c r="L528" i="33"/>
  <c r="L527" i="33"/>
  <c r="L526" i="33"/>
  <c r="L525" i="33"/>
  <c r="L524" i="33"/>
  <c r="L523" i="33"/>
  <c r="L521" i="33"/>
  <c r="L520" i="33"/>
  <c r="L519" i="33"/>
  <c r="L518" i="33"/>
  <c r="L517" i="33"/>
  <c r="L516" i="33"/>
  <c r="L515" i="33"/>
  <c r="L514" i="33"/>
  <c r="L513" i="33"/>
  <c r="L512" i="33"/>
  <c r="L511" i="33"/>
  <c r="L510" i="33"/>
  <c r="L509" i="33"/>
  <c r="L508" i="33"/>
  <c r="L507" i="33"/>
  <c r="L506" i="33"/>
  <c r="L505" i="33"/>
  <c r="L504" i="33"/>
  <c r="L503" i="33"/>
  <c r="L502" i="33"/>
  <c r="L501" i="33"/>
  <c r="L500" i="33"/>
  <c r="L499" i="33"/>
  <c r="L498" i="33"/>
  <c r="L497" i="33"/>
  <c r="L496" i="33"/>
  <c r="L495" i="33"/>
  <c r="L494" i="33"/>
  <c r="L493" i="33"/>
  <c r="L492" i="33"/>
  <c r="L491" i="33"/>
  <c r="L490" i="33"/>
  <c r="L489" i="33"/>
  <c r="L488" i="33"/>
  <c r="L487" i="33"/>
  <c r="L486" i="33"/>
  <c r="L485" i="33"/>
  <c r="L484" i="33"/>
  <c r="L483" i="33"/>
  <c r="L482" i="33"/>
  <c r="L481" i="33"/>
  <c r="L480" i="33"/>
  <c r="L479" i="33"/>
  <c r="L478" i="33"/>
  <c r="L477" i="33"/>
  <c r="L476" i="33"/>
  <c r="L475" i="33"/>
  <c r="L474" i="33"/>
  <c r="L473" i="33"/>
  <c r="L472" i="33"/>
  <c r="L471" i="33"/>
  <c r="L470" i="33"/>
  <c r="L469" i="33"/>
  <c r="L468" i="33"/>
  <c r="L467" i="33"/>
  <c r="L466" i="33"/>
  <c r="L465" i="33"/>
  <c r="L464" i="33"/>
  <c r="L463" i="33"/>
  <c r="L462" i="33"/>
  <c r="L461" i="33"/>
  <c r="L460" i="33"/>
  <c r="L459" i="33"/>
  <c r="L458" i="33"/>
  <c r="L457" i="33"/>
  <c r="L456" i="33"/>
  <c r="L455" i="33"/>
  <c r="L454" i="33"/>
  <c r="L453" i="33"/>
  <c r="L452" i="33"/>
  <c r="L451" i="33"/>
  <c r="L450" i="33"/>
  <c r="L449" i="33"/>
  <c r="L448" i="33"/>
  <c r="L447" i="33"/>
  <c r="L446" i="33"/>
  <c r="L445" i="33"/>
  <c r="L444" i="33"/>
  <c r="L443" i="33"/>
  <c r="L442" i="33"/>
  <c r="L441" i="33"/>
  <c r="L440" i="33"/>
  <c r="L438" i="33"/>
  <c r="L437" i="33"/>
  <c r="L436" i="33"/>
  <c r="L435" i="33"/>
  <c r="L434" i="33"/>
  <c r="L433" i="33"/>
  <c r="L432" i="33"/>
  <c r="L431" i="33"/>
  <c r="L430" i="33"/>
  <c r="L429" i="33"/>
  <c r="L428" i="33"/>
  <c r="L427" i="33"/>
  <c r="L426" i="33"/>
  <c r="L425" i="33"/>
  <c r="L424" i="33"/>
  <c r="L423" i="33"/>
  <c r="L422" i="33"/>
  <c r="L419" i="33"/>
  <c r="L418" i="33"/>
  <c r="L417" i="33"/>
  <c r="L416" i="33"/>
  <c r="L415" i="33"/>
  <c r="L414" i="33"/>
  <c r="L413" i="33"/>
  <c r="L412" i="33"/>
  <c r="L411" i="33"/>
  <c r="L410" i="33"/>
  <c r="L409" i="33"/>
  <c r="L405" i="33"/>
  <c r="L404" i="33"/>
  <c r="L403" i="33"/>
  <c r="L402" i="33"/>
  <c r="L401" i="33"/>
  <c r="L400" i="33"/>
  <c r="L399" i="33"/>
  <c r="L398" i="33"/>
  <c r="L397" i="33"/>
  <c r="L395" i="33"/>
  <c r="L394" i="33"/>
  <c r="L393" i="33"/>
  <c r="L392" i="33"/>
  <c r="L391" i="33"/>
  <c r="L390" i="33"/>
  <c r="L389" i="33"/>
  <c r="L388" i="33"/>
  <c r="L387" i="33"/>
  <c r="L386" i="33"/>
  <c r="L385" i="33"/>
  <c r="L384" i="33"/>
  <c r="L383" i="33"/>
  <c r="L382" i="33"/>
  <c r="L381" i="33"/>
  <c r="L380" i="33"/>
  <c r="L379" i="33"/>
  <c r="L378" i="33"/>
  <c r="L377" i="33"/>
  <c r="L376" i="33"/>
  <c r="L375" i="33"/>
  <c r="L374" i="33"/>
  <c r="L373" i="33"/>
  <c r="L372" i="33"/>
  <c r="L371" i="33"/>
  <c r="L370" i="33"/>
  <c r="L369" i="33"/>
  <c r="L368" i="33"/>
  <c r="L367" i="33"/>
  <c r="L366" i="33"/>
  <c r="L365" i="33"/>
  <c r="L364" i="33"/>
  <c r="L363" i="33"/>
  <c r="L362" i="33"/>
  <c r="L361" i="33"/>
  <c r="L360" i="33"/>
  <c r="L359" i="33"/>
  <c r="L358" i="33"/>
  <c r="L357" i="33"/>
  <c r="L356" i="33"/>
  <c r="L355" i="33"/>
  <c r="L354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3" i="33"/>
  <c r="L282" i="33"/>
  <c r="L281" i="33"/>
  <c r="L280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5" i="33"/>
  <c r="L234" i="33"/>
  <c r="L233" i="33"/>
  <c r="L231" i="33"/>
  <c r="L230" i="33"/>
  <c r="L229" i="33"/>
  <c r="L228" i="33"/>
  <c r="L227" i="33"/>
  <c r="L225" i="33"/>
  <c r="L224" i="33"/>
  <c r="L223" i="33"/>
  <c r="L222" i="33"/>
  <c r="L221" i="33"/>
  <c r="L220" i="33"/>
  <c r="L219" i="33"/>
  <c r="L218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483" i="31"/>
  <c r="H5" i="26"/>
  <c r="Q53" i="1" s="1"/>
  <c r="Q52" i="15" s="1"/>
  <c r="Q52" i="1"/>
  <c r="Q51" i="15" s="1"/>
  <c r="Q51" i="1"/>
  <c r="Q50" i="15" s="1"/>
  <c r="G9" i="26"/>
  <c r="G8" i="26"/>
  <c r="D11" i="26"/>
  <c r="D10" i="26"/>
  <c r="C11" i="26"/>
  <c r="C30" i="16" s="1"/>
  <c r="C10" i="26"/>
  <c r="C29" i="16" s="1"/>
  <c r="D10" i="35"/>
  <c r="D9" i="35"/>
  <c r="D7" i="35"/>
  <c r="D6" i="35"/>
  <c r="E8" i="36"/>
  <c r="E9" i="36"/>
  <c r="E10" i="36"/>
  <c r="E7" i="36"/>
  <c r="D14" i="39"/>
  <c r="D15" i="39"/>
  <c r="D16" i="39"/>
  <c r="D13" i="39"/>
  <c r="K7" i="18" l="1"/>
  <c r="L7" i="18" s="1"/>
  <c r="D24" i="1" s="1"/>
  <c r="AC18" i="15"/>
  <c r="AJ18" i="15"/>
  <c r="AK18" i="15"/>
  <c r="AH18" i="15"/>
  <c r="AL18" i="15"/>
  <c r="AF18" i="15"/>
  <c r="AE18" i="15"/>
  <c r="P37" i="1"/>
  <c r="Q37" i="1" s="1"/>
  <c r="Q45" i="1"/>
  <c r="Q44" i="15" s="1"/>
  <c r="Q32" i="1"/>
  <c r="C32" i="1"/>
  <c r="C32" i="15" s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Q33" i="1"/>
  <c r="AO33" i="1" s="1"/>
  <c r="C30" i="1"/>
  <c r="C30" i="15" s="1"/>
  <c r="M27" i="1"/>
  <c r="Q27" i="1" s="1"/>
  <c r="D43" i="1" l="1"/>
  <c r="D24" i="15"/>
  <c r="AD24" i="1"/>
  <c r="AF24" i="1"/>
  <c r="AA24" i="1"/>
  <c r="AO24" i="1"/>
  <c r="AB24" i="1"/>
  <c r="AL24" i="1"/>
  <c r="AI24" i="1"/>
  <c r="AG24" i="1"/>
  <c r="AE24" i="1"/>
  <c r="AH24" i="1"/>
  <c r="AC24" i="1"/>
  <c r="AJ24" i="1"/>
  <c r="AM24" i="1"/>
  <c r="AK24" i="1"/>
  <c r="M29" i="1"/>
  <c r="Q29" i="1" s="1"/>
  <c r="M29" i="15"/>
  <c r="B30" i="15"/>
  <c r="H26" i="10"/>
  <c r="B32" i="15"/>
  <c r="H28" i="10"/>
  <c r="AF24" i="15" l="1"/>
  <c r="AO24" i="15"/>
  <c r="AG24" i="15"/>
  <c r="AJ24" i="15"/>
  <c r="AC24" i="15"/>
  <c r="AL24" i="15"/>
  <c r="AE24" i="15"/>
  <c r="AH24" i="15"/>
  <c r="AA24" i="15"/>
  <c r="AI24" i="15"/>
  <c r="AB24" i="15"/>
  <c r="AK24" i="15"/>
  <c r="AD24" i="15"/>
  <c r="AM24" i="15"/>
  <c r="AN43" i="1"/>
  <c r="AO43" i="1"/>
  <c r="AA43" i="1"/>
  <c r="D42" i="15"/>
  <c r="M28" i="1"/>
  <c r="Q28" i="1" s="1"/>
  <c r="Q26" i="1"/>
  <c r="D27" i="1"/>
  <c r="D27" i="15" s="1"/>
  <c r="D28" i="1"/>
  <c r="D28" i="15" s="1"/>
  <c r="D29" i="1"/>
  <c r="D29" i="15" s="1"/>
  <c r="D26" i="1"/>
  <c r="D26" i="15" s="1"/>
  <c r="C37" i="1"/>
  <c r="C36" i="15" s="1"/>
  <c r="B37" i="1"/>
  <c r="B36" i="15" s="1"/>
  <c r="C27" i="1"/>
  <c r="C27" i="15" s="1"/>
  <c r="C28" i="1"/>
  <c r="C28" i="15" s="1"/>
  <c r="C29" i="1"/>
  <c r="C29" i="15" s="1"/>
  <c r="C26" i="1"/>
  <c r="C26" i="15" s="1"/>
  <c r="B29" i="1"/>
  <c r="B27" i="1"/>
  <c r="B28" i="1"/>
  <c r="G21" i="1"/>
  <c r="G19" i="1"/>
  <c r="G17" i="1"/>
  <c r="B9" i="38"/>
  <c r="AO42" i="15" l="1"/>
  <c r="AN42" i="15"/>
  <c r="AA42" i="15"/>
  <c r="E13" i="15"/>
  <c r="B26" i="15"/>
  <c r="H22" i="10"/>
  <c r="B29" i="15"/>
  <c r="H25" i="10"/>
  <c r="B28" i="15"/>
  <c r="H24" i="10"/>
  <c r="B27" i="15"/>
  <c r="H23" i="10"/>
  <c r="AH28" i="15"/>
  <c r="AA28" i="15"/>
  <c r="AI28" i="15"/>
  <c r="AB28" i="15"/>
  <c r="AJ28" i="15"/>
  <c r="AC28" i="15"/>
  <c r="AK28" i="15"/>
  <c r="AD28" i="15"/>
  <c r="AL28" i="15"/>
  <c r="AG28" i="15"/>
  <c r="AE28" i="15"/>
  <c r="AM28" i="15"/>
  <c r="AF28" i="15"/>
  <c r="AO28" i="15"/>
  <c r="AD26" i="15"/>
  <c r="AL26" i="15"/>
  <c r="AE26" i="15"/>
  <c r="AM26" i="15"/>
  <c r="AC26" i="15"/>
  <c r="AF26" i="15"/>
  <c r="AG26" i="15"/>
  <c r="AH26" i="15"/>
  <c r="AA26" i="15"/>
  <c r="AI26" i="15"/>
  <c r="AB26" i="15"/>
  <c r="AJ26" i="15"/>
  <c r="AK26" i="15"/>
  <c r="AO26" i="15"/>
  <c r="AF27" i="15"/>
  <c r="AG27" i="15"/>
  <c r="AH27" i="15"/>
  <c r="AA27" i="15"/>
  <c r="AI27" i="15"/>
  <c r="AB27" i="15"/>
  <c r="AJ27" i="15"/>
  <c r="AC27" i="15"/>
  <c r="AK27" i="15"/>
  <c r="AD27" i="15"/>
  <c r="AL27" i="15"/>
  <c r="AE27" i="15"/>
  <c r="AM27" i="15"/>
  <c r="AO27" i="15"/>
  <c r="AE26" i="1"/>
  <c r="AM26" i="1"/>
  <c r="AI26" i="1"/>
  <c r="AF26" i="1"/>
  <c r="AO26" i="1"/>
  <c r="AH26" i="1"/>
  <c r="AB26" i="1"/>
  <c r="AC26" i="1"/>
  <c r="AD26" i="1"/>
  <c r="AL26" i="1"/>
  <c r="AG26" i="1"/>
  <c r="AA26" i="1"/>
  <c r="AJ26" i="1"/>
  <c r="AK26" i="1"/>
  <c r="AA28" i="1"/>
  <c r="AI28" i="1"/>
  <c r="AL28" i="1"/>
  <c r="AB28" i="1"/>
  <c r="AJ28" i="1"/>
  <c r="AD28" i="1"/>
  <c r="AE28" i="1"/>
  <c r="AF28" i="1"/>
  <c r="AO28" i="1"/>
  <c r="AG28" i="1"/>
  <c r="AC28" i="1"/>
  <c r="AK28" i="1"/>
  <c r="AM28" i="1"/>
  <c r="AH28" i="1"/>
  <c r="AG27" i="1"/>
  <c r="AB27" i="1"/>
  <c r="AD27" i="1"/>
  <c r="AE27" i="1"/>
  <c r="AF27" i="1"/>
  <c r="AH27" i="1"/>
  <c r="AJ27" i="1"/>
  <c r="AC27" i="1"/>
  <c r="AO27" i="1"/>
  <c r="AA27" i="1"/>
  <c r="AI27" i="1"/>
  <c r="AK27" i="1"/>
  <c r="AL27" i="1"/>
  <c r="AM27" i="1"/>
  <c r="G12" i="1"/>
  <c r="G11" i="1"/>
  <c r="C12" i="1"/>
  <c r="C12" i="15" s="1"/>
  <c r="C13" i="1"/>
  <c r="C13" i="15" s="1"/>
  <c r="C11" i="1"/>
  <c r="C11" i="15" s="1"/>
  <c r="B12" i="1"/>
  <c r="B13" i="1"/>
  <c r="J69" i="16"/>
  <c r="J65" i="16"/>
  <c r="J64" i="16"/>
  <c r="J63" i="16"/>
  <c r="J60" i="16"/>
  <c r="J59" i="16"/>
  <c r="J57" i="16"/>
  <c r="C60" i="16"/>
  <c r="C59" i="16"/>
  <c r="J55" i="16"/>
  <c r="J54" i="16"/>
  <c r="J53" i="16"/>
  <c r="J52" i="16"/>
  <c r="J50" i="16"/>
  <c r="J49" i="16"/>
  <c r="C51" i="16"/>
  <c r="C52" i="16"/>
  <c r="C53" i="16"/>
  <c r="C54" i="16"/>
  <c r="C55" i="16"/>
  <c r="C48" i="16"/>
  <c r="J46" i="16"/>
  <c r="J45" i="16"/>
  <c r="J44" i="16"/>
  <c r="J43" i="16"/>
  <c r="J42" i="16"/>
  <c r="J41" i="16"/>
  <c r="J40" i="16"/>
  <c r="C45" i="16"/>
  <c r="C46" i="16"/>
  <c r="C41" i="16"/>
  <c r="C42" i="16"/>
  <c r="C43" i="16"/>
  <c r="C44" i="16"/>
  <c r="C40" i="16"/>
  <c r="J38" i="16"/>
  <c r="J37" i="16"/>
  <c r="J36" i="16"/>
  <c r="J35" i="16"/>
  <c r="C36" i="16"/>
  <c r="C37" i="16"/>
  <c r="C38" i="16"/>
  <c r="J24" i="16"/>
  <c r="J23" i="16"/>
  <c r="J25" i="16"/>
  <c r="J27" i="16"/>
  <c r="J28" i="16"/>
  <c r="J22" i="16"/>
  <c r="J72" i="16"/>
  <c r="J71" i="16"/>
  <c r="J70" i="16"/>
  <c r="J67" i="16"/>
  <c r="J66" i="16"/>
  <c r="J61" i="16"/>
  <c r="J33" i="16"/>
  <c r="B12" i="15" l="1"/>
  <c r="H11" i="10"/>
  <c r="B11" i="15"/>
  <c r="H10" i="10"/>
  <c r="B13" i="15"/>
  <c r="H12" i="10"/>
  <c r="N5" i="36"/>
  <c r="M5" i="36"/>
  <c r="E5" i="36" s="1"/>
  <c r="E6" i="36"/>
  <c r="D37" i="1" l="1"/>
  <c r="B14" i="35"/>
  <c r="B15" i="35" s="1"/>
  <c r="B19" i="35" l="1"/>
  <c r="E10" i="26" s="1"/>
  <c r="B20" i="35"/>
  <c r="D8" i="35" s="1"/>
  <c r="E11" i="26" s="1"/>
  <c r="D36" i="15"/>
  <c r="AA37" i="1"/>
  <c r="AO37" i="1"/>
  <c r="AN37" i="1"/>
  <c r="E4" i="34" l="1"/>
  <c r="D30" i="1" s="1"/>
  <c r="D30" i="15" s="1"/>
  <c r="F67" i="23" l="1"/>
  <c r="G67" i="23" s="1"/>
  <c r="H67" i="23" s="1"/>
  <c r="F66" i="23"/>
  <c r="G66" i="23" s="1"/>
  <c r="H66" i="23" s="1"/>
  <c r="F65" i="23"/>
  <c r="G65" i="23" s="1"/>
  <c r="H65" i="23" s="1"/>
  <c r="F64" i="23"/>
  <c r="G64" i="23" s="1"/>
  <c r="H64" i="23" s="1"/>
  <c r="F63" i="23"/>
  <c r="G63" i="23" s="1"/>
  <c r="H63" i="23" s="1"/>
  <c r="F62" i="23"/>
  <c r="G62" i="23" s="1"/>
  <c r="H62" i="23" s="1"/>
  <c r="F61" i="23"/>
  <c r="G61" i="23" s="1"/>
  <c r="H61" i="23" s="1"/>
  <c r="F60" i="23"/>
  <c r="G60" i="23" s="1"/>
  <c r="H60" i="23" s="1"/>
  <c r="F59" i="23"/>
  <c r="G59" i="23" s="1"/>
  <c r="H59" i="23" s="1"/>
  <c r="F58" i="23"/>
  <c r="G58" i="23" s="1"/>
  <c r="H58" i="23" s="1"/>
  <c r="F57" i="23"/>
  <c r="G57" i="23" s="1"/>
  <c r="H57" i="23" s="1"/>
  <c r="F56" i="23"/>
  <c r="G56" i="23" s="1"/>
  <c r="H56" i="23" l="1"/>
  <c r="G68" i="23"/>
  <c r="F68" i="23"/>
  <c r="F22" i="23"/>
  <c r="D10" i="17" l="1"/>
  <c r="F5" i="17" s="1"/>
  <c r="F50" i="23"/>
  <c r="G50" i="23" s="1"/>
  <c r="H50" i="23" s="1"/>
  <c r="F49" i="23"/>
  <c r="G49" i="23" s="1"/>
  <c r="H49" i="23" s="1"/>
  <c r="F48" i="23"/>
  <c r="G48" i="23" s="1"/>
  <c r="H48" i="23" s="1"/>
  <c r="F47" i="23"/>
  <c r="G47" i="23" s="1"/>
  <c r="H47" i="23" s="1"/>
  <c r="F46" i="23"/>
  <c r="G46" i="23" s="1"/>
  <c r="H46" i="23" s="1"/>
  <c r="F45" i="23"/>
  <c r="G45" i="23" s="1"/>
  <c r="H45" i="23" s="1"/>
  <c r="F44" i="23"/>
  <c r="G44" i="23" s="1"/>
  <c r="H44" i="23" s="1"/>
  <c r="F43" i="23"/>
  <c r="G43" i="23" s="1"/>
  <c r="H43" i="23" s="1"/>
  <c r="F42" i="23"/>
  <c r="G42" i="23" s="1"/>
  <c r="H42" i="23" s="1"/>
  <c r="F41" i="23"/>
  <c r="G41" i="23" s="1"/>
  <c r="H41" i="23" s="1"/>
  <c r="F40" i="23"/>
  <c r="G40" i="23" s="1"/>
  <c r="H40" i="23" s="1"/>
  <c r="F39" i="23"/>
  <c r="G39" i="23" s="1"/>
  <c r="H39" i="23" s="1"/>
  <c r="C31" i="26"/>
  <c r="C50" i="16" s="1"/>
  <c r="C30" i="26"/>
  <c r="C49" i="16" s="1"/>
  <c r="D9" i="26"/>
  <c r="D8" i="26"/>
  <c r="D6" i="26"/>
  <c r="D5" i="26"/>
  <c r="C53" i="1" s="1"/>
  <c r="C52" i="15" s="1"/>
  <c r="D4" i="26"/>
  <c r="C52" i="1" s="1"/>
  <c r="C51" i="15" s="1"/>
  <c r="D3" i="26"/>
  <c r="C51" i="1" s="1"/>
  <c r="C50" i="15" s="1"/>
  <c r="C9" i="26"/>
  <c r="C28" i="16" s="1"/>
  <c r="C8" i="26"/>
  <c r="C27" i="16" s="1"/>
  <c r="C6" i="26"/>
  <c r="C25" i="16" s="1"/>
  <c r="C5" i="26"/>
  <c r="C4" i="26"/>
  <c r="C22" i="16"/>
  <c r="O482" i="31"/>
  <c r="N482" i="31"/>
  <c r="O481" i="31"/>
  <c r="N481" i="31"/>
  <c r="Q481" i="31" s="1"/>
  <c r="O480" i="31"/>
  <c r="N480" i="31"/>
  <c r="O479" i="31"/>
  <c r="N479" i="31"/>
  <c r="Q479" i="31" s="1"/>
  <c r="O478" i="31"/>
  <c r="N478" i="31"/>
  <c r="O477" i="31"/>
  <c r="N477" i="31"/>
  <c r="O476" i="31"/>
  <c r="N476" i="31"/>
  <c r="O475" i="31"/>
  <c r="N475" i="31"/>
  <c r="O474" i="31"/>
  <c r="N474" i="31"/>
  <c r="Q474" i="31" s="1"/>
  <c r="O473" i="31"/>
  <c r="N473" i="31"/>
  <c r="Q473" i="31" s="1"/>
  <c r="O472" i="31"/>
  <c r="N472" i="31"/>
  <c r="O471" i="31"/>
  <c r="N471" i="31"/>
  <c r="Q471" i="31" s="1"/>
  <c r="O470" i="31"/>
  <c r="N470" i="31"/>
  <c r="Q470" i="31" s="1"/>
  <c r="O469" i="31"/>
  <c r="N469" i="31"/>
  <c r="Q469" i="31" s="1"/>
  <c r="O468" i="31"/>
  <c r="N468" i="31"/>
  <c r="Q468" i="31" s="1"/>
  <c r="O467" i="31"/>
  <c r="N467" i="31"/>
  <c r="Q467" i="31" s="1"/>
  <c r="O466" i="31"/>
  <c r="N466" i="31"/>
  <c r="Q466" i="31" s="1"/>
  <c r="O465" i="31"/>
  <c r="N465" i="31"/>
  <c r="Q465" i="31" s="1"/>
  <c r="O464" i="31"/>
  <c r="N464" i="31"/>
  <c r="Q464" i="31" s="1"/>
  <c r="O463" i="31"/>
  <c r="N463" i="31"/>
  <c r="Q463" i="31" s="1"/>
  <c r="O462" i="31"/>
  <c r="N462" i="31"/>
  <c r="O461" i="31"/>
  <c r="N461" i="31"/>
  <c r="Q461" i="31" s="1"/>
  <c r="O460" i="31"/>
  <c r="N460" i="31"/>
  <c r="Q460" i="31" s="1"/>
  <c r="O459" i="31"/>
  <c r="N459" i="31"/>
  <c r="Q459" i="31" s="1"/>
  <c r="O458" i="31"/>
  <c r="N458" i="31"/>
  <c r="Q458" i="31" s="1"/>
  <c r="O457" i="31"/>
  <c r="N457" i="31"/>
  <c r="Q457" i="31" s="1"/>
  <c r="O456" i="31"/>
  <c r="N456" i="31"/>
  <c r="Q456" i="31" s="1"/>
  <c r="O455" i="31"/>
  <c r="N455" i="31"/>
  <c r="Q455" i="31" s="1"/>
  <c r="O454" i="31"/>
  <c r="N454" i="31"/>
  <c r="Q454" i="31" s="1"/>
  <c r="O453" i="31"/>
  <c r="N453" i="31"/>
  <c r="Q453" i="31" s="1"/>
  <c r="O452" i="31"/>
  <c r="N452" i="31"/>
  <c r="O451" i="31"/>
  <c r="N451" i="31"/>
  <c r="Q451" i="31" s="1"/>
  <c r="O450" i="31"/>
  <c r="N450" i="31"/>
  <c r="Q450" i="31" s="1"/>
  <c r="O449" i="31"/>
  <c r="N449" i="31"/>
  <c r="Q449" i="31" s="1"/>
  <c r="O448" i="31"/>
  <c r="N448" i="31"/>
  <c r="Q448" i="31" s="1"/>
  <c r="O447" i="31"/>
  <c r="N447" i="31"/>
  <c r="Q447" i="31" s="1"/>
  <c r="O446" i="31"/>
  <c r="N446" i="31"/>
  <c r="Q446" i="31" s="1"/>
  <c r="O445" i="31"/>
  <c r="N445" i="31"/>
  <c r="Q445" i="31" s="1"/>
  <c r="O444" i="31"/>
  <c r="N444" i="31"/>
  <c r="Q444" i="31" s="1"/>
  <c r="O443" i="31"/>
  <c r="N443" i="31"/>
  <c r="Q443" i="31" s="1"/>
  <c r="O442" i="31"/>
  <c r="N442" i="31"/>
  <c r="O441" i="31"/>
  <c r="N441" i="31"/>
  <c r="Q441" i="31" s="1"/>
  <c r="O440" i="31"/>
  <c r="N440" i="31"/>
  <c r="Q440" i="31" s="1"/>
  <c r="O439" i="31"/>
  <c r="N439" i="31"/>
  <c r="Q439" i="31" s="1"/>
  <c r="O438" i="31"/>
  <c r="N438" i="31"/>
  <c r="Q438" i="31" s="1"/>
  <c r="N437" i="31"/>
  <c r="P437" i="31" s="1"/>
  <c r="O436" i="31"/>
  <c r="N436" i="31"/>
  <c r="Q436" i="31" s="1"/>
  <c r="O435" i="31"/>
  <c r="N435" i="31"/>
  <c r="O434" i="31"/>
  <c r="N434" i="31"/>
  <c r="O433" i="31"/>
  <c r="N433" i="31"/>
  <c r="Q433" i="31" s="1"/>
  <c r="O432" i="31"/>
  <c r="N432" i="31"/>
  <c r="Q432" i="31" s="1"/>
  <c r="O431" i="31"/>
  <c r="N431" i="31"/>
  <c r="Q431" i="31" s="1"/>
  <c r="O430" i="31"/>
  <c r="N430" i="31"/>
  <c r="O429" i="31"/>
  <c r="N429" i="31"/>
  <c r="O428" i="31"/>
  <c r="N428" i="31"/>
  <c r="O427" i="31"/>
  <c r="N427" i="31"/>
  <c r="Q427" i="31" s="1"/>
  <c r="O426" i="31"/>
  <c r="N426" i="31"/>
  <c r="O425" i="31"/>
  <c r="N425" i="31"/>
  <c r="O424" i="31"/>
  <c r="N424" i="31"/>
  <c r="Q424" i="31" s="1"/>
  <c r="O423" i="31"/>
  <c r="N423" i="31"/>
  <c r="Q423" i="31" s="1"/>
  <c r="O422" i="31"/>
  <c r="N422" i="31"/>
  <c r="Q422" i="31" s="1"/>
  <c r="O421" i="31"/>
  <c r="N421" i="31"/>
  <c r="Q421" i="31" s="1"/>
  <c r="O420" i="31"/>
  <c r="N420" i="31"/>
  <c r="O419" i="31"/>
  <c r="N419" i="31"/>
  <c r="O418" i="31"/>
  <c r="N418" i="31"/>
  <c r="O417" i="31"/>
  <c r="N417" i="31"/>
  <c r="Q417" i="31" s="1"/>
  <c r="O416" i="31"/>
  <c r="N416" i="31"/>
  <c r="Q416" i="31" s="1"/>
  <c r="O415" i="31"/>
  <c r="N415" i="31"/>
  <c r="O414" i="31"/>
  <c r="N414" i="31"/>
  <c r="Q414" i="31" s="1"/>
  <c r="O413" i="31"/>
  <c r="N413" i="31"/>
  <c r="Q413" i="31" s="1"/>
  <c r="O412" i="31"/>
  <c r="N412" i="31"/>
  <c r="O411" i="31"/>
  <c r="N411" i="31"/>
  <c r="Q411" i="31" s="1"/>
  <c r="O410" i="31"/>
  <c r="N410" i="31"/>
  <c r="O409" i="31"/>
  <c r="N409" i="31"/>
  <c r="O408" i="31"/>
  <c r="N408" i="31"/>
  <c r="O407" i="31"/>
  <c r="N407" i="31"/>
  <c r="Q407" i="31" s="1"/>
  <c r="O406" i="31"/>
  <c r="N406" i="31"/>
  <c r="Q406" i="31" s="1"/>
  <c r="O405" i="31"/>
  <c r="N405" i="31"/>
  <c r="O404" i="31"/>
  <c r="N404" i="31"/>
  <c r="Q404" i="31" s="1"/>
  <c r="O403" i="31"/>
  <c r="N403" i="31"/>
  <c r="Q403" i="31" s="1"/>
  <c r="N402" i="31"/>
  <c r="O401" i="31"/>
  <c r="N401" i="31"/>
  <c r="O400" i="31"/>
  <c r="N400" i="31"/>
  <c r="Q400" i="31" s="1"/>
  <c r="O399" i="31"/>
  <c r="N399" i="31"/>
  <c r="Q399" i="31" s="1"/>
  <c r="O398" i="31"/>
  <c r="N398" i="31"/>
  <c r="Q398" i="31" s="1"/>
  <c r="O397" i="31"/>
  <c r="N397" i="31"/>
  <c r="O396" i="31"/>
  <c r="N396" i="31"/>
  <c r="O395" i="31"/>
  <c r="N395" i="31"/>
  <c r="Q395" i="31" s="1"/>
  <c r="O394" i="31"/>
  <c r="N394" i="31"/>
  <c r="Q394" i="31" s="1"/>
  <c r="N393" i="31"/>
  <c r="P393" i="31" s="1"/>
  <c r="N392" i="31"/>
  <c r="O391" i="31"/>
  <c r="N391" i="31"/>
  <c r="Q391" i="31" s="1"/>
  <c r="O390" i="31"/>
  <c r="N390" i="31"/>
  <c r="O389" i="31"/>
  <c r="N389" i="31"/>
  <c r="Q389" i="31" s="1"/>
  <c r="O388" i="31"/>
  <c r="N388" i="31"/>
  <c r="Q388" i="31" s="1"/>
  <c r="O387" i="31"/>
  <c r="N387" i="31"/>
  <c r="Q387" i="31" s="1"/>
  <c r="O386" i="31"/>
  <c r="N386" i="31"/>
  <c r="O385" i="31"/>
  <c r="N385" i="31"/>
  <c r="Q385" i="31" s="1"/>
  <c r="O384" i="31"/>
  <c r="N384" i="31"/>
  <c r="O383" i="31"/>
  <c r="N383" i="31"/>
  <c r="Q383" i="31" s="1"/>
  <c r="O382" i="31"/>
  <c r="N382" i="31"/>
  <c r="O381" i="31"/>
  <c r="N381" i="31"/>
  <c r="Q381" i="31" s="1"/>
  <c r="O380" i="31"/>
  <c r="N380" i="31"/>
  <c r="O379" i="31"/>
  <c r="N379" i="31"/>
  <c r="Q379" i="31" s="1"/>
  <c r="O378" i="31"/>
  <c r="N378" i="31"/>
  <c r="Q378" i="31" s="1"/>
  <c r="O377" i="31"/>
  <c r="N377" i="31"/>
  <c r="Q377" i="31" s="1"/>
  <c r="O376" i="31"/>
  <c r="N376" i="31"/>
  <c r="O375" i="31"/>
  <c r="N375" i="31"/>
  <c r="Q375" i="31" s="1"/>
  <c r="O374" i="31"/>
  <c r="N374" i="31"/>
  <c r="O373" i="31"/>
  <c r="N373" i="31"/>
  <c r="Q373" i="31" s="1"/>
  <c r="O372" i="31"/>
  <c r="N372" i="31"/>
  <c r="Q372" i="31" s="1"/>
  <c r="O371" i="31"/>
  <c r="N371" i="31"/>
  <c r="Q371" i="31" s="1"/>
  <c r="N370" i="31"/>
  <c r="P370" i="31" s="1"/>
  <c r="O369" i="31"/>
  <c r="N369" i="31"/>
  <c r="Q369" i="31" s="1"/>
  <c r="O368" i="31"/>
  <c r="N368" i="31"/>
  <c r="O367" i="31"/>
  <c r="N367" i="31"/>
  <c r="O366" i="31"/>
  <c r="N366" i="31"/>
  <c r="O365" i="31"/>
  <c r="N365" i="31"/>
  <c r="Q365" i="31" s="1"/>
  <c r="O364" i="31"/>
  <c r="N364" i="31"/>
  <c r="Q364" i="31" s="1"/>
  <c r="O363" i="31"/>
  <c r="N363" i="31"/>
  <c r="O362" i="31"/>
  <c r="N362" i="31"/>
  <c r="Q362" i="31" s="1"/>
  <c r="O361" i="31"/>
  <c r="N361" i="31"/>
  <c r="Q361" i="31" s="1"/>
  <c r="N360" i="31"/>
  <c r="O359" i="31"/>
  <c r="N359" i="31"/>
  <c r="O358" i="31"/>
  <c r="N358" i="31"/>
  <c r="O357" i="31"/>
  <c r="N357" i="31"/>
  <c r="Q357" i="31" s="1"/>
  <c r="O356" i="31"/>
  <c r="N356" i="31"/>
  <c r="Q356" i="31" s="1"/>
  <c r="O355" i="31"/>
  <c r="N355" i="31"/>
  <c r="O354" i="31"/>
  <c r="N354" i="31"/>
  <c r="Q354" i="31" s="1"/>
  <c r="O353" i="31"/>
  <c r="N353" i="31"/>
  <c r="Q353" i="31" s="1"/>
  <c r="O352" i="31"/>
  <c r="N352" i="31"/>
  <c r="O351" i="31"/>
  <c r="N351" i="31"/>
  <c r="Q351" i="31" s="1"/>
  <c r="O350" i="31"/>
  <c r="N350" i="31"/>
  <c r="O349" i="31"/>
  <c r="N349" i="31"/>
  <c r="O348" i="31"/>
  <c r="N348" i="31"/>
  <c r="Q348" i="31" s="1"/>
  <c r="N347" i="31"/>
  <c r="P347" i="31" s="1"/>
  <c r="O346" i="31"/>
  <c r="N346" i="31"/>
  <c r="O345" i="31"/>
  <c r="N345" i="31"/>
  <c r="O344" i="31"/>
  <c r="N344" i="31"/>
  <c r="N343" i="31"/>
  <c r="P343" i="31" s="1"/>
  <c r="O342" i="31"/>
  <c r="N342" i="31"/>
  <c r="O341" i="31"/>
  <c r="N341" i="31"/>
  <c r="Q341" i="31" s="1"/>
  <c r="O340" i="31"/>
  <c r="N340" i="31"/>
  <c r="Q340" i="31" s="1"/>
  <c r="O339" i="31"/>
  <c r="N339" i="31"/>
  <c r="Q339" i="31" s="1"/>
  <c r="O338" i="31"/>
  <c r="N338" i="31"/>
  <c r="O337" i="31"/>
  <c r="N337" i="31"/>
  <c r="Q337" i="31" s="1"/>
  <c r="O336" i="31"/>
  <c r="N336" i="31"/>
  <c r="O335" i="31"/>
  <c r="N335" i="31"/>
  <c r="Q335" i="31" s="1"/>
  <c r="O334" i="31"/>
  <c r="N334" i="31"/>
  <c r="O333" i="31"/>
  <c r="N333" i="31"/>
  <c r="Q333" i="31" s="1"/>
  <c r="O332" i="31"/>
  <c r="N332" i="31"/>
  <c r="Q332" i="31" s="1"/>
  <c r="N331" i="31"/>
  <c r="P331" i="31" s="1"/>
  <c r="O330" i="31"/>
  <c r="N330" i="31"/>
  <c r="Q330" i="31" s="1"/>
  <c r="O329" i="31"/>
  <c r="N329" i="31"/>
  <c r="Q329" i="31" s="1"/>
  <c r="O328" i="31"/>
  <c r="N328" i="31"/>
  <c r="O327" i="31"/>
  <c r="N327" i="31"/>
  <c r="Q327" i="31" s="1"/>
  <c r="O326" i="31"/>
  <c r="N326" i="31"/>
  <c r="O325" i="31"/>
  <c r="N325" i="31"/>
  <c r="O324" i="31"/>
  <c r="N324" i="31"/>
  <c r="O323" i="31"/>
  <c r="N323" i="31"/>
  <c r="Q323" i="31" s="1"/>
  <c r="O322" i="31"/>
  <c r="N322" i="31"/>
  <c r="Q322" i="31" s="1"/>
  <c r="O321" i="31"/>
  <c r="N321" i="31"/>
  <c r="O320" i="31"/>
  <c r="N320" i="31"/>
  <c r="O319" i="31"/>
  <c r="N319" i="31"/>
  <c r="Q319" i="31" s="1"/>
  <c r="O318" i="31"/>
  <c r="N318" i="31"/>
  <c r="Q318" i="31" s="1"/>
  <c r="O317" i="31"/>
  <c r="N317" i="31"/>
  <c r="Q317" i="31" s="1"/>
  <c r="O316" i="31"/>
  <c r="N316" i="31"/>
  <c r="O315" i="31"/>
  <c r="N315" i="31"/>
  <c r="O314" i="31"/>
  <c r="N314" i="31"/>
  <c r="O313" i="31"/>
  <c r="N313" i="31"/>
  <c r="Q313" i="31" s="1"/>
  <c r="O312" i="31"/>
  <c r="N312" i="31"/>
  <c r="Q312" i="31" s="1"/>
  <c r="N311" i="31"/>
  <c r="P311" i="31" s="1"/>
  <c r="O310" i="31"/>
  <c r="N310" i="31"/>
  <c r="O309" i="31"/>
  <c r="N309" i="31"/>
  <c r="Q309" i="31" s="1"/>
  <c r="O308" i="31"/>
  <c r="N308" i="31"/>
  <c r="O307" i="31"/>
  <c r="N307" i="31"/>
  <c r="O306" i="31"/>
  <c r="N306" i="31"/>
  <c r="Q306" i="31" s="1"/>
  <c r="N305" i="31"/>
  <c r="P305" i="31" s="1"/>
  <c r="O304" i="31"/>
  <c r="N304" i="31"/>
  <c r="N303" i="31"/>
  <c r="P303" i="31" s="1"/>
  <c r="O302" i="31"/>
  <c r="N302" i="31"/>
  <c r="O301" i="31"/>
  <c r="N301" i="31"/>
  <c r="Q301" i="31" s="1"/>
  <c r="O300" i="31"/>
  <c r="N300" i="31"/>
  <c r="Q300" i="31" s="1"/>
  <c r="O299" i="31"/>
  <c r="N299" i="31"/>
  <c r="Q299" i="31" s="1"/>
  <c r="O298" i="31"/>
  <c r="N298" i="31"/>
  <c r="Q298" i="31" s="1"/>
  <c r="O297" i="31"/>
  <c r="N297" i="31"/>
  <c r="Q297" i="31" s="1"/>
  <c r="O296" i="31"/>
  <c r="N296" i="31"/>
  <c r="O295" i="31"/>
  <c r="N295" i="31"/>
  <c r="Q295" i="31" s="1"/>
  <c r="N294" i="31"/>
  <c r="P294" i="31" s="1"/>
  <c r="O293" i="31"/>
  <c r="N293" i="31"/>
  <c r="O292" i="31"/>
  <c r="N292" i="31"/>
  <c r="O291" i="31"/>
  <c r="N291" i="31"/>
  <c r="Q291" i="31" s="1"/>
  <c r="O290" i="31"/>
  <c r="N290" i="31"/>
  <c r="Q290" i="31" s="1"/>
  <c r="O289" i="31"/>
  <c r="N289" i="31"/>
  <c r="N288" i="31"/>
  <c r="P288" i="31" s="1"/>
  <c r="N287" i="31"/>
  <c r="P287" i="31" s="1"/>
  <c r="O286" i="31"/>
  <c r="N286" i="31"/>
  <c r="Q286" i="31" s="1"/>
  <c r="O285" i="31"/>
  <c r="N285" i="31"/>
  <c r="Q285" i="31" s="1"/>
  <c r="O284" i="31"/>
  <c r="N284" i="31"/>
  <c r="Q284" i="31" s="1"/>
  <c r="O283" i="31"/>
  <c r="N283" i="31"/>
  <c r="O282" i="31"/>
  <c r="N282" i="31"/>
  <c r="Q282" i="31" s="1"/>
  <c r="O281" i="31"/>
  <c r="N281" i="31"/>
  <c r="N280" i="31"/>
  <c r="P280" i="31" s="1"/>
  <c r="O279" i="31"/>
  <c r="N279" i="31"/>
  <c r="O278" i="31"/>
  <c r="N278" i="31"/>
  <c r="Q278" i="31" s="1"/>
  <c r="O277" i="31"/>
  <c r="N277" i="31"/>
  <c r="O276" i="31"/>
  <c r="N276" i="31"/>
  <c r="Q276" i="31" s="1"/>
  <c r="O275" i="31"/>
  <c r="N275" i="31"/>
  <c r="O274" i="31"/>
  <c r="N274" i="31"/>
  <c r="O273" i="31"/>
  <c r="N273" i="31"/>
  <c r="O272" i="31"/>
  <c r="N272" i="31"/>
  <c r="Q272" i="31" s="1"/>
  <c r="O271" i="31"/>
  <c r="N271" i="31"/>
  <c r="O270" i="31"/>
  <c r="N270" i="31"/>
  <c r="N269" i="31"/>
  <c r="O268" i="31"/>
  <c r="N268" i="31"/>
  <c r="Q268" i="31" s="1"/>
  <c r="O267" i="31"/>
  <c r="N267" i="31"/>
  <c r="N266" i="31"/>
  <c r="P266" i="31" s="1"/>
  <c r="O265" i="31"/>
  <c r="N265" i="31"/>
  <c r="O264" i="31"/>
  <c r="N264" i="31"/>
  <c r="Q264" i="31" s="1"/>
  <c r="O263" i="31"/>
  <c r="N263" i="31"/>
  <c r="O262" i="31"/>
  <c r="N262" i="31"/>
  <c r="Q262" i="31" s="1"/>
  <c r="N261" i="31"/>
  <c r="O260" i="31"/>
  <c r="N260" i="31"/>
  <c r="Q260" i="31" s="1"/>
  <c r="O259" i="31"/>
  <c r="N259" i="31"/>
  <c r="O258" i="31"/>
  <c r="N258" i="31"/>
  <c r="Q258" i="31" s="1"/>
  <c r="O257" i="31"/>
  <c r="N257" i="31"/>
  <c r="O256" i="31"/>
  <c r="N256" i="31"/>
  <c r="O255" i="31"/>
  <c r="N255" i="31"/>
  <c r="N254" i="31"/>
  <c r="P254" i="31" s="1"/>
  <c r="O253" i="31"/>
  <c r="N253" i="31"/>
  <c r="N252" i="31"/>
  <c r="P252" i="31" s="1"/>
  <c r="O251" i="31"/>
  <c r="N251" i="31"/>
  <c r="N250" i="31"/>
  <c r="P250" i="31" s="1"/>
  <c r="O249" i="31"/>
  <c r="N249" i="31"/>
  <c r="O248" i="31"/>
  <c r="N248" i="31"/>
  <c r="Q248" i="31" s="1"/>
  <c r="O247" i="31"/>
  <c r="N247" i="31"/>
  <c r="O246" i="31"/>
  <c r="N246" i="31"/>
  <c r="Q246" i="31" s="1"/>
  <c r="O245" i="31"/>
  <c r="N245" i="31"/>
  <c r="O244" i="31"/>
  <c r="N244" i="31"/>
  <c r="Q244" i="31" s="1"/>
  <c r="O243" i="31"/>
  <c r="N243" i="31"/>
  <c r="O242" i="31"/>
  <c r="N242" i="31"/>
  <c r="Q242" i="31" s="1"/>
  <c r="O241" i="31"/>
  <c r="N241" i="31"/>
  <c r="O240" i="31"/>
  <c r="N240" i="31"/>
  <c r="Q240" i="31" s="1"/>
  <c r="O239" i="31"/>
  <c r="N239" i="31"/>
  <c r="O238" i="31"/>
  <c r="N238" i="31"/>
  <c r="Q238" i="31" s="1"/>
  <c r="O237" i="31"/>
  <c r="N237" i="31"/>
  <c r="O236" i="31"/>
  <c r="N236" i="31"/>
  <c r="Q236" i="31" s="1"/>
  <c r="O235" i="31"/>
  <c r="N235" i="31"/>
  <c r="O234" i="31"/>
  <c r="N234" i="31"/>
  <c r="Q234" i="31" s="1"/>
  <c r="O233" i="31"/>
  <c r="N233" i="31"/>
  <c r="Q233" i="31" s="1"/>
  <c r="O232" i="31"/>
  <c r="N232" i="31"/>
  <c r="Q232" i="31" s="1"/>
  <c r="O231" i="31"/>
  <c r="N231" i="31"/>
  <c r="N230" i="31"/>
  <c r="P230" i="31" s="1"/>
  <c r="O229" i="31"/>
  <c r="N229" i="31"/>
  <c r="N228" i="31"/>
  <c r="P228" i="31" s="1"/>
  <c r="O227" i="31"/>
  <c r="N227" i="31"/>
  <c r="O226" i="31"/>
  <c r="N226" i="31"/>
  <c r="O225" i="31"/>
  <c r="N225" i="31"/>
  <c r="Q225" i="31" s="1"/>
  <c r="O224" i="31"/>
  <c r="N224" i="31"/>
  <c r="Q224" i="31" s="1"/>
  <c r="O223" i="31"/>
  <c r="N223" i="31"/>
  <c r="O222" i="31"/>
  <c r="N222" i="31"/>
  <c r="Q222" i="31" s="1"/>
  <c r="O221" i="31"/>
  <c r="N221" i="31"/>
  <c r="Q221" i="31" s="1"/>
  <c r="O220" i="31"/>
  <c r="N220" i="31"/>
  <c r="O219" i="31"/>
  <c r="N219" i="31"/>
  <c r="O218" i="31"/>
  <c r="N218" i="31"/>
  <c r="Q218" i="31" s="1"/>
  <c r="O217" i="31"/>
  <c r="N217" i="31"/>
  <c r="Q217" i="31" s="1"/>
  <c r="O216" i="31"/>
  <c r="N216" i="31"/>
  <c r="O215" i="31"/>
  <c r="N215" i="31"/>
  <c r="O214" i="31"/>
  <c r="N214" i="31"/>
  <c r="Q214" i="31" s="1"/>
  <c r="O213" i="31"/>
  <c r="N213" i="31"/>
  <c r="Q213" i="31" s="1"/>
  <c r="O212" i="31"/>
  <c r="N212" i="31"/>
  <c r="Q212" i="31" s="1"/>
  <c r="O211" i="31"/>
  <c r="N211" i="31"/>
  <c r="O210" i="31"/>
  <c r="N210" i="31"/>
  <c r="O209" i="31"/>
  <c r="N209" i="31"/>
  <c r="Q209" i="31" s="1"/>
  <c r="O208" i="31"/>
  <c r="N208" i="31"/>
  <c r="Q208" i="31" s="1"/>
  <c r="N207" i="31"/>
  <c r="O206" i="31"/>
  <c r="N206" i="31"/>
  <c r="O205" i="31"/>
  <c r="N205" i="31"/>
  <c r="Q205" i="31" s="1"/>
  <c r="N204" i="31"/>
  <c r="P204" i="31" s="1"/>
  <c r="O203" i="31"/>
  <c r="N203" i="31"/>
  <c r="O202" i="31"/>
  <c r="N202" i="31"/>
  <c r="Q202" i="31" s="1"/>
  <c r="O201" i="31"/>
  <c r="N201" i="31"/>
  <c r="Q201" i="31" s="1"/>
  <c r="O200" i="31"/>
  <c r="N200" i="31"/>
  <c r="Q200" i="31" s="1"/>
  <c r="O199" i="31"/>
  <c r="N199" i="31"/>
  <c r="N198" i="31"/>
  <c r="P198" i="31" s="1"/>
  <c r="O197" i="31"/>
  <c r="N197" i="31"/>
  <c r="O196" i="31"/>
  <c r="N196" i="31"/>
  <c r="O195" i="31"/>
  <c r="N195" i="31"/>
  <c r="O194" i="31"/>
  <c r="N194" i="31"/>
  <c r="Q194" i="31" s="1"/>
  <c r="O193" i="31"/>
  <c r="N193" i="31"/>
  <c r="Q193" i="31" s="1"/>
  <c r="O192" i="31"/>
  <c r="N192" i="31"/>
  <c r="O191" i="31"/>
  <c r="N191" i="31"/>
  <c r="O190" i="31"/>
  <c r="N190" i="31"/>
  <c r="Q190" i="31" s="1"/>
  <c r="O189" i="31"/>
  <c r="N189" i="31"/>
  <c r="Q189" i="31" s="1"/>
  <c r="O188" i="31"/>
  <c r="N188" i="31"/>
  <c r="Q188" i="31" s="1"/>
  <c r="O187" i="31"/>
  <c r="N187" i="31"/>
  <c r="O186" i="31"/>
  <c r="N186" i="31"/>
  <c r="O185" i="31"/>
  <c r="N185" i="31"/>
  <c r="O184" i="31"/>
  <c r="N184" i="31"/>
  <c r="Q184" i="31" s="1"/>
  <c r="O183" i="31"/>
  <c r="N183" i="31"/>
  <c r="O182" i="31"/>
  <c r="N182" i="31"/>
  <c r="N181" i="31"/>
  <c r="P181" i="31" s="1"/>
  <c r="O180" i="31"/>
  <c r="N180" i="31"/>
  <c r="Q180" i="31" s="1"/>
  <c r="O179" i="31"/>
  <c r="N179" i="31"/>
  <c r="Q179" i="31" s="1"/>
  <c r="O178" i="31"/>
  <c r="N178" i="31"/>
  <c r="O177" i="31"/>
  <c r="N177" i="31"/>
  <c r="Q177" i="31" s="1"/>
  <c r="O176" i="31"/>
  <c r="N176" i="31"/>
  <c r="Q176" i="31" s="1"/>
  <c r="O175" i="31"/>
  <c r="N175" i="31"/>
  <c r="Q175" i="31" s="1"/>
  <c r="O174" i="31"/>
  <c r="N174" i="31"/>
  <c r="O173" i="31"/>
  <c r="N173" i="31"/>
  <c r="Q173" i="31" s="1"/>
  <c r="O172" i="31"/>
  <c r="N172" i="31"/>
  <c r="Q172" i="31" s="1"/>
  <c r="O171" i="31"/>
  <c r="N171" i="31"/>
  <c r="O170" i="31"/>
  <c r="N170" i="31"/>
  <c r="Q170" i="31" s="1"/>
  <c r="O169" i="31"/>
  <c r="N169" i="31"/>
  <c r="O168" i="31"/>
  <c r="N168" i="31"/>
  <c r="O167" i="31"/>
  <c r="N167" i="31"/>
  <c r="O166" i="31"/>
  <c r="N166" i="31"/>
  <c r="Q166" i="31" s="1"/>
  <c r="N165" i="31"/>
  <c r="O164" i="31"/>
  <c r="N164" i="31"/>
  <c r="O163" i="31"/>
  <c r="N163" i="31"/>
  <c r="O162" i="31"/>
  <c r="N162" i="31"/>
  <c r="O161" i="31"/>
  <c r="N161" i="31"/>
  <c r="O160" i="31"/>
  <c r="N160" i="31"/>
  <c r="O159" i="31"/>
  <c r="N159" i="31"/>
  <c r="N158" i="31"/>
  <c r="O157" i="31"/>
  <c r="N157" i="31"/>
  <c r="N156" i="31"/>
  <c r="O155" i="31"/>
  <c r="N155" i="31"/>
  <c r="O154" i="31"/>
  <c r="N154" i="31"/>
  <c r="O153" i="31"/>
  <c r="N153" i="31"/>
  <c r="O152" i="31"/>
  <c r="N152" i="31"/>
  <c r="O151" i="31"/>
  <c r="N151" i="31"/>
  <c r="O150" i="31"/>
  <c r="N150" i="31"/>
  <c r="O149" i="31"/>
  <c r="N149" i="31"/>
  <c r="O148" i="31"/>
  <c r="N148" i="31"/>
  <c r="O147" i="31"/>
  <c r="N147" i="31"/>
  <c r="O146" i="31"/>
  <c r="N146" i="31"/>
  <c r="O145" i="31"/>
  <c r="N145" i="31"/>
  <c r="N144" i="31"/>
  <c r="O143" i="31"/>
  <c r="N143" i="31"/>
  <c r="O142" i="31"/>
  <c r="N142" i="31"/>
  <c r="O141" i="31"/>
  <c r="N141" i="31"/>
  <c r="O140" i="31"/>
  <c r="N140" i="31"/>
  <c r="O139" i="31"/>
  <c r="N139" i="31"/>
  <c r="O138" i="31"/>
  <c r="N138" i="31"/>
  <c r="O137" i="31"/>
  <c r="N137" i="31"/>
  <c r="O136" i="31"/>
  <c r="N136" i="31"/>
  <c r="N135" i="31"/>
  <c r="N134" i="31"/>
  <c r="O133" i="31"/>
  <c r="N133" i="31"/>
  <c r="O132" i="31"/>
  <c r="N132" i="31"/>
  <c r="O131" i="31"/>
  <c r="N131" i="31"/>
  <c r="O130" i="31"/>
  <c r="N130" i="31"/>
  <c r="N129" i="31"/>
  <c r="O128" i="31"/>
  <c r="N128" i="31"/>
  <c r="O127" i="31"/>
  <c r="N127" i="31"/>
  <c r="O126" i="31"/>
  <c r="N126" i="31"/>
  <c r="O125" i="31"/>
  <c r="N125" i="31"/>
  <c r="O124" i="31"/>
  <c r="N124" i="31"/>
  <c r="O123" i="31"/>
  <c r="N123" i="31"/>
  <c r="N122" i="31"/>
  <c r="O121" i="31"/>
  <c r="N121" i="31"/>
  <c r="O120" i="31"/>
  <c r="N120" i="31"/>
  <c r="O119" i="31"/>
  <c r="N119" i="31"/>
  <c r="O118" i="31"/>
  <c r="N118" i="31"/>
  <c r="N117" i="31"/>
  <c r="O116" i="31"/>
  <c r="N116" i="31"/>
  <c r="O115" i="31"/>
  <c r="N115" i="31"/>
  <c r="O114" i="31"/>
  <c r="N114" i="31"/>
  <c r="O113" i="31"/>
  <c r="N113" i="31"/>
  <c r="O112" i="31"/>
  <c r="N112" i="31"/>
  <c r="O111" i="31"/>
  <c r="N111" i="31"/>
  <c r="O110" i="31"/>
  <c r="N110" i="31"/>
  <c r="O109" i="31"/>
  <c r="N109" i="31"/>
  <c r="O108" i="31"/>
  <c r="N108" i="31"/>
  <c r="O107" i="31"/>
  <c r="N107" i="31"/>
  <c r="N106" i="31"/>
  <c r="N105" i="31"/>
  <c r="O104" i="31"/>
  <c r="N104" i="31"/>
  <c r="N103" i="31"/>
  <c r="O102" i="31"/>
  <c r="N102" i="31"/>
  <c r="O101" i="31"/>
  <c r="N101" i="31"/>
  <c r="N100" i="31"/>
  <c r="O99" i="31"/>
  <c r="N99" i="31"/>
  <c r="O98" i="31"/>
  <c r="N98" i="31"/>
  <c r="N97" i="31"/>
  <c r="O96" i="31"/>
  <c r="N96" i="31"/>
  <c r="O95" i="31"/>
  <c r="N95" i="31"/>
  <c r="O94" i="31"/>
  <c r="N94" i="31"/>
  <c r="N93" i="31"/>
  <c r="O92" i="31"/>
  <c r="N92" i="31"/>
  <c r="O91" i="31"/>
  <c r="N91" i="31"/>
  <c r="O90" i="31"/>
  <c r="N90" i="31"/>
  <c r="O89" i="31"/>
  <c r="N89" i="31"/>
  <c r="O88" i="31"/>
  <c r="N88" i="31"/>
  <c r="N87" i="31"/>
  <c r="O86" i="31"/>
  <c r="N86" i="31"/>
  <c r="N85" i="31"/>
  <c r="O84" i="31"/>
  <c r="N84" i="31"/>
  <c r="O83" i="31"/>
  <c r="N83" i="31"/>
  <c r="O82" i="31"/>
  <c r="N82" i="31"/>
  <c r="O81" i="31"/>
  <c r="N81" i="31"/>
  <c r="O80" i="31"/>
  <c r="N80" i="31"/>
  <c r="O79" i="31"/>
  <c r="N79" i="31"/>
  <c r="O78" i="31"/>
  <c r="N78" i="31"/>
  <c r="O77" i="31"/>
  <c r="N77" i="31"/>
  <c r="N76" i="31"/>
  <c r="N75" i="31"/>
  <c r="O74" i="31"/>
  <c r="N74" i="31"/>
  <c r="O73" i="31"/>
  <c r="N73" i="31"/>
  <c r="N72" i="31"/>
  <c r="O71" i="31"/>
  <c r="N71" i="31"/>
  <c r="O70" i="31"/>
  <c r="N70" i="31"/>
  <c r="O69" i="31"/>
  <c r="N69" i="31"/>
  <c r="N68" i="31"/>
  <c r="O67" i="31"/>
  <c r="N67" i="31"/>
  <c r="N66" i="31"/>
  <c r="O65" i="31"/>
  <c r="N65" i="31"/>
  <c r="O64" i="31"/>
  <c r="N64" i="31"/>
  <c r="O63" i="31"/>
  <c r="N63" i="31"/>
  <c r="O62" i="31"/>
  <c r="N62" i="31"/>
  <c r="O61" i="31"/>
  <c r="N61" i="31"/>
  <c r="O60" i="31"/>
  <c r="N60" i="31"/>
  <c r="N59" i="31"/>
  <c r="P59" i="31" s="1"/>
  <c r="O58" i="31"/>
  <c r="N58" i="31"/>
  <c r="O57" i="31"/>
  <c r="N57" i="31"/>
  <c r="Q57" i="31" s="1"/>
  <c r="O56" i="31"/>
  <c r="N56" i="31"/>
  <c r="O55" i="31"/>
  <c r="N55" i="31"/>
  <c r="O54" i="31"/>
  <c r="N54" i="31"/>
  <c r="N53" i="31"/>
  <c r="P53" i="31" s="1"/>
  <c r="N52" i="31"/>
  <c r="O51" i="31"/>
  <c r="N51" i="31"/>
  <c r="Q51" i="31" s="1"/>
  <c r="N50" i="31"/>
  <c r="O49" i="31"/>
  <c r="N49" i="31"/>
  <c r="Q49" i="31" s="1"/>
  <c r="N48" i="31"/>
  <c r="N47" i="31"/>
  <c r="P47" i="31" s="1"/>
  <c r="O46" i="31"/>
  <c r="N46" i="31"/>
  <c r="O45" i="31"/>
  <c r="N45" i="31"/>
  <c r="Q45" i="31" s="1"/>
  <c r="O44" i="31"/>
  <c r="N44" i="31"/>
  <c r="O43" i="31"/>
  <c r="N43" i="31"/>
  <c r="Q43" i="31" s="1"/>
  <c r="O42" i="31"/>
  <c r="N42" i="31"/>
  <c r="Q42" i="31" s="1"/>
  <c r="O41" i="31"/>
  <c r="N41" i="31"/>
  <c r="Q41" i="31" s="1"/>
  <c r="O40" i="31"/>
  <c r="N40" i="31"/>
  <c r="N39" i="31"/>
  <c r="P39" i="31" s="1"/>
  <c r="O38" i="31"/>
  <c r="N38" i="31"/>
  <c r="Q38" i="31" s="1"/>
  <c r="O37" i="31"/>
  <c r="N37" i="31"/>
  <c r="N36" i="31"/>
  <c r="P36" i="31" s="1"/>
  <c r="O35" i="31"/>
  <c r="N35" i="31"/>
  <c r="Q35" i="31" s="1"/>
  <c r="N34" i="31"/>
  <c r="P34" i="31" s="1"/>
  <c r="O33" i="31"/>
  <c r="N33" i="31"/>
  <c r="Q33" i="31" s="1"/>
  <c r="O32" i="31"/>
  <c r="N32" i="31"/>
  <c r="Q32" i="31" s="1"/>
  <c r="N31" i="31"/>
  <c r="P31" i="31" s="1"/>
  <c r="O30" i="31"/>
  <c r="N30" i="31"/>
  <c r="Q30" i="31" s="1"/>
  <c r="O29" i="31"/>
  <c r="N29" i="31"/>
  <c r="Q29" i="31" s="1"/>
  <c r="O28" i="31"/>
  <c r="N28" i="31"/>
  <c r="O27" i="31"/>
  <c r="N27" i="31"/>
  <c r="Q27" i="31" s="1"/>
  <c r="O26" i="31"/>
  <c r="N26" i="31"/>
  <c r="Q26" i="31" s="1"/>
  <c r="O25" i="31"/>
  <c r="N25" i="31"/>
  <c r="Q25" i="31" s="1"/>
  <c r="N24" i="31"/>
  <c r="P24" i="31" s="1"/>
  <c r="O23" i="31"/>
  <c r="N23" i="31"/>
  <c r="Q23" i="31" s="1"/>
  <c r="O22" i="31"/>
  <c r="N22" i="31"/>
  <c r="Q22" i="31" s="1"/>
  <c r="O21" i="31"/>
  <c r="N21" i="31"/>
  <c r="Q21" i="31" s="1"/>
  <c r="N20" i="31"/>
  <c r="P20" i="31" s="1"/>
  <c r="O19" i="31"/>
  <c r="N19" i="31"/>
  <c r="Q19" i="31" s="1"/>
  <c r="O18" i="31"/>
  <c r="N18" i="31"/>
  <c r="Q18" i="31" s="1"/>
  <c r="O17" i="31"/>
  <c r="N17" i="31"/>
  <c r="O16" i="31"/>
  <c r="N16" i="31"/>
  <c r="Q16" i="31" s="1"/>
  <c r="N15" i="31"/>
  <c r="P15" i="31" s="1"/>
  <c r="N14" i="31"/>
  <c r="P14" i="31" s="1"/>
  <c r="N13" i="31"/>
  <c r="P13" i="31" s="1"/>
  <c r="N12" i="31"/>
  <c r="P12" i="31" s="1"/>
  <c r="O11" i="31"/>
  <c r="N11" i="31"/>
  <c r="Q11" i="31" s="1"/>
  <c r="O10" i="31"/>
  <c r="N10" i="31"/>
  <c r="Q10" i="31" s="1"/>
  <c r="N9" i="31"/>
  <c r="P9" i="31" s="1"/>
  <c r="O8" i="31"/>
  <c r="N8" i="31"/>
  <c r="Q8" i="31" s="1"/>
  <c r="O7" i="31"/>
  <c r="N7" i="31"/>
  <c r="N6" i="31"/>
  <c r="P6" i="31" s="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O5" i="31"/>
  <c r="N5" i="31"/>
  <c r="E26" i="30"/>
  <c r="E25" i="30"/>
  <c r="E24" i="30"/>
  <c r="I23" i="30"/>
  <c r="H23" i="30"/>
  <c r="F18" i="30"/>
  <c r="F17" i="30"/>
  <c r="F16" i="30"/>
  <c r="F15" i="30"/>
  <c r="F14" i="30"/>
  <c r="F5" i="30" s="1"/>
  <c r="E31" i="26" s="1"/>
  <c r="I31" i="26" s="1"/>
  <c r="M50" i="16" s="1"/>
  <c r="F13" i="30"/>
  <c r="F12" i="30"/>
  <c r="F11" i="30"/>
  <c r="F10" i="30"/>
  <c r="F9" i="30"/>
  <c r="F8" i="30"/>
  <c r="F7" i="30"/>
  <c r="F4" i="30"/>
  <c r="J24" i="30" s="1"/>
  <c r="G12" i="29"/>
  <c r="F12" i="29"/>
  <c r="D12" i="29"/>
  <c r="H11" i="29"/>
  <c r="F11" i="29"/>
  <c r="D11" i="29"/>
  <c r="I11" i="29" s="1"/>
  <c r="J11" i="29" s="1"/>
  <c r="G10" i="29"/>
  <c r="F10" i="29"/>
  <c r="D10" i="29"/>
  <c r="G9" i="29"/>
  <c r="F9" i="29"/>
  <c r="D9" i="29"/>
  <c r="H8" i="29"/>
  <c r="F8" i="29"/>
  <c r="D8" i="29"/>
  <c r="H7" i="29"/>
  <c r="F7" i="29"/>
  <c r="D7" i="29"/>
  <c r="G6" i="29"/>
  <c r="F6" i="29"/>
  <c r="D6" i="29"/>
  <c r="H5" i="29"/>
  <c r="F5" i="29"/>
  <c r="D5" i="29"/>
  <c r="E8" i="28"/>
  <c r="E9" i="26" s="1"/>
  <c r="I9" i="26" s="1"/>
  <c r="M28" i="16" s="1"/>
  <c r="E7" i="28"/>
  <c r="E6" i="28"/>
  <c r="E5" i="28"/>
  <c r="E4" i="28"/>
  <c r="F96" i="27"/>
  <c r="C46" i="27" s="1"/>
  <c r="F95" i="27"/>
  <c r="F94" i="27"/>
  <c r="C45" i="27" s="1"/>
  <c r="F93" i="27"/>
  <c r="C44" i="27" s="1"/>
  <c r="F92" i="27"/>
  <c r="F91" i="27"/>
  <c r="F90" i="27"/>
  <c r="C43" i="27" s="1"/>
  <c r="F89" i="27"/>
  <c r="F88" i="27"/>
  <c r="F87" i="27"/>
  <c r="C41" i="27" s="1"/>
  <c r="F86" i="27"/>
  <c r="F85" i="27"/>
  <c r="F84" i="27"/>
  <c r="F83" i="27"/>
  <c r="F82" i="27"/>
  <c r="F81" i="27"/>
  <c r="F80" i="27"/>
  <c r="F78" i="27"/>
  <c r="C40" i="27" s="1"/>
  <c r="F77" i="27"/>
  <c r="F76" i="27"/>
  <c r="F75" i="27"/>
  <c r="F74" i="27"/>
  <c r="F73" i="27"/>
  <c r="C38" i="27" s="1"/>
  <c r="F72" i="27"/>
  <c r="F71" i="27"/>
  <c r="F70" i="27"/>
  <c r="F69" i="27"/>
  <c r="C36" i="27" s="1"/>
  <c r="F68" i="27"/>
  <c r="F67" i="27"/>
  <c r="F66" i="27"/>
  <c r="F65" i="27"/>
  <c r="F64" i="27"/>
  <c r="F63" i="27"/>
  <c r="F62" i="27"/>
  <c r="F61" i="27"/>
  <c r="F60" i="27"/>
  <c r="F59" i="27"/>
  <c r="F58" i="27"/>
  <c r="C31" i="27" s="1"/>
  <c r="F57" i="27"/>
  <c r="F56" i="27"/>
  <c r="F55" i="27"/>
  <c r="F54" i="27"/>
  <c r="F53" i="27"/>
  <c r="F52" i="27"/>
  <c r="F14" i="27"/>
  <c r="F13" i="27"/>
  <c r="F12" i="27" s="1"/>
  <c r="E5" i="26" s="1"/>
  <c r="D53" i="1" s="1"/>
  <c r="D52" i="15" s="1"/>
  <c r="F11" i="27"/>
  <c r="F10" i="27"/>
  <c r="F9" i="27"/>
  <c r="F8" i="27"/>
  <c r="F6" i="27"/>
  <c r="F5" i="27"/>
  <c r="H16" i="26"/>
  <c r="I11" i="26"/>
  <c r="M30" i="16" s="1"/>
  <c r="I10" i="26"/>
  <c r="M29" i="16" s="1"/>
  <c r="J5" i="17" l="1"/>
  <c r="D12" i="1" s="1"/>
  <c r="Q44" i="31"/>
  <c r="Q168" i="31"/>
  <c r="Q178" i="31"/>
  <c r="Q210" i="31"/>
  <c r="Q220" i="31"/>
  <c r="Q274" i="31"/>
  <c r="Q296" i="31"/>
  <c r="Q307" i="31"/>
  <c r="Q338" i="31"/>
  <c r="Q349" i="31"/>
  <c r="Q359" i="31"/>
  <c r="Q380" i="31"/>
  <c r="Q401" i="31"/>
  <c r="Q442" i="31"/>
  <c r="Q452" i="31"/>
  <c r="Q462" i="31"/>
  <c r="Q472" i="31"/>
  <c r="E3" i="28"/>
  <c r="E8" i="26" s="1"/>
  <c r="I8" i="26" s="1"/>
  <c r="M27" i="16" s="1"/>
  <c r="Q37" i="31"/>
  <c r="Q182" i="31"/>
  <c r="Q192" i="31"/>
  <c r="Q256" i="31"/>
  <c r="Q289" i="31"/>
  <c r="Q321" i="31"/>
  <c r="Q363" i="31"/>
  <c r="Q405" i="31"/>
  <c r="Q415" i="31"/>
  <c r="Q425" i="31"/>
  <c r="Q435" i="31"/>
  <c r="F21" i="27"/>
  <c r="D17" i="29"/>
  <c r="K17" i="29" s="1"/>
  <c r="L17" i="29" s="1"/>
  <c r="F4" i="27"/>
  <c r="F22" i="27"/>
  <c r="D18" i="29"/>
  <c r="K18" i="29" s="1"/>
  <c r="L18" i="29" s="1"/>
  <c r="Q17" i="31"/>
  <c r="Q28" i="31"/>
  <c r="Q40" i="31"/>
  <c r="Q174" i="31"/>
  <c r="Q216" i="31"/>
  <c r="Q226" i="31"/>
  <c r="Q237" i="31"/>
  <c r="Q270" i="31"/>
  <c r="Q302" i="31"/>
  <c r="Q355" i="31"/>
  <c r="Q386" i="31"/>
  <c r="Q397" i="31"/>
  <c r="F23" i="27"/>
  <c r="D19" i="29"/>
  <c r="K19" i="29" s="1"/>
  <c r="L19" i="29" s="1"/>
  <c r="Q5" i="31"/>
  <c r="Q185" i="31"/>
  <c r="Q206" i="31"/>
  <c r="Q292" i="31"/>
  <c r="Q345" i="31"/>
  <c r="Q408" i="31"/>
  <c r="F24" i="27"/>
  <c r="D20" i="29"/>
  <c r="K20" i="29" s="1"/>
  <c r="L20" i="29" s="1"/>
  <c r="Q186" i="31"/>
  <c r="Q196" i="31"/>
  <c r="Q293" i="31"/>
  <c r="Q304" i="31"/>
  <c r="Q315" i="31"/>
  <c r="Q325" i="31"/>
  <c r="Q346" i="31"/>
  <c r="Q367" i="31"/>
  <c r="Q409" i="31"/>
  <c r="Q419" i="31"/>
  <c r="Q429" i="31"/>
  <c r="E30" i="26"/>
  <c r="I30" i="26" s="1"/>
  <c r="M49" i="16" s="1"/>
  <c r="F20" i="27"/>
  <c r="D16" i="29"/>
  <c r="K16" i="29" s="1"/>
  <c r="L16" i="29" s="1"/>
  <c r="F25" i="30"/>
  <c r="F23" i="30" s="1"/>
  <c r="I33" i="26" s="1"/>
  <c r="F6" i="30"/>
  <c r="F26" i="30" s="1"/>
  <c r="G26" i="30" s="1"/>
  <c r="Q7" i="31"/>
  <c r="Q55" i="31"/>
  <c r="Q197" i="31"/>
  <c r="Q229" i="31"/>
  <c r="Q420" i="31"/>
  <c r="Q430" i="31"/>
  <c r="C23" i="16"/>
  <c r="C24" i="16"/>
  <c r="Q239" i="31"/>
  <c r="Q247" i="31"/>
  <c r="Q283" i="31"/>
  <c r="F18" i="27"/>
  <c r="D15" i="29"/>
  <c r="K15" i="29" s="1"/>
  <c r="L15" i="29" s="1"/>
  <c r="F17" i="27"/>
  <c r="F15" i="27" s="1"/>
  <c r="D14" i="29"/>
  <c r="M14" i="29" s="1"/>
  <c r="N14" i="29" s="1"/>
  <c r="D12" i="15"/>
  <c r="Q223" i="31"/>
  <c r="Q279" i="31"/>
  <c r="I8" i="29"/>
  <c r="J8" i="29" s="1"/>
  <c r="I6" i="29"/>
  <c r="J6" i="29" s="1"/>
  <c r="E6" i="26"/>
  <c r="I6" i="26" s="1"/>
  <c r="M25" i="16" s="1"/>
  <c r="C42" i="27"/>
  <c r="C34" i="27"/>
  <c r="C30" i="27"/>
  <c r="C29" i="27"/>
  <c r="C33" i="27"/>
  <c r="C39" i="27"/>
  <c r="F7" i="27"/>
  <c r="C37" i="27"/>
  <c r="C35" i="27"/>
  <c r="C32" i="27"/>
  <c r="Q56" i="31"/>
  <c r="I7" i="29"/>
  <c r="J7" i="29" s="1"/>
  <c r="P207" i="31"/>
  <c r="O11" i="29"/>
  <c r="Q60" i="31"/>
  <c r="P68" i="31"/>
  <c r="P76" i="31"/>
  <c r="Q84" i="31"/>
  <c r="Q96" i="31"/>
  <c r="Q112" i="31"/>
  <c r="Q124" i="31"/>
  <c r="Q132" i="31"/>
  <c r="Q148" i="31"/>
  <c r="Q164" i="31"/>
  <c r="Q191" i="31"/>
  <c r="P402" i="31"/>
  <c r="P92" i="31"/>
  <c r="Q104" i="31"/>
  <c r="Q116" i="31"/>
  <c r="Q128" i="31"/>
  <c r="Q140" i="31"/>
  <c r="P144" i="31"/>
  <c r="P156" i="31"/>
  <c r="I9" i="29"/>
  <c r="J9" i="29" s="1"/>
  <c r="Q64" i="31"/>
  <c r="P72" i="31"/>
  <c r="Q80" i="31"/>
  <c r="Q88" i="31"/>
  <c r="P100" i="31"/>
  <c r="Q108" i="31"/>
  <c r="Q120" i="31"/>
  <c r="Q136" i="31"/>
  <c r="Q152" i="31"/>
  <c r="Q160" i="31"/>
  <c r="Q63" i="31"/>
  <c r="Q67" i="31"/>
  <c r="Q71" i="31"/>
  <c r="P75" i="31"/>
  <c r="Q79" i="31"/>
  <c r="Q83" i="31"/>
  <c r="P87" i="31"/>
  <c r="Q91" i="31"/>
  <c r="Q95" i="31"/>
  <c r="Q99" i="31"/>
  <c r="P103" i="31"/>
  <c r="Q107" i="31"/>
  <c r="Q111" i="31"/>
  <c r="Q115" i="31"/>
  <c r="Q119" i="31"/>
  <c r="Q123" i="31"/>
  <c r="Q127" i="31"/>
  <c r="Q131" i="31"/>
  <c r="P135" i="31"/>
  <c r="Q139" i="31"/>
  <c r="Q143" i="31"/>
  <c r="Q147" i="31"/>
  <c r="Q151" i="31"/>
  <c r="Q155" i="31"/>
  <c r="Q159" i="31"/>
  <c r="Q163" i="31"/>
  <c r="Q271" i="31"/>
  <c r="G51" i="23"/>
  <c r="F51" i="23"/>
  <c r="Q227" i="31"/>
  <c r="Q61" i="31"/>
  <c r="Q73" i="31"/>
  <c r="P85" i="31"/>
  <c r="P93" i="31"/>
  <c r="Q109" i="31"/>
  <c r="Q265" i="31"/>
  <c r="Q251" i="31"/>
  <c r="Q69" i="31"/>
  <c r="Q81" i="31"/>
  <c r="Q89" i="31"/>
  <c r="Q101" i="31"/>
  <c r="P117" i="31"/>
  <c r="Q195" i="31"/>
  <c r="Q418" i="31"/>
  <c r="Q54" i="31"/>
  <c r="P48" i="31"/>
  <c r="Q211" i="31"/>
  <c r="I5" i="29"/>
  <c r="J5" i="29" s="1"/>
  <c r="O5" i="29"/>
  <c r="Q65" i="31"/>
  <c r="P97" i="31"/>
  <c r="Q77" i="31"/>
  <c r="P105" i="31"/>
  <c r="P269" i="31"/>
  <c r="Q125" i="31"/>
  <c r="Q137" i="31"/>
  <c r="Q153" i="31"/>
  <c r="O7" i="29"/>
  <c r="Q58" i="31"/>
  <c r="Q183" i="31"/>
  <c r="Q199" i="31"/>
  <c r="Q245" i="31"/>
  <c r="Q273" i="31"/>
  <c r="Q426" i="31"/>
  <c r="I10" i="29"/>
  <c r="J10" i="29" s="1"/>
  <c r="Q62" i="31"/>
  <c r="Q70" i="31"/>
  <c r="Q78" i="31"/>
  <c r="Q86" i="31"/>
  <c r="Q94" i="31"/>
  <c r="Q102" i="31"/>
  <c r="Q110" i="31"/>
  <c r="Q118" i="31"/>
  <c r="Q126" i="31"/>
  <c r="P134" i="31"/>
  <c r="Q142" i="31"/>
  <c r="Q146" i="31"/>
  <c r="Q154" i="31"/>
  <c r="Q187" i="31"/>
  <c r="Q203" i="31"/>
  <c r="Q219" i="31"/>
  <c r="Q235" i="31"/>
  <c r="Q434" i="31"/>
  <c r="Q46" i="31"/>
  <c r="Q249" i="31"/>
  <c r="Q253" i="31"/>
  <c r="Q267" i="31"/>
  <c r="Q281" i="31"/>
  <c r="Q477" i="31"/>
  <c r="Q113" i="31"/>
  <c r="Q133" i="31"/>
  <c r="Q145" i="31"/>
  <c r="Q157" i="31"/>
  <c r="P165" i="31"/>
  <c r="Q231" i="31"/>
  <c r="Q259" i="31"/>
  <c r="Q480" i="31"/>
  <c r="O8" i="29"/>
  <c r="Q121" i="31"/>
  <c r="P129" i="31"/>
  <c r="Q141" i="31"/>
  <c r="Q149" i="31"/>
  <c r="Q161" i="31"/>
  <c r="Q255" i="31"/>
  <c r="I12" i="29"/>
  <c r="J12" i="29" s="1"/>
  <c r="Q169" i="31"/>
  <c r="Q215" i="31"/>
  <c r="Q241" i="31"/>
  <c r="Q277" i="31"/>
  <c r="P52" i="31"/>
  <c r="P66" i="31"/>
  <c r="Q74" i="31"/>
  <c r="Q82" i="31"/>
  <c r="Q90" i="31"/>
  <c r="Q98" i="31"/>
  <c r="P106" i="31"/>
  <c r="Q114" i="31"/>
  <c r="P122" i="31"/>
  <c r="Q130" i="31"/>
  <c r="Q138" i="31"/>
  <c r="Q150" i="31"/>
  <c r="P158" i="31"/>
  <c r="Q162" i="31"/>
  <c r="Q263" i="31"/>
  <c r="P50" i="31"/>
  <c r="Q167" i="31"/>
  <c r="Q171" i="31"/>
  <c r="Q243" i="31"/>
  <c r="Q257" i="31"/>
  <c r="P261" i="31"/>
  <c r="Q275" i="31"/>
  <c r="Q410" i="31"/>
  <c r="Q482" i="31"/>
  <c r="I5" i="26"/>
  <c r="M24" i="16" s="1"/>
  <c r="Q308" i="31"/>
  <c r="Q324" i="31"/>
  <c r="Q428" i="31"/>
  <c r="Q412" i="31"/>
  <c r="Q320" i="31"/>
  <c r="Q316" i="31"/>
  <c r="Q314" i="31"/>
  <c r="Q328" i="31"/>
  <c r="Q336" i="31"/>
  <c r="Q344" i="31"/>
  <c r="Q352" i="31"/>
  <c r="P360" i="31"/>
  <c r="Q368" i="31"/>
  <c r="Q376" i="31"/>
  <c r="Q384" i="31"/>
  <c r="P392" i="31"/>
  <c r="Q310" i="31"/>
  <c r="Q326" i="31"/>
  <c r="Q334" i="31"/>
  <c r="Q342" i="31"/>
  <c r="Q350" i="31"/>
  <c r="Q358" i="31"/>
  <c r="Q366" i="31"/>
  <c r="Q374" i="31"/>
  <c r="Q382" i="31"/>
  <c r="Q390" i="31"/>
  <c r="Q476" i="31"/>
  <c r="J23" i="30"/>
  <c r="E35" i="26" s="1"/>
  <c r="I35" i="26" s="1"/>
  <c r="M54" i="16" s="1"/>
  <c r="K24" i="30"/>
  <c r="K23" i="30" s="1"/>
  <c r="E36" i="26" s="1"/>
  <c r="I36" i="26" s="1"/>
  <c r="M55" i="16" s="1"/>
  <c r="F19" i="27" l="1"/>
  <c r="E7" i="26" s="1"/>
  <c r="I7" i="26" s="1"/>
  <c r="D51" i="1"/>
  <c r="D50" i="15" s="1"/>
  <c r="M22" i="16"/>
  <c r="G25" i="30"/>
  <c r="G23" i="30" s="1"/>
  <c r="E34" i="26" s="1"/>
  <c r="I34" i="26" s="1"/>
  <c r="M53" i="16" s="1"/>
  <c r="K5" i="17"/>
  <c r="L5" i="17" s="1"/>
  <c r="D15" i="1" s="1"/>
  <c r="D40" i="1" s="1"/>
  <c r="P4" i="31"/>
  <c r="E39" i="26" s="1"/>
  <c r="H34" i="10"/>
  <c r="B51" i="15"/>
  <c r="H35" i="10"/>
  <c r="B52" i="15"/>
  <c r="I4" i="26"/>
  <c r="D52" i="1"/>
  <c r="D51" i="15" s="1"/>
  <c r="H33" i="10"/>
  <c r="B50" i="15"/>
  <c r="D39" i="15"/>
  <c r="AF15" i="1"/>
  <c r="AD15" i="1"/>
  <c r="D15" i="15"/>
  <c r="AC15" i="1"/>
  <c r="AB15" i="1"/>
  <c r="AL15" i="1"/>
  <c r="AO15" i="1"/>
  <c r="N4" i="29"/>
  <c r="E26" i="26" s="1"/>
  <c r="I26" i="26" s="1"/>
  <c r="M45" i="16" s="1"/>
  <c r="C47" i="27"/>
  <c r="D42" i="27" s="1"/>
  <c r="O4" i="29"/>
  <c r="E27" i="26" s="1"/>
  <c r="I27" i="26" s="1"/>
  <c r="M46" i="16" s="1"/>
  <c r="J4" i="29"/>
  <c r="E22" i="26" s="1"/>
  <c r="I22" i="26" s="1"/>
  <c r="M41" i="16" s="1"/>
  <c r="M4" i="29"/>
  <c r="E25" i="26" s="1"/>
  <c r="I25" i="26" s="1"/>
  <c r="M44" i="16" s="1"/>
  <c r="Q4" i="31"/>
  <c r="E38" i="26" s="1"/>
  <c r="K4" i="29"/>
  <c r="E23" i="26" s="1"/>
  <c r="I23" i="26" s="1"/>
  <c r="M42" i="16" s="1"/>
  <c r="L4" i="29"/>
  <c r="E24" i="26" s="1"/>
  <c r="I24" i="26" s="1"/>
  <c r="M43" i="16" s="1"/>
  <c r="I4" i="29"/>
  <c r="E21" i="26" s="1"/>
  <c r="I21" i="26" s="1"/>
  <c r="D45" i="27" l="1"/>
  <c r="AK15" i="1"/>
  <c r="M23" i="16"/>
  <c r="D41" i="27"/>
  <c r="D33" i="27"/>
  <c r="AJ15" i="1"/>
  <c r="D36" i="27"/>
  <c r="D40" i="27"/>
  <c r="AM15" i="1"/>
  <c r="D38" i="27"/>
  <c r="AA15" i="1"/>
  <c r="AG15" i="1"/>
  <c r="D39" i="27"/>
  <c r="AI15" i="1"/>
  <c r="AE15" i="1"/>
  <c r="D30" i="27"/>
  <c r="AH15" i="1"/>
  <c r="M26" i="16"/>
  <c r="M40" i="16"/>
  <c r="D37" i="27"/>
  <c r="D44" i="27"/>
  <c r="D35" i="27"/>
  <c r="D34" i="27"/>
  <c r="D32" i="27"/>
  <c r="D46" i="27"/>
  <c r="D29" i="27"/>
  <c r="D43" i="27"/>
  <c r="D31" i="27"/>
  <c r="E17" i="25"/>
  <c r="E16" i="25"/>
  <c r="E14" i="25"/>
  <c r="E13" i="25"/>
  <c r="E12" i="25"/>
  <c r="D46" i="1"/>
  <c r="D45" i="15" s="1"/>
  <c r="E10" i="25"/>
  <c r="E9" i="25"/>
  <c r="E6" i="25"/>
  <c r="E5" i="25"/>
  <c r="E4" i="25"/>
  <c r="E3" i="25" s="1"/>
  <c r="D3" i="24"/>
  <c r="B73" i="23"/>
  <c r="B72" i="23"/>
  <c r="F33" i="23"/>
  <c r="G33" i="23" s="1"/>
  <c r="H33" i="23" s="1"/>
  <c r="I33" i="23" s="1"/>
  <c r="F32" i="23"/>
  <c r="G32" i="23" s="1"/>
  <c r="H32" i="23" s="1"/>
  <c r="F31" i="23"/>
  <c r="G31" i="23" s="1"/>
  <c r="H31" i="23" s="1"/>
  <c r="I31" i="23" s="1"/>
  <c r="F30" i="23"/>
  <c r="G30" i="23" s="1"/>
  <c r="H30" i="23" s="1"/>
  <c r="F29" i="23"/>
  <c r="G29" i="23" s="1"/>
  <c r="H29" i="23" s="1"/>
  <c r="F28" i="23"/>
  <c r="G28" i="23" s="1"/>
  <c r="H28" i="23" s="1"/>
  <c r="F27" i="23"/>
  <c r="G27" i="23" s="1"/>
  <c r="H27" i="23" s="1"/>
  <c r="F26" i="23"/>
  <c r="G26" i="23" s="1"/>
  <c r="H26" i="23" s="1"/>
  <c r="F25" i="23"/>
  <c r="G25" i="23" s="1"/>
  <c r="H25" i="23" s="1"/>
  <c r="I25" i="23" s="1"/>
  <c r="F24" i="23"/>
  <c r="G24" i="23" s="1"/>
  <c r="H24" i="23" s="1"/>
  <c r="F23" i="23"/>
  <c r="G23" i="23" s="1"/>
  <c r="H23" i="23" s="1"/>
  <c r="I23" i="23" s="1"/>
  <c r="F15" i="23"/>
  <c r="G15" i="23" s="1"/>
  <c r="H15" i="23" s="1"/>
  <c r="F14" i="23"/>
  <c r="G14" i="23" s="1"/>
  <c r="H14" i="23" s="1"/>
  <c r="F13" i="23"/>
  <c r="G13" i="23" s="1"/>
  <c r="H13" i="23" s="1"/>
  <c r="F12" i="23"/>
  <c r="G12" i="23" s="1"/>
  <c r="H12" i="23" s="1"/>
  <c r="F11" i="23"/>
  <c r="G11" i="23" s="1"/>
  <c r="H11" i="23" s="1"/>
  <c r="F10" i="23"/>
  <c r="G10" i="23" s="1"/>
  <c r="H10" i="23" s="1"/>
  <c r="F9" i="23"/>
  <c r="G9" i="23" s="1"/>
  <c r="H9" i="23" s="1"/>
  <c r="F8" i="23"/>
  <c r="G8" i="23" s="1"/>
  <c r="H8" i="23" s="1"/>
  <c r="F7" i="23"/>
  <c r="G7" i="23" s="1"/>
  <c r="H7" i="23" s="1"/>
  <c r="F6" i="23"/>
  <c r="G6" i="23" s="1"/>
  <c r="H6" i="23" s="1"/>
  <c r="F5" i="23"/>
  <c r="G5" i="23" s="1"/>
  <c r="H5" i="23" s="1"/>
  <c r="F4" i="23"/>
  <c r="F58" i="18"/>
  <c r="F57" i="18" s="1"/>
  <c r="F15" i="18"/>
  <c r="P15" i="17"/>
  <c r="O15" i="17"/>
  <c r="N15" i="17"/>
  <c r="M15" i="17"/>
  <c r="L15" i="17"/>
  <c r="K15" i="17"/>
  <c r="J15" i="17"/>
  <c r="I15" i="17"/>
  <c r="H15" i="17"/>
  <c r="G15" i="17"/>
  <c r="F15" i="17"/>
  <c r="E15" i="17"/>
  <c r="D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2" i="17"/>
  <c r="D9" i="17"/>
  <c r="F4" i="17" s="1"/>
  <c r="G4" i="17" s="1"/>
  <c r="Q10" i="15"/>
  <c r="Q10" i="1"/>
  <c r="AO10" i="1" s="1"/>
  <c r="Q13" i="15"/>
  <c r="Q14" i="15"/>
  <c r="Q15" i="15"/>
  <c r="Q16" i="15"/>
  <c r="Q29" i="15"/>
  <c r="Q30" i="15"/>
  <c r="Q31" i="15"/>
  <c r="Q32" i="15"/>
  <c r="Q33" i="15"/>
  <c r="Q34" i="15"/>
  <c r="Q34" i="1"/>
  <c r="Q13" i="1"/>
  <c r="Q16" i="1"/>
  <c r="Q25" i="1"/>
  <c r="Q30" i="1"/>
  <c r="Q31" i="1"/>
  <c r="Q35" i="1"/>
  <c r="E15" i="25" l="1"/>
  <c r="E29" i="27"/>
  <c r="G4" i="23"/>
  <c r="F16" i="23"/>
  <c r="E12" i="26"/>
  <c r="I12" i="26" s="1"/>
  <c r="D32" i="1"/>
  <c r="F13" i="18"/>
  <c r="F5" i="18" s="1"/>
  <c r="I11" i="23"/>
  <c r="H4" i="17"/>
  <c r="I4" i="17" s="1"/>
  <c r="D14" i="1" s="1"/>
  <c r="D39" i="1" s="1"/>
  <c r="D11" i="1"/>
  <c r="I9" i="23"/>
  <c r="E16" i="26"/>
  <c r="I16" i="26" s="1"/>
  <c r="M35" i="16" s="1"/>
  <c r="D45" i="1"/>
  <c r="D44" i="15" s="1"/>
  <c r="D11" i="15"/>
  <c r="AH11" i="15" s="1"/>
  <c r="D13" i="17"/>
  <c r="F9" i="18"/>
  <c r="D15" i="17"/>
  <c r="I65" i="23"/>
  <c r="I67" i="23"/>
  <c r="I59" i="23"/>
  <c r="I63" i="23"/>
  <c r="I66" i="23"/>
  <c r="I64" i="23"/>
  <c r="I60" i="23"/>
  <c r="I61" i="23"/>
  <c r="I39" i="23"/>
  <c r="F34" i="23"/>
  <c r="I13" i="23"/>
  <c r="I27" i="23"/>
  <c r="B71" i="23"/>
  <c r="I48" i="23"/>
  <c r="I46" i="23"/>
  <c r="I42" i="23"/>
  <c r="I47" i="23"/>
  <c r="I45" i="23"/>
  <c r="I41" i="23"/>
  <c r="I44" i="23"/>
  <c r="I40" i="23"/>
  <c r="I49" i="23"/>
  <c r="I43" i="23"/>
  <c r="I5" i="23"/>
  <c r="I7" i="23"/>
  <c r="I15" i="23"/>
  <c r="I29" i="23"/>
  <c r="I6" i="23"/>
  <c r="I10" i="23"/>
  <c r="I14" i="23"/>
  <c r="G22" i="23"/>
  <c r="I8" i="23"/>
  <c r="I12" i="23"/>
  <c r="I24" i="23"/>
  <c r="I26" i="23"/>
  <c r="I28" i="23"/>
  <c r="I30" i="23"/>
  <c r="I32" i="23"/>
  <c r="AO34" i="15"/>
  <c r="AO35" i="1"/>
  <c r="AC12" i="15"/>
  <c r="AC15" i="15"/>
  <c r="AC16" i="15"/>
  <c r="AC29" i="15"/>
  <c r="AC30" i="15"/>
  <c r="AC33" i="15"/>
  <c r="AC34" i="15"/>
  <c r="AH12" i="15"/>
  <c r="AH15" i="15"/>
  <c r="AH16" i="15"/>
  <c r="AH29" i="15"/>
  <c r="AH30" i="15"/>
  <c r="AH33" i="15"/>
  <c r="AH34" i="15"/>
  <c r="AG10" i="15"/>
  <c r="AH10" i="15"/>
  <c r="AC10" i="15"/>
  <c r="F18" i="14"/>
  <c r="E6" i="14"/>
  <c r="AH10" i="1"/>
  <c r="AG10" i="1"/>
  <c r="AH11" i="1"/>
  <c r="AH12" i="1"/>
  <c r="AH16" i="1"/>
  <c r="AH25" i="1"/>
  <c r="AH29" i="1"/>
  <c r="AH30" i="1"/>
  <c r="AH34" i="1"/>
  <c r="AH35" i="1"/>
  <c r="AC12" i="1"/>
  <c r="AC16" i="1"/>
  <c r="AC25" i="1"/>
  <c r="AC29" i="1"/>
  <c r="AC30" i="1"/>
  <c r="AC34" i="1"/>
  <c r="AC35" i="1"/>
  <c r="AC10" i="1"/>
  <c r="AD10" i="1"/>
  <c r="AA10" i="1"/>
  <c r="AB10" i="1"/>
  <c r="I3" i="15"/>
  <c r="G5" i="18" l="1"/>
  <c r="D17" i="1" s="1"/>
  <c r="D17" i="15" s="1"/>
  <c r="AC17" i="15" s="1"/>
  <c r="M31" i="16"/>
  <c r="D32" i="15"/>
  <c r="AF32" i="1"/>
  <c r="AH32" i="1"/>
  <c r="AE32" i="1"/>
  <c r="AC32" i="1"/>
  <c r="AI32" i="1"/>
  <c r="AJ32" i="1"/>
  <c r="AA32" i="1"/>
  <c r="AG32" i="1"/>
  <c r="AO32" i="1"/>
  <c r="AM32" i="1"/>
  <c r="AD32" i="1"/>
  <c r="AL32" i="1"/>
  <c r="AK32" i="1"/>
  <c r="AB32" i="1"/>
  <c r="D11" i="17"/>
  <c r="E17" i="26" s="1"/>
  <c r="I17" i="26" s="1"/>
  <c r="M36" i="16" s="1"/>
  <c r="G16" i="23"/>
  <c r="H4" i="23"/>
  <c r="I4" i="23" s="1"/>
  <c r="I16" i="23" s="1"/>
  <c r="AC11" i="1"/>
  <c r="G9" i="18"/>
  <c r="D21" i="1" s="1"/>
  <c r="D21" i="15" s="1"/>
  <c r="I68" i="23"/>
  <c r="I51" i="23"/>
  <c r="AC11" i="15"/>
  <c r="AA14" i="1"/>
  <c r="AL14" i="1"/>
  <c r="AJ14" i="1"/>
  <c r="AD14" i="1"/>
  <c r="AB14" i="1"/>
  <c r="AH14" i="1"/>
  <c r="AF14" i="1"/>
  <c r="D14" i="15"/>
  <c r="AK14" i="1"/>
  <c r="AI14" i="1"/>
  <c r="AM14" i="1"/>
  <c r="AC14" i="1"/>
  <c r="AG14" i="1"/>
  <c r="AE14" i="1"/>
  <c r="AO14" i="1"/>
  <c r="AC19" i="15"/>
  <c r="AK19" i="15"/>
  <c r="AH19" i="15"/>
  <c r="AF19" i="15"/>
  <c r="AM19" i="15"/>
  <c r="AE19" i="15"/>
  <c r="AL19" i="15"/>
  <c r="AJ19" i="15"/>
  <c r="E19" i="26"/>
  <c r="I19" i="26" s="1"/>
  <c r="M38" i="16" s="1"/>
  <c r="H22" i="23"/>
  <c r="I22" i="23" s="1"/>
  <c r="I34" i="23" s="1"/>
  <c r="G34" i="23"/>
  <c r="E29" i="14"/>
  <c r="F4" i="16"/>
  <c r="AH17" i="15" l="1"/>
  <c r="H5" i="18"/>
  <c r="I5" i="18" s="1"/>
  <c r="D22" i="1" s="1"/>
  <c r="AM22" i="1" s="1"/>
  <c r="D13" i="1"/>
  <c r="D13" i="15" s="1"/>
  <c r="AC32" i="15"/>
  <c r="AH32" i="15"/>
  <c r="AH22" i="1"/>
  <c r="AH13" i="1"/>
  <c r="AC13" i="1"/>
  <c r="AF21" i="15"/>
  <c r="AM21" i="15"/>
  <c r="AC21" i="15"/>
  <c r="AK21" i="15"/>
  <c r="AJ21" i="15"/>
  <c r="AH21" i="15"/>
  <c r="AL21" i="15"/>
  <c r="AE21" i="15"/>
  <c r="H9" i="18"/>
  <c r="I9" i="18" s="1"/>
  <c r="D23" i="1" s="1"/>
  <c r="D22" i="15"/>
  <c r="D31" i="1"/>
  <c r="D31" i="15" s="1"/>
  <c r="AA39" i="1"/>
  <c r="D38" i="15"/>
  <c r="AN38" i="15" s="1"/>
  <c r="AO39" i="1"/>
  <c r="AC14" i="15"/>
  <c r="AH14" i="15"/>
  <c r="AK20" i="15"/>
  <c r="AH20" i="15"/>
  <c r="AJ20" i="15"/>
  <c r="AL20" i="15"/>
  <c r="AM20" i="15"/>
  <c r="AE20" i="15"/>
  <c r="AF20" i="15"/>
  <c r="AC20" i="15"/>
  <c r="AH13" i="15"/>
  <c r="AC13" i="15"/>
  <c r="AJ19" i="1"/>
  <c r="AK19" i="1"/>
  <c r="AL19" i="1"/>
  <c r="AH19" i="1"/>
  <c r="AC19" i="1"/>
  <c r="AE19" i="1"/>
  <c r="AM19" i="1"/>
  <c r="AF19" i="1"/>
  <c r="AH17" i="1"/>
  <c r="AC17" i="1"/>
  <c r="AE3" i="15"/>
  <c r="B20" i="6"/>
  <c r="I4" i="15"/>
  <c r="AE3" i="1"/>
  <c r="B5" i="6"/>
  <c r="AO54" i="15"/>
  <c r="AO53" i="15"/>
  <c r="AO52" i="15"/>
  <c r="AO51" i="15"/>
  <c r="AO50" i="15"/>
  <c r="AO49" i="15"/>
  <c r="AO46" i="15"/>
  <c r="AO45" i="15"/>
  <c r="AO44" i="15"/>
  <c r="Q41" i="15"/>
  <c r="Q40" i="15"/>
  <c r="AN39" i="15"/>
  <c r="AA39" i="15"/>
  <c r="Q39" i="15"/>
  <c r="AO39" i="15" s="1"/>
  <c r="Q38" i="15"/>
  <c r="AN36" i="15"/>
  <c r="AA36" i="15"/>
  <c r="Q36" i="15"/>
  <c r="AO36" i="15" s="1"/>
  <c r="AN35" i="15"/>
  <c r="AN57" i="15" s="1"/>
  <c r="AM34" i="15"/>
  <c r="AL34" i="15"/>
  <c r="AK34" i="15"/>
  <c r="AJ34" i="15"/>
  <c r="AI34" i="15"/>
  <c r="AG34" i="15"/>
  <c r="AF34" i="15"/>
  <c r="AE34" i="15"/>
  <c r="AD34" i="15"/>
  <c r="AB34" i="15"/>
  <c r="AA34" i="15"/>
  <c r="AM33" i="15"/>
  <c r="AL33" i="15"/>
  <c r="AK33" i="15"/>
  <c r="AJ33" i="15"/>
  <c r="AI33" i="15"/>
  <c r="AG33" i="15"/>
  <c r="AF33" i="15"/>
  <c r="AE33" i="15"/>
  <c r="AD33" i="15"/>
  <c r="AB33" i="15"/>
  <c r="AA33" i="15"/>
  <c r="AO33" i="15"/>
  <c r="AM32" i="15"/>
  <c r="AL32" i="15"/>
  <c r="AK32" i="15"/>
  <c r="AJ32" i="15"/>
  <c r="AI32" i="15"/>
  <c r="AG32" i="15"/>
  <c r="AF32" i="15"/>
  <c r="AE32" i="15"/>
  <c r="AD32" i="15"/>
  <c r="AB32" i="15"/>
  <c r="AA32" i="15"/>
  <c r="AO32" i="15"/>
  <c r="AM30" i="15"/>
  <c r="AL30" i="15"/>
  <c r="AK30" i="15"/>
  <c r="AJ30" i="15"/>
  <c r="AI30" i="15"/>
  <c r="AG30" i="15"/>
  <c r="AF30" i="15"/>
  <c r="AE30" i="15"/>
  <c r="AD30" i="15"/>
  <c r="AB30" i="15"/>
  <c r="AA30" i="15"/>
  <c r="AO30" i="15"/>
  <c r="AM29" i="15"/>
  <c r="AL29" i="15"/>
  <c r="AK29" i="15"/>
  <c r="AJ29" i="15"/>
  <c r="AI29" i="15"/>
  <c r="AG29" i="15"/>
  <c r="AF29" i="15"/>
  <c r="AE29" i="15"/>
  <c r="AD29" i="15"/>
  <c r="AB29" i="15"/>
  <c r="AA29" i="15"/>
  <c r="AO29" i="15"/>
  <c r="AM17" i="15"/>
  <c r="AL17" i="15"/>
  <c r="AK17" i="15"/>
  <c r="AJ17" i="15"/>
  <c r="AF17" i="15"/>
  <c r="AE17" i="15"/>
  <c r="AM16" i="15"/>
  <c r="AL16" i="15"/>
  <c r="AK16" i="15"/>
  <c r="AJ16" i="15"/>
  <c r="AI16" i="15"/>
  <c r="AG16" i="15"/>
  <c r="AF16" i="15"/>
  <c r="AE16" i="15"/>
  <c r="AD16" i="15"/>
  <c r="AB16" i="15"/>
  <c r="AA16" i="15"/>
  <c r="AO16" i="15"/>
  <c r="AM15" i="15"/>
  <c r="AL15" i="15"/>
  <c r="AK15" i="15"/>
  <c r="AJ15" i="15"/>
  <c r="AI15" i="15"/>
  <c r="AG15" i="15"/>
  <c r="AF15" i="15"/>
  <c r="AE15" i="15"/>
  <c r="AD15" i="15"/>
  <c r="AB15" i="15"/>
  <c r="AA15" i="15"/>
  <c r="AO15" i="15"/>
  <c r="AM14" i="15"/>
  <c r="AL14" i="15"/>
  <c r="AK14" i="15"/>
  <c r="AJ14" i="15"/>
  <c r="AI14" i="15"/>
  <c r="AG14" i="15"/>
  <c r="AF14" i="15"/>
  <c r="AE14" i="15"/>
  <c r="AD14" i="15"/>
  <c r="AB14" i="15"/>
  <c r="AA14" i="15"/>
  <c r="AO14" i="15"/>
  <c r="AM13" i="15"/>
  <c r="AL13" i="15"/>
  <c r="AK13" i="15"/>
  <c r="AJ13" i="15"/>
  <c r="AI13" i="15"/>
  <c r="AG13" i="15"/>
  <c r="AF13" i="15"/>
  <c r="AE13" i="15"/>
  <c r="AD13" i="15"/>
  <c r="AB13" i="15"/>
  <c r="AA13" i="15"/>
  <c r="AO13" i="15"/>
  <c r="AM12" i="15"/>
  <c r="AL12" i="15"/>
  <c r="AK12" i="15"/>
  <c r="AJ12" i="15"/>
  <c r="AF12" i="15"/>
  <c r="AE12" i="15"/>
  <c r="AM11" i="15"/>
  <c r="AL11" i="15"/>
  <c r="AK11" i="15"/>
  <c r="AJ11" i="15"/>
  <c r="AF11" i="15"/>
  <c r="AE11" i="15"/>
  <c r="AM10" i="15"/>
  <c r="AL10" i="15"/>
  <c r="AK10" i="15"/>
  <c r="AJ10" i="15"/>
  <c r="AI10" i="15"/>
  <c r="AF10" i="15"/>
  <c r="AE10" i="15"/>
  <c r="AD10" i="15"/>
  <c r="AB10" i="15"/>
  <c r="AA10" i="15"/>
  <c r="AO10" i="15"/>
  <c r="AA40" i="1"/>
  <c r="Q40" i="1"/>
  <c r="AO40" i="1" s="1"/>
  <c r="D24" i="14"/>
  <c r="H24" i="14" s="1"/>
  <c r="D23" i="14"/>
  <c r="H23" i="14" s="1"/>
  <c r="E14" i="14"/>
  <c r="G96" i="14"/>
  <c r="G34" i="14" s="1"/>
  <c r="G35" i="14" s="1"/>
  <c r="G94" i="14"/>
  <c r="G32" i="14" s="1"/>
  <c r="G79" i="14"/>
  <c r="G17" i="14" s="1"/>
  <c r="G51" i="14"/>
  <c r="E51" i="14"/>
  <c r="D51" i="14"/>
  <c r="H51" i="14" s="1"/>
  <c r="G50" i="14"/>
  <c r="E50" i="14"/>
  <c r="D50" i="14"/>
  <c r="H50" i="14" s="1"/>
  <c r="G49" i="14"/>
  <c r="E49" i="14"/>
  <c r="D49" i="14"/>
  <c r="G48" i="14"/>
  <c r="E48" i="14"/>
  <c r="D48" i="14"/>
  <c r="G46" i="14"/>
  <c r="E46" i="14"/>
  <c r="D46" i="14"/>
  <c r="G45" i="14"/>
  <c r="E45" i="14"/>
  <c r="D45" i="14"/>
  <c r="G44" i="14"/>
  <c r="E44" i="14"/>
  <c r="D44" i="14"/>
  <c r="G43" i="14"/>
  <c r="E43" i="14"/>
  <c r="D43" i="14"/>
  <c r="G41" i="14"/>
  <c r="E41" i="14"/>
  <c r="D41" i="14"/>
  <c r="H41" i="14" s="1"/>
  <c r="G40" i="14"/>
  <c r="E40" i="14"/>
  <c r="D40" i="14"/>
  <c r="G39" i="14"/>
  <c r="E39" i="14"/>
  <c r="D39" i="14"/>
  <c r="H39" i="14" s="1"/>
  <c r="G38" i="14"/>
  <c r="E38" i="14"/>
  <c r="D38" i="14"/>
  <c r="G33" i="14"/>
  <c r="E33" i="14"/>
  <c r="D33" i="14"/>
  <c r="G31" i="14"/>
  <c r="E31" i="14"/>
  <c r="D31" i="14"/>
  <c r="G30" i="14"/>
  <c r="E30" i="14"/>
  <c r="D30" i="14"/>
  <c r="G29" i="14"/>
  <c r="D29" i="14"/>
  <c r="D27" i="14"/>
  <c r="H27" i="14" s="1"/>
  <c r="D26" i="14"/>
  <c r="H26" i="14" s="1"/>
  <c r="D25" i="14"/>
  <c r="H25" i="14" s="1"/>
  <c r="G22" i="14"/>
  <c r="F22" i="14"/>
  <c r="G21" i="14"/>
  <c r="F21" i="14"/>
  <c r="G20" i="14"/>
  <c r="F20" i="14"/>
  <c r="G19" i="14"/>
  <c r="F19" i="14"/>
  <c r="G18" i="14"/>
  <c r="H18" i="14" s="1"/>
  <c r="G15" i="14"/>
  <c r="G16" i="14" s="1"/>
  <c r="E15" i="14"/>
  <c r="E16" i="14" s="1"/>
  <c r="D15" i="14"/>
  <c r="D16" i="14" s="1"/>
  <c r="G14" i="14"/>
  <c r="D14" i="14"/>
  <c r="G13" i="14"/>
  <c r="E13" i="14"/>
  <c r="D13" i="14"/>
  <c r="G12" i="14"/>
  <c r="E12" i="14"/>
  <c r="D12" i="14"/>
  <c r="G11" i="14"/>
  <c r="E11" i="14"/>
  <c r="D11" i="14"/>
  <c r="G10" i="14"/>
  <c r="E10" i="14"/>
  <c r="D10" i="14"/>
  <c r="G9" i="14"/>
  <c r="E9" i="14"/>
  <c r="D9" i="14"/>
  <c r="G8" i="14"/>
  <c r="E8" i="14"/>
  <c r="D8" i="14"/>
  <c r="G7" i="14"/>
  <c r="E7" i="14"/>
  <c r="D7" i="14"/>
  <c r="G6" i="14"/>
  <c r="D6" i="14"/>
  <c r="D41" i="1" l="1"/>
  <c r="AN41" i="1" s="1"/>
  <c r="AE22" i="1"/>
  <c r="AL22" i="1"/>
  <c r="AK22" i="1"/>
  <c r="AO41" i="1"/>
  <c r="D40" i="15"/>
  <c r="AN40" i="15" s="1"/>
  <c r="AA22" i="1"/>
  <c r="AB22" i="1"/>
  <c r="AI22" i="1"/>
  <c r="AJ22" i="1"/>
  <c r="AD22" i="1"/>
  <c r="AG22" i="1"/>
  <c r="AF22" i="1"/>
  <c r="AO22" i="1"/>
  <c r="AC22" i="1"/>
  <c r="H7" i="14"/>
  <c r="E20" i="1"/>
  <c r="E19" i="15"/>
  <c r="E20" i="15"/>
  <c r="E19" i="1"/>
  <c r="H18" i="1"/>
  <c r="H18" i="15"/>
  <c r="H17" i="15"/>
  <c r="H17" i="1"/>
  <c r="H12" i="15"/>
  <c r="H12" i="1"/>
  <c r="F20" i="15"/>
  <c r="F19" i="15"/>
  <c r="F20" i="1"/>
  <c r="F19" i="1"/>
  <c r="H20" i="15"/>
  <c r="H20" i="1"/>
  <c r="H19" i="15"/>
  <c r="H19" i="1"/>
  <c r="E11" i="1"/>
  <c r="E11" i="15"/>
  <c r="F11" i="1"/>
  <c r="F11" i="15"/>
  <c r="H11" i="15"/>
  <c r="H11" i="1"/>
  <c r="H40" i="14"/>
  <c r="E21" i="15"/>
  <c r="E21" i="1"/>
  <c r="F21" i="15"/>
  <c r="F21" i="1"/>
  <c r="H49" i="14"/>
  <c r="H21" i="15"/>
  <c r="H21" i="1"/>
  <c r="AA41" i="1"/>
  <c r="AL22" i="15"/>
  <c r="AE22" i="15"/>
  <c r="AH22" i="15"/>
  <c r="AK22" i="15"/>
  <c r="AO22" i="15"/>
  <c r="AC22" i="15"/>
  <c r="AI22" i="15"/>
  <c r="AJ22" i="15"/>
  <c r="AB22" i="15"/>
  <c r="AG22" i="15"/>
  <c r="AM22" i="15"/>
  <c r="AD22" i="15"/>
  <c r="AA22" i="15"/>
  <c r="AF22" i="15"/>
  <c r="D42" i="1"/>
  <c r="D23" i="15"/>
  <c r="AI23" i="1"/>
  <c r="AM23" i="1"/>
  <c r="AF23" i="1"/>
  <c r="AL23" i="1"/>
  <c r="AD23" i="1"/>
  <c r="AJ23" i="1"/>
  <c r="AH23" i="1"/>
  <c r="AK23" i="1"/>
  <c r="AA23" i="1"/>
  <c r="AC23" i="1"/>
  <c r="AE23" i="1"/>
  <c r="AG23" i="1"/>
  <c r="AB23" i="1"/>
  <c r="AO23" i="1"/>
  <c r="AM31" i="15"/>
  <c r="AL31" i="15"/>
  <c r="AC31" i="1"/>
  <c r="AH31" i="1"/>
  <c r="AA31" i="15"/>
  <c r="AG31" i="15"/>
  <c r="AO31" i="15"/>
  <c r="AF31" i="15"/>
  <c r="AI31" i="15"/>
  <c r="AE31" i="15"/>
  <c r="AJ31" i="15"/>
  <c r="AB31" i="15"/>
  <c r="AD31" i="15"/>
  <c r="AK31" i="15"/>
  <c r="AO38" i="15"/>
  <c r="AA38" i="15"/>
  <c r="AH31" i="15"/>
  <c r="AC31" i="15"/>
  <c r="H19" i="14"/>
  <c r="H45" i="14"/>
  <c r="D17" i="14"/>
  <c r="E17" i="14"/>
  <c r="H14" i="14"/>
  <c r="H30" i="14"/>
  <c r="H38" i="26" s="1"/>
  <c r="I38" i="26" s="1"/>
  <c r="H6" i="14"/>
  <c r="H9" i="14"/>
  <c r="H22" i="14"/>
  <c r="H20" i="14"/>
  <c r="H29" i="14"/>
  <c r="H13" i="26" s="1"/>
  <c r="I13" i="26" s="1"/>
  <c r="H8" i="14"/>
  <c r="H17" i="14"/>
  <c r="H33" i="14"/>
  <c r="H44" i="14"/>
  <c r="H11" i="14"/>
  <c r="H21" i="14"/>
  <c r="H38" i="14"/>
  <c r="H48" i="14"/>
  <c r="D34" i="14"/>
  <c r="H16" i="14"/>
  <c r="E34" i="14"/>
  <c r="E35" i="14" s="1"/>
  <c r="H31" i="14"/>
  <c r="H43" i="14"/>
  <c r="H12" i="14"/>
  <c r="H10" i="14"/>
  <c r="H13" i="14"/>
  <c r="H46" i="14"/>
  <c r="AO56" i="15"/>
  <c r="AO48" i="15"/>
  <c r="AP47" i="15" s="1"/>
  <c r="AN58" i="15"/>
  <c r="D32" i="14"/>
  <c r="E32" i="14"/>
  <c r="H15" i="14"/>
  <c r="M59" i="16" l="1"/>
  <c r="AO40" i="15"/>
  <c r="AA40" i="15"/>
  <c r="AA11" i="1"/>
  <c r="Q11" i="1"/>
  <c r="AO11" i="1" s="1"/>
  <c r="AG19" i="1"/>
  <c r="AB19" i="1"/>
  <c r="AD19" i="1"/>
  <c r="AI19" i="1"/>
  <c r="AI19" i="15"/>
  <c r="AD19" i="15"/>
  <c r="M32" i="16"/>
  <c r="AB20" i="1"/>
  <c r="AG20" i="1"/>
  <c r="F12" i="15"/>
  <c r="F12" i="1"/>
  <c r="Q21" i="15"/>
  <c r="AO21" i="15" s="1"/>
  <c r="AA21" i="15"/>
  <c r="AD18" i="15"/>
  <c r="AI18" i="15"/>
  <c r="AI20" i="1"/>
  <c r="AD20" i="1"/>
  <c r="AB21" i="15"/>
  <c r="AG21" i="15"/>
  <c r="AI18" i="1"/>
  <c r="AD18" i="1"/>
  <c r="AB20" i="15"/>
  <c r="AG20" i="15"/>
  <c r="AI17" i="15"/>
  <c r="AD17" i="15"/>
  <c r="Q19" i="1"/>
  <c r="AO19" i="1" s="1"/>
  <c r="AA19" i="1"/>
  <c r="AI12" i="15"/>
  <c r="AD12" i="15"/>
  <c r="E12" i="15"/>
  <c r="E12" i="1"/>
  <c r="Q12" i="1" s="1"/>
  <c r="AI11" i="15"/>
  <c r="AD11" i="15"/>
  <c r="Q20" i="15"/>
  <c r="AO20" i="15" s="1"/>
  <c r="AA20" i="15"/>
  <c r="Q19" i="15"/>
  <c r="AO19" i="15" s="1"/>
  <c r="AA19" i="15"/>
  <c r="F18" i="1"/>
  <c r="F18" i="15"/>
  <c r="F17" i="15"/>
  <c r="F17" i="1"/>
  <c r="AI21" i="15"/>
  <c r="AD21" i="15"/>
  <c r="Q20" i="1"/>
  <c r="AO20" i="1" s="1"/>
  <c r="AA20" i="1"/>
  <c r="E18" i="1"/>
  <c r="E18" i="15"/>
  <c r="E17" i="15"/>
  <c r="E17" i="1"/>
  <c r="Q17" i="1" s="1"/>
  <c r="AI20" i="15"/>
  <c r="AD20" i="15"/>
  <c r="AB19" i="15"/>
  <c r="AG19" i="15"/>
  <c r="Q21" i="1"/>
  <c r="AG11" i="15"/>
  <c r="AB11" i="15"/>
  <c r="Q11" i="15"/>
  <c r="AO11" i="15" s="1"/>
  <c r="AA11" i="15"/>
  <c r="AP55" i="15"/>
  <c r="C28" i="6"/>
  <c r="AJ23" i="15"/>
  <c r="AG23" i="15"/>
  <c r="AM23" i="15"/>
  <c r="AM35" i="15" s="1"/>
  <c r="AM57" i="15" s="1"/>
  <c r="AC23" i="15"/>
  <c r="AC35" i="15" s="1"/>
  <c r="AL23" i="15"/>
  <c r="AL35" i="15" s="1"/>
  <c r="AF23" i="15"/>
  <c r="AF35" i="15" s="1"/>
  <c r="AD23" i="15"/>
  <c r="AB23" i="15"/>
  <c r="AH23" i="15"/>
  <c r="AH35" i="15" s="1"/>
  <c r="AA23" i="15"/>
  <c r="AE23" i="15"/>
  <c r="AE35" i="15" s="1"/>
  <c r="AE58" i="15" s="1"/>
  <c r="AK23" i="15"/>
  <c r="AK35" i="15" s="1"/>
  <c r="AI23" i="15"/>
  <c r="AO23" i="15"/>
  <c r="AJ35" i="15"/>
  <c r="AJ57" i="15" s="1"/>
  <c r="AN42" i="1"/>
  <c r="AO42" i="1"/>
  <c r="AO44" i="1" s="1"/>
  <c r="D41" i="15"/>
  <c r="AA42" i="1"/>
  <c r="AP51" i="15"/>
  <c r="AP44" i="15"/>
  <c r="AP49" i="15"/>
  <c r="AP52" i="15"/>
  <c r="AP50" i="15"/>
  <c r="AP46" i="15"/>
  <c r="AP53" i="15"/>
  <c r="AP45" i="15"/>
  <c r="AP54" i="15"/>
  <c r="H32" i="14"/>
  <c r="H39" i="26" s="1"/>
  <c r="I39" i="26" s="1"/>
  <c r="M60" i="16" s="1"/>
  <c r="H34" i="14"/>
  <c r="D35" i="14"/>
  <c r="H35" i="14" s="1"/>
  <c r="C27" i="6"/>
  <c r="I46" i="26" l="1"/>
  <c r="Q18" i="1"/>
  <c r="AO18" i="1" s="1"/>
  <c r="AA18" i="1"/>
  <c r="AI35" i="15"/>
  <c r="AI58" i="15" s="1"/>
  <c r="Q12" i="15"/>
  <c r="AO12" i="15" s="1"/>
  <c r="AA12" i="15"/>
  <c r="AB12" i="15"/>
  <c r="AG12" i="15"/>
  <c r="AD35" i="15"/>
  <c r="AD57" i="15" s="1"/>
  <c r="Q17" i="15"/>
  <c r="AO17" i="15" s="1"/>
  <c r="AA17" i="15"/>
  <c r="Q18" i="15"/>
  <c r="AO18" i="15" s="1"/>
  <c r="AA18" i="15"/>
  <c r="AB18" i="15"/>
  <c r="AG18" i="15"/>
  <c r="AB17" i="15"/>
  <c r="AG17" i="15"/>
  <c r="AB18" i="1"/>
  <c r="AG18" i="1"/>
  <c r="AE57" i="15"/>
  <c r="AL58" i="15"/>
  <c r="AL57" i="15"/>
  <c r="AF58" i="15"/>
  <c r="AF57" i="15"/>
  <c r="AK57" i="15"/>
  <c r="AK58" i="15"/>
  <c r="AJ58" i="15"/>
  <c r="AM58" i="15"/>
  <c r="AN41" i="15"/>
  <c r="AA41" i="15"/>
  <c r="AO41" i="15"/>
  <c r="AP56" i="15"/>
  <c r="AP48" i="15"/>
  <c r="AI57" i="15" l="1"/>
  <c r="AG35" i="15"/>
  <c r="AG58" i="15" s="1"/>
  <c r="AA35" i="15"/>
  <c r="AA57" i="15" s="1"/>
  <c r="AO35" i="15"/>
  <c r="AP17" i="15" s="1"/>
  <c r="AB35" i="15"/>
  <c r="AB58" i="15" s="1"/>
  <c r="AD58" i="15"/>
  <c r="AP24" i="15"/>
  <c r="AP10" i="15"/>
  <c r="AO43" i="15"/>
  <c r="AA58" i="15" l="1"/>
  <c r="AP16" i="15"/>
  <c r="AP15" i="15"/>
  <c r="AO58" i="15"/>
  <c r="AR24" i="15" s="1"/>
  <c r="AP12" i="15"/>
  <c r="AB57" i="15"/>
  <c r="AP34" i="15"/>
  <c r="AP11" i="15"/>
  <c r="AG57" i="15"/>
  <c r="AP14" i="15"/>
  <c r="AP21" i="15"/>
  <c r="AP22" i="15"/>
  <c r="AP32" i="15"/>
  <c r="AP33" i="15"/>
  <c r="AP30" i="15"/>
  <c r="AP13" i="15"/>
  <c r="AP23" i="15"/>
  <c r="AP19" i="15"/>
  <c r="AP20" i="15"/>
  <c r="AP26" i="15"/>
  <c r="AP28" i="15"/>
  <c r="AP27" i="15"/>
  <c r="AR20" i="15"/>
  <c r="AR28" i="15"/>
  <c r="AR51" i="15"/>
  <c r="AR17" i="15"/>
  <c r="AO57" i="15"/>
  <c r="AQ20" i="15" s="1"/>
  <c r="AP25" i="15"/>
  <c r="AR25" i="15"/>
  <c r="AR50" i="15"/>
  <c r="AR53" i="15"/>
  <c r="AP31" i="15"/>
  <c r="AP18" i="15"/>
  <c r="AP29" i="15"/>
  <c r="C26" i="6"/>
  <c r="AR47" i="15"/>
  <c r="AR27" i="15"/>
  <c r="AR32" i="15"/>
  <c r="AP37" i="15"/>
  <c r="AP42" i="15"/>
  <c r="AP39" i="15"/>
  <c r="C29" i="6"/>
  <c r="AP38" i="15"/>
  <c r="AP36" i="15"/>
  <c r="AP40" i="15"/>
  <c r="AP41" i="15"/>
  <c r="F18" i="6"/>
  <c r="F34" i="6" s="1"/>
  <c r="F17" i="6"/>
  <c r="F33" i="6" s="1"/>
  <c r="AR11" i="15" l="1"/>
  <c r="AR54" i="15"/>
  <c r="AR55" i="15"/>
  <c r="AR34" i="15"/>
  <c r="AR30" i="15"/>
  <c r="AR31" i="15"/>
  <c r="AR46" i="15"/>
  <c r="AR12" i="15"/>
  <c r="AR15" i="15"/>
  <c r="AR23" i="15"/>
  <c r="AR26" i="15"/>
  <c r="AR52" i="15"/>
  <c r="AR21" i="15"/>
  <c r="AR14" i="15"/>
  <c r="AR22" i="15"/>
  <c r="AR16" i="15"/>
  <c r="AR49" i="15"/>
  <c r="AR13" i="15"/>
  <c r="AR29" i="15"/>
  <c r="AR19" i="15"/>
  <c r="AR45" i="15"/>
  <c r="AR18" i="15"/>
  <c r="AR44" i="15"/>
  <c r="AR10" i="15"/>
  <c r="AR33" i="15"/>
  <c r="AQ21" i="15"/>
  <c r="AQ12" i="15"/>
  <c r="AQ15" i="15"/>
  <c r="AQ44" i="15"/>
  <c r="AQ11" i="15"/>
  <c r="AQ47" i="15"/>
  <c r="AQ26" i="15"/>
  <c r="AQ23" i="15"/>
  <c r="AQ45" i="15"/>
  <c r="AP35" i="15"/>
  <c r="AQ24" i="15"/>
  <c r="AQ33" i="15"/>
  <c r="AQ46" i="15"/>
  <c r="AQ32" i="15"/>
  <c r="AQ25" i="15"/>
  <c r="AQ27" i="15"/>
  <c r="AQ31" i="15"/>
  <c r="AQ34" i="15"/>
  <c r="AQ28" i="15"/>
  <c r="AQ18" i="15"/>
  <c r="AQ10" i="15"/>
  <c r="AQ17" i="15"/>
  <c r="AQ13" i="15"/>
  <c r="AQ14" i="15"/>
  <c r="AQ29" i="15"/>
  <c r="AQ22" i="15"/>
  <c r="AQ16" i="15"/>
  <c r="AQ30" i="15"/>
  <c r="AQ19" i="15"/>
  <c r="E27" i="6"/>
  <c r="E28" i="6"/>
  <c r="C30" i="6"/>
  <c r="D33" i="6" s="1"/>
  <c r="E26" i="6"/>
  <c r="C31" i="6"/>
  <c r="D34" i="6" s="1"/>
  <c r="AP43" i="15"/>
  <c r="AM10" i="1"/>
  <c r="AL10" i="1"/>
  <c r="AK10" i="1"/>
  <c r="AJ10" i="1"/>
  <c r="AI10" i="1"/>
  <c r="AR57" i="15" l="1"/>
  <c r="E31" i="6"/>
  <c r="AQ57" i="15"/>
  <c r="D9" i="13"/>
  <c r="F9" i="13"/>
  <c r="F10" i="13"/>
  <c r="E10" i="13"/>
  <c r="E9" i="13"/>
  <c r="D10" i="13"/>
  <c r="G10" i="13" l="1"/>
  <c r="G9" i="13"/>
  <c r="AJ30" i="1"/>
  <c r="AI11" i="1"/>
  <c r="AJ11" i="1"/>
  <c r="AK11" i="1"/>
  <c r="AG12" i="1"/>
  <c r="AI12" i="1"/>
  <c r="AJ12" i="1"/>
  <c r="AK12" i="1"/>
  <c r="AG13" i="1"/>
  <c r="AI13" i="1"/>
  <c r="AJ13" i="1"/>
  <c r="AG11" i="1" s="1"/>
  <c r="AK13" i="1"/>
  <c r="AG16" i="1"/>
  <c r="AI16" i="1"/>
  <c r="AJ16" i="1"/>
  <c r="AK16" i="1"/>
  <c r="AG17" i="1"/>
  <c r="AI17" i="1"/>
  <c r="AJ17" i="1"/>
  <c r="AK17" i="1"/>
  <c r="AG25" i="1"/>
  <c r="AI25" i="1"/>
  <c r="AJ25" i="1"/>
  <c r="AK25" i="1"/>
  <c r="AG29" i="1"/>
  <c r="AI29" i="1"/>
  <c r="AJ29" i="1"/>
  <c r="AK29" i="1"/>
  <c r="AG30" i="1"/>
  <c r="AI30" i="1"/>
  <c r="AK30" i="1"/>
  <c r="AG31" i="1"/>
  <c r="AI31" i="1"/>
  <c r="AJ31" i="1"/>
  <c r="AK31" i="1"/>
  <c r="AG34" i="1"/>
  <c r="AI34" i="1"/>
  <c r="AJ34" i="1"/>
  <c r="AK34" i="1"/>
  <c r="AG35" i="1"/>
  <c r="AI35" i="1"/>
  <c r="AJ35" i="1"/>
  <c r="AK35" i="1"/>
  <c r="F7" i="13" l="1"/>
  <c r="E6" i="13"/>
  <c r="D6" i="13"/>
  <c r="E7" i="13"/>
  <c r="D7" i="13"/>
  <c r="G7" i="13" s="1"/>
  <c r="G68" i="13"/>
  <c r="F25" i="13" s="1"/>
  <c r="F26" i="13" s="1"/>
  <c r="G66" i="13"/>
  <c r="E23" i="13" s="1"/>
  <c r="G57" i="13"/>
  <c r="F17" i="13" s="1"/>
  <c r="F42" i="13"/>
  <c r="E42" i="13"/>
  <c r="D42" i="13"/>
  <c r="G42" i="13" s="1"/>
  <c r="F41" i="13"/>
  <c r="E41" i="13"/>
  <c r="D41" i="13"/>
  <c r="G41" i="13" s="1"/>
  <c r="F40" i="13"/>
  <c r="E40" i="13"/>
  <c r="D40" i="13"/>
  <c r="F39" i="13"/>
  <c r="E39" i="13"/>
  <c r="D39" i="13"/>
  <c r="F37" i="13"/>
  <c r="E37" i="13"/>
  <c r="D37" i="13"/>
  <c r="F36" i="13"/>
  <c r="E36" i="13"/>
  <c r="D36" i="13"/>
  <c r="F35" i="13"/>
  <c r="E35" i="13"/>
  <c r="D35" i="13"/>
  <c r="G35" i="13" s="1"/>
  <c r="F34" i="13"/>
  <c r="E34" i="13"/>
  <c r="D34" i="13"/>
  <c r="F32" i="13"/>
  <c r="E32" i="13"/>
  <c r="D32" i="13"/>
  <c r="G32" i="13" s="1"/>
  <c r="F31" i="13"/>
  <c r="E31" i="13"/>
  <c r="D31" i="13"/>
  <c r="G31" i="13" s="1"/>
  <c r="F30" i="13"/>
  <c r="E30" i="13"/>
  <c r="D30" i="13"/>
  <c r="F29" i="13"/>
  <c r="E29" i="13"/>
  <c r="D29" i="13"/>
  <c r="F24" i="13"/>
  <c r="E24" i="13"/>
  <c r="D24" i="13"/>
  <c r="F23" i="13"/>
  <c r="D23" i="13"/>
  <c r="F22" i="13"/>
  <c r="E22" i="13"/>
  <c r="D22" i="13"/>
  <c r="F21" i="13"/>
  <c r="E21" i="13"/>
  <c r="D21" i="13"/>
  <c r="G21" i="13" s="1"/>
  <c r="F20" i="13"/>
  <c r="E20" i="13"/>
  <c r="D20" i="13"/>
  <c r="G20" i="13" s="1"/>
  <c r="D17" i="13"/>
  <c r="F15" i="13"/>
  <c r="F16" i="13" s="1"/>
  <c r="E15" i="13"/>
  <c r="E16" i="13" s="1"/>
  <c r="D15" i="13"/>
  <c r="F14" i="13"/>
  <c r="E14" i="13"/>
  <c r="D14" i="13"/>
  <c r="G14" i="13" s="1"/>
  <c r="F13" i="13"/>
  <c r="E13" i="13"/>
  <c r="D13" i="13"/>
  <c r="G13" i="13" s="1"/>
  <c r="F12" i="13"/>
  <c r="E12" i="13"/>
  <c r="D12" i="13"/>
  <c r="G12" i="13" s="1"/>
  <c r="F11" i="13"/>
  <c r="E11" i="13"/>
  <c r="D11" i="13"/>
  <c r="G11" i="13" s="1"/>
  <c r="F8" i="13"/>
  <c r="E8" i="13"/>
  <c r="D8" i="13"/>
  <c r="F6" i="13"/>
  <c r="E25" i="13" l="1"/>
  <c r="E26" i="13" s="1"/>
  <c r="G22" i="13"/>
  <c r="G34" i="13"/>
  <c r="D25" i="13"/>
  <c r="G37" i="13"/>
  <c r="G23" i="13"/>
  <c r="G29" i="13"/>
  <c r="G39" i="13"/>
  <c r="G6" i="13"/>
  <c r="D16" i="13"/>
  <c r="G16" i="13" s="1"/>
  <c r="G15" i="13"/>
  <c r="G24" i="13"/>
  <c r="G36" i="13"/>
  <c r="G8" i="13"/>
  <c r="G30" i="13"/>
  <c r="G40" i="13"/>
  <c r="E17" i="13"/>
  <c r="G17" i="13" s="1"/>
  <c r="D26" i="13" l="1"/>
  <c r="G26" i="13" s="1"/>
  <c r="G25" i="13"/>
  <c r="F4" i="6"/>
  <c r="I4" i="1"/>
  <c r="G4" i="3"/>
  <c r="G4" i="9"/>
  <c r="G3" i="10"/>
  <c r="F3" i="16" s="1"/>
  <c r="F3" i="6"/>
  <c r="I3" i="1"/>
  <c r="G3" i="3"/>
  <c r="G3" i="9"/>
  <c r="AF13" i="1" l="1"/>
  <c r="AO55" i="1" l="1"/>
  <c r="AO54" i="1"/>
  <c r="AO53" i="1"/>
  <c r="AO52" i="1"/>
  <c r="AO51" i="1"/>
  <c r="AO50" i="1"/>
  <c r="AO47" i="1"/>
  <c r="AO46" i="1"/>
  <c r="AO45" i="1"/>
  <c r="AO49" i="1" s="1"/>
  <c r="AN40" i="1"/>
  <c r="AN39" i="1"/>
  <c r="AN36" i="1"/>
  <c r="AN59" i="1" s="1"/>
  <c r="AM35" i="1"/>
  <c r="AL35" i="1"/>
  <c r="AF35" i="1"/>
  <c r="AE35" i="1"/>
  <c r="AD35" i="1"/>
  <c r="AB35" i="1"/>
  <c r="AA35" i="1"/>
  <c r="AM34" i="1"/>
  <c r="AL34" i="1"/>
  <c r="AF34" i="1"/>
  <c r="AE34" i="1"/>
  <c r="AD34" i="1"/>
  <c r="AB34" i="1"/>
  <c r="AA34" i="1"/>
  <c r="AO34" i="1"/>
  <c r="AM31" i="1"/>
  <c r="AL31" i="1"/>
  <c r="AF31" i="1"/>
  <c r="AE31" i="1"/>
  <c r="AD31" i="1"/>
  <c r="AB31" i="1"/>
  <c r="AA31" i="1"/>
  <c r="AO31" i="1"/>
  <c r="AM30" i="1"/>
  <c r="AL30" i="1"/>
  <c r="AF30" i="1"/>
  <c r="AE30" i="1"/>
  <c r="AD30" i="1"/>
  <c r="AB30" i="1"/>
  <c r="AA30" i="1"/>
  <c r="AO30" i="1"/>
  <c r="AM29" i="1"/>
  <c r="AL29" i="1"/>
  <c r="AF29" i="1"/>
  <c r="AE29" i="1"/>
  <c r="AD29" i="1"/>
  <c r="AB29" i="1"/>
  <c r="AA29" i="1"/>
  <c r="AO29" i="1"/>
  <c r="AM25" i="1"/>
  <c r="AL25" i="1"/>
  <c r="AF25" i="1"/>
  <c r="AE25" i="1"/>
  <c r="AD25" i="1"/>
  <c r="AB25" i="1"/>
  <c r="AA25" i="1"/>
  <c r="AO25" i="1"/>
  <c r="AM17" i="1"/>
  <c r="AL17" i="1"/>
  <c r="AF17" i="1"/>
  <c r="AE17" i="1"/>
  <c r="AD17" i="1"/>
  <c r="AB17" i="1"/>
  <c r="AA17" i="1"/>
  <c r="AO17" i="1"/>
  <c r="AM16" i="1"/>
  <c r="AL16" i="1"/>
  <c r="AF16" i="1"/>
  <c r="AE16" i="1"/>
  <c r="AD16" i="1"/>
  <c r="AB16" i="1"/>
  <c r="AA16" i="1"/>
  <c r="AO16" i="1"/>
  <c r="AM13" i="1"/>
  <c r="AL13" i="1"/>
  <c r="AE13" i="1"/>
  <c r="AD13" i="1"/>
  <c r="AB13" i="1"/>
  <c r="AA13" i="1"/>
  <c r="AO13" i="1"/>
  <c r="AM12" i="1"/>
  <c r="AL12" i="1"/>
  <c r="AF12" i="1"/>
  <c r="AE12" i="1"/>
  <c r="AD12" i="1"/>
  <c r="AB12" i="1"/>
  <c r="AA12" i="1"/>
  <c r="AO12" i="1"/>
  <c r="AM11" i="1"/>
  <c r="AL11" i="1"/>
  <c r="AF11" i="1"/>
  <c r="AE11" i="1"/>
  <c r="AD11" i="1"/>
  <c r="AB11" i="1"/>
  <c r="AF10" i="1"/>
  <c r="AE10" i="1"/>
  <c r="AO57" i="1" l="1"/>
  <c r="AP50" i="1" s="1"/>
  <c r="AP45" i="1"/>
  <c r="AN58" i="1"/>
  <c r="AP43" i="1" l="1"/>
  <c r="AP38" i="1"/>
  <c r="AP39" i="1"/>
  <c r="AP42" i="1"/>
  <c r="AP41" i="1"/>
  <c r="AP40" i="1"/>
  <c r="C13" i="6"/>
  <c r="AP37" i="1"/>
  <c r="AP46" i="1"/>
  <c r="AP52" i="1"/>
  <c r="C12" i="6"/>
  <c r="AP47" i="1"/>
  <c r="AP48" i="1"/>
  <c r="C11" i="6"/>
  <c r="AP56" i="1"/>
  <c r="AP53" i="1"/>
  <c r="AP51" i="1"/>
  <c r="AP54" i="1"/>
  <c r="AP55" i="1"/>
  <c r="AP49" i="1" l="1"/>
  <c r="AP44" i="1"/>
  <c r="AP57" i="1"/>
  <c r="E18" i="26"/>
  <c r="I18" i="26" s="1"/>
  <c r="J3" i="26" s="1"/>
  <c r="J4" i="26" l="1"/>
  <c r="J5" i="26"/>
  <c r="J7" i="26"/>
  <c r="AE21" i="1"/>
  <c r="AE36" i="1" s="1"/>
  <c r="AM21" i="1"/>
  <c r="AM36" i="1" s="1"/>
  <c r="AH21" i="1"/>
  <c r="AH36" i="1" s="1"/>
  <c r="AI21" i="1"/>
  <c r="AI36" i="1" s="1"/>
  <c r="AI58" i="1" s="1"/>
  <c r="AJ21" i="1"/>
  <c r="AJ36" i="1" s="1"/>
  <c r="AJ59" i="1" s="1"/>
  <c r="AD21" i="1"/>
  <c r="AD36" i="1" s="1"/>
  <c r="AF21" i="1"/>
  <c r="AF36" i="1" s="1"/>
  <c r="AF58" i="1" s="1"/>
  <c r="AO21" i="1"/>
  <c r="AO36" i="1" s="1"/>
  <c r="AG21" i="1"/>
  <c r="AG36" i="1" s="1"/>
  <c r="AA21" i="1"/>
  <c r="AA36" i="1" s="1"/>
  <c r="AB21" i="1"/>
  <c r="AB36" i="1" s="1"/>
  <c r="AC21" i="1"/>
  <c r="AC36" i="1" s="1"/>
  <c r="AK21" i="1"/>
  <c r="AK36" i="1" s="1"/>
  <c r="AL21" i="1"/>
  <c r="AL36" i="1" s="1"/>
  <c r="AL58" i="1" s="1"/>
  <c r="M37" i="16"/>
  <c r="AM59" i="1" l="1"/>
  <c r="AM58" i="1"/>
  <c r="AO58" i="1"/>
  <c r="AQ11" i="1" s="1"/>
  <c r="AO59" i="1"/>
  <c r="AP11" i="1"/>
  <c r="J13" i="26"/>
  <c r="J14" i="26"/>
  <c r="J36" i="26"/>
  <c r="N55" i="16" s="1"/>
  <c r="J12" i="26"/>
  <c r="N31" i="16" s="1"/>
  <c r="AJ58" i="1"/>
  <c r="J38" i="26"/>
  <c r="N59" i="16" s="1"/>
  <c r="N26" i="16"/>
  <c r="J34" i="26"/>
  <c r="N53" i="16" s="1"/>
  <c r="J30" i="26"/>
  <c r="N49" i="16" s="1"/>
  <c r="J24" i="26"/>
  <c r="N43" i="16" s="1"/>
  <c r="J41" i="26"/>
  <c r="N63" i="16" s="1"/>
  <c r="J8" i="26"/>
  <c r="N27" i="16" s="1"/>
  <c r="J17" i="26"/>
  <c r="N36" i="16" s="1"/>
  <c r="J22" i="26"/>
  <c r="N41" i="16" s="1"/>
  <c r="J31" i="26"/>
  <c r="N50" i="16" s="1"/>
  <c r="J10" i="26"/>
  <c r="N29" i="16" s="1"/>
  <c r="J27" i="26"/>
  <c r="N46" i="16" s="1"/>
  <c r="J35" i="26"/>
  <c r="N54" i="16" s="1"/>
  <c r="J43" i="26"/>
  <c r="N65" i="16" s="1"/>
  <c r="J19" i="26"/>
  <c r="N38" i="16" s="1"/>
  <c r="J33" i="26"/>
  <c r="N52" i="16" s="1"/>
  <c r="J6" i="26"/>
  <c r="N25" i="16" s="1"/>
  <c r="J45" i="26"/>
  <c r="N69" i="16" s="1"/>
  <c r="J21" i="26"/>
  <c r="N40" i="16" s="1"/>
  <c r="J16" i="26"/>
  <c r="N35" i="16" s="1"/>
  <c r="J26" i="26"/>
  <c r="N45" i="16" s="1"/>
  <c r="N24" i="16"/>
  <c r="J11" i="26"/>
  <c r="N30" i="16" s="1"/>
  <c r="J42" i="26"/>
  <c r="N64" i="16" s="1"/>
  <c r="J23" i="26"/>
  <c r="N42" i="16" s="1"/>
  <c r="J39" i="26"/>
  <c r="N60" i="16" s="1"/>
  <c r="J18" i="26"/>
  <c r="N37" i="16" s="1"/>
  <c r="J25" i="26"/>
  <c r="N44" i="16" s="1"/>
  <c r="J9" i="26"/>
  <c r="N28" i="16" s="1"/>
  <c r="N22" i="16"/>
  <c r="N23" i="16"/>
  <c r="AL59" i="1"/>
  <c r="AF59" i="1"/>
  <c r="AG59" i="1"/>
  <c r="AG58" i="1"/>
  <c r="AK59" i="1"/>
  <c r="AK58" i="1"/>
  <c r="AD59" i="1"/>
  <c r="AD58" i="1"/>
  <c r="AA58" i="1"/>
  <c r="AA59" i="1"/>
  <c r="AE59" i="1"/>
  <c r="AE58" i="1"/>
  <c r="AB59" i="1"/>
  <c r="AB58" i="1"/>
  <c r="AI59" i="1"/>
  <c r="N32" i="16" l="1"/>
  <c r="AP23" i="1"/>
  <c r="AQ23" i="1"/>
  <c r="AR23" i="1"/>
  <c r="AP18" i="1"/>
  <c r="AP20" i="1"/>
  <c r="AP14" i="1"/>
  <c r="AP15" i="1"/>
  <c r="AP22" i="1"/>
  <c r="AP24" i="1"/>
  <c r="AP21" i="1"/>
  <c r="AP19" i="1"/>
  <c r="J46" i="26"/>
  <c r="AP31" i="1"/>
  <c r="C10" i="6"/>
  <c r="C14" i="6" s="1"/>
  <c r="AP33" i="1"/>
  <c r="AP13" i="1"/>
  <c r="AP25" i="1"/>
  <c r="AP34" i="1"/>
  <c r="AP29" i="1"/>
  <c r="AP10" i="1"/>
  <c r="AP28" i="1"/>
  <c r="AP27" i="1"/>
  <c r="AP17" i="1"/>
  <c r="AP16" i="1"/>
  <c r="AP12" i="1"/>
  <c r="AP30" i="1"/>
  <c r="AP32" i="1"/>
  <c r="AP26" i="1"/>
  <c r="AP35" i="1"/>
  <c r="AP36" i="1" l="1"/>
  <c r="AR18" i="1"/>
  <c r="AR20" i="1"/>
  <c r="AQ18" i="1"/>
  <c r="AQ20" i="1"/>
  <c r="AR15" i="1"/>
  <c r="AR14" i="1"/>
  <c r="AQ15" i="1"/>
  <c r="AQ14" i="1"/>
  <c r="AQ22" i="1"/>
  <c r="AQ24" i="1"/>
  <c r="AR22" i="1"/>
  <c r="AR24" i="1"/>
  <c r="AR21" i="1"/>
  <c r="AR19" i="1"/>
  <c r="AQ21" i="1"/>
  <c r="AQ19" i="1"/>
  <c r="E10" i="6"/>
  <c r="E11" i="6"/>
  <c r="C15" i="6"/>
  <c r="D18" i="6" s="1"/>
  <c r="D10" i="6"/>
  <c r="E12" i="6"/>
  <c r="AQ13" i="1"/>
  <c r="AQ33" i="1"/>
  <c r="AQ48" i="1"/>
  <c r="AQ12" i="1"/>
  <c r="AQ25" i="1"/>
  <c r="AQ45" i="1"/>
  <c r="AQ26" i="1"/>
  <c r="AQ47" i="1"/>
  <c r="AQ10" i="1"/>
  <c r="AQ30" i="1"/>
  <c r="AQ46" i="1"/>
  <c r="AQ31" i="1"/>
  <c r="AQ27" i="1"/>
  <c r="AQ34" i="1"/>
  <c r="AQ16" i="1"/>
  <c r="AQ35" i="1"/>
  <c r="AQ28" i="1"/>
  <c r="AQ32" i="1"/>
  <c r="AQ17" i="1"/>
  <c r="AQ29" i="1"/>
  <c r="AR52" i="1"/>
  <c r="AR30" i="1"/>
  <c r="AR50" i="1"/>
  <c r="AR47" i="1"/>
  <c r="AR33" i="1"/>
  <c r="AR11" i="1"/>
  <c r="AR53" i="1"/>
  <c r="AR16" i="1"/>
  <c r="AR51" i="1"/>
  <c r="AR46" i="1"/>
  <c r="AR35" i="1"/>
  <c r="AR32" i="1"/>
  <c r="AR26" i="1"/>
  <c r="AR54" i="1"/>
  <c r="AR29" i="1"/>
  <c r="AR17" i="1"/>
  <c r="AR55" i="1"/>
  <c r="AR28" i="1"/>
  <c r="AR45" i="1"/>
  <c r="AR56" i="1"/>
  <c r="AR31" i="1"/>
  <c r="AR27" i="1"/>
  <c r="AR25" i="1"/>
  <c r="AR12" i="1"/>
  <c r="AR10" i="1"/>
  <c r="AR48" i="1"/>
  <c r="AR34" i="1"/>
  <c r="AR13" i="1"/>
  <c r="AQ58" i="1" l="1"/>
  <c r="AR58" i="1"/>
  <c r="E15" i="6"/>
  <c r="D26" i="6"/>
  <c r="D27" i="6"/>
  <c r="D11" i="6"/>
  <c r="D14" i="6" s="1"/>
  <c r="D17" i="6"/>
  <c r="D30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12" authorId="0" shapeId="0" xr:uid="{E758EBE2-E20A-4E9F-8492-E02B549CA994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การได้มา</t>
        </r>
      </text>
    </comment>
    <comment ref="E14" authorId="0" shapeId="0" xr:uid="{D695A7FF-5453-4540-899B-9BAA52CA7DE0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8" authorId="0" shapeId="0" xr:uid="{2475AD79-E892-4A46-8104-B51D1ADB3AE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9" authorId="0" shapeId="0" xr:uid="{AEB4A957-E1A2-4348-A931-2AE20004AEB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Gasoline Density = 750 kg/m3
http://webserver.dmt.upm.es/~isidoro/bk3/c15/Fuel%20properties.pdf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34" authorId="0" shapeId="0" xr:uid="{47B87C13-012C-409E-9676-3F0FFDE6191A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- 3.78541-เปลี่ยนหน่วย Gallon to L
- 0.88 kg/L density of biodiesel</t>
        </r>
      </text>
    </comment>
    <comment ref="C35" authorId="0" shapeId="0" xr:uid="{5D6D54DE-5C9A-456A-B44B-98875A6D29F9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- 0.79 kg/L density of ethanol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2" authorId="0" shapeId="0" xr:uid="{5EE01501-4B9B-47B3-B36E-493C0A931AAB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2" authorId="0" shapeId="0" xr:uid="{FF440101-4D5A-45A6-8B26-8FB36F34F44E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3" authorId="0" shapeId="0" xr:uid="{220F8859-188C-45A0-A64C-54C97E424D7D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3" authorId="0" shapeId="0" xr:uid="{71C0CEAC-E478-4FEC-BD40-5B326F8B24D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P5" authorId="0" shapeId="0" xr:uid="{CE792CDA-F1DF-4390-995D-5330BDF3E49D}">
      <text>
        <r>
          <rPr>
            <b/>
            <sz val="10"/>
            <color indexed="81"/>
            <rFont val="Tahoma"/>
            <family val="2"/>
          </rPr>
          <t>Lenovo:
ส่งซ่อม บริษัทภายนอก - Chiller</t>
        </r>
      </text>
    </comment>
    <comment ref="H7" authorId="0" shapeId="0" xr:uid="{E9977D9C-01F6-4074-BC48-1044B662EB9C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  <comment ref="M7" authorId="0" shapeId="0" xr:uid="{743BEC9A-6C79-4378-BFAF-9EE0BEAEBEB0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39" authorId="0" shapeId="0" xr:uid="{EFADDECB-BF3C-47E2-8483-C99D4D74A3E7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1  + รปภ กทม</t>
        </r>
      </text>
    </comment>
    <comment ref="B45" authorId="0" shapeId="0" xr:uid="{4C40C8E6-CFEA-4D6A-B1BB-EA7036779025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2  + รปภ กทม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Q3" authorId="0" shapeId="0" xr:uid="{B05AD7BC-CF79-4F54-85F4-1BACB68D7B2F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การใช้ปุ๋ย</t>
        </r>
      </text>
    </comment>
    <comment ref="Q4" authorId="0" shapeId="0" xr:uid="{3EAB5E94-031D-41B8-9017-AAB136E92F3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การได้มา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A33" authorId="0" shapeId="0" xr:uid="{3403E3EE-D123-4869-8A27-A878FC9B4A6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34" authorId="0" shapeId="0" xr:uid="{E4B299FE-3929-4194-8878-D7E159474D7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  <comment ref="A60" authorId="0" shapeId="0" xr:uid="{772D0521-9267-4789-9B3F-26980DD6BD7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62" authorId="0" shapeId="0" xr:uid="{DA53D4F1-C5CB-4DD6-B7E9-47F61672A8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  <author/>
  </authors>
  <commentList>
    <comment ref="I2" authorId="0" shapeId="0" xr:uid="{F4D3F853-B846-4BB6-8E5F-B62C0097384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10 ล้อ วิ่งปกติ น้ำหนักบรรทุกสูงสุด 16 ตัน</t>
        </r>
      </text>
    </comment>
    <comment ref="K2" authorId="0" shapeId="0" xr:uid="{DFB7CC51-72C8-4C64-9405-A1BEF5DD6D64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6 ล้อ ขนาดใหญ่ วิ่งปกติ น้ำหนักบรรทุกสูงสุด 11 ตัน</t>
        </r>
      </text>
    </comment>
    <comment ref="M2" authorId="0" shapeId="0" xr:uid="{C17364E5-632C-4C39-AEE4-E87BB26F1DB8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4 ล้อ วิ่งแบบปกติ น้ำหนักบรรทุกสูงสุด 7 ตัน</t>
        </r>
      </text>
    </comment>
    <comment ref="E24" authorId="1" shapeId="0" xr:uid="{6978EBB5-97E0-49D4-A253-FA6C53B56F6C}">
      <text>
        <r>
          <rPr>
            <sz val="11"/>
            <color theme="1"/>
            <rFont val="Tahoma"/>
            <family val="2"/>
            <scheme val="minor"/>
          </rPr>
          <t>======
ID#AAABJ0iCz8A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  <comment ref="H61" authorId="1" shapeId="0" xr:uid="{1525F107-6BC7-4450-AC6F-D66807144ECB}">
      <text>
        <r>
          <rPr>
            <sz val="11"/>
            <color theme="1"/>
            <rFont val="Tahoma"/>
            <family val="2"/>
            <scheme val="minor"/>
          </rPr>
          <t>======
ID#AAABJ0iCz8M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F21" authorId="0" shapeId="0" xr:uid="{95B25586-4AB7-4B34-B3D6-5A2A1047CB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 10 ล้อ วิ่งปกติ น้ำหนักสูงสุด 16 ตัน</t>
        </r>
      </text>
    </comment>
    <comment ref="H21" authorId="0" shapeId="0" xr:uid="{D25223FB-41CD-4FC0-A66C-30C036F34F2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รถกระบะบรรทุกขนาดเล็ก 4 ล้อ วิ่ง แบบปกติ น้ำหนักบรรทุกสูงสุด 7 ตัน</t>
        </r>
      </text>
    </comment>
    <comment ref="J21" authorId="0" shapeId="0" xr:uid="{BE69F606-76A7-42AF-85A8-E0A4CF878C81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รถบรรทุกขยะ 6 ล้อ วิ่งปกติ น้ำหนักบรรทุกสูงสุด 11 ตัน</t>
        </r>
      </text>
    </comment>
    <comment ref="D24" authorId="0" shapeId="0" xr:uid="{29E8D30B-DF00-4AC9-A9E8-2EBD110FDB2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ตามสมมติฐาน อบก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Lenovo</author>
  </authors>
  <commentList>
    <comment ref="O2" authorId="0" shapeId="0" xr:uid="{E494B0BE-A203-4ED8-A5EB-87CCF1BEF9B2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  <comment ref="P3" authorId="1" shapeId="0" xr:uid="{FFB1B328-7339-4C6A-8060-C97344F8DB3A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น้ำหนักบรรทุกสูงสุด 32 ton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" authorId="0" shapeId="0" xr:uid="{696C969A-C54E-4A60-A190-C2E98C5FB5FA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<sst xmlns="http://schemas.openxmlformats.org/spreadsheetml/2006/main" count="18433" uniqueCount="2842">
  <si>
    <t>ชื่อฟอร์ม</t>
  </si>
  <si>
    <t>รหัสฟอร์ม</t>
  </si>
  <si>
    <t>Fr-04</t>
  </si>
  <si>
    <t>ขอบเขต</t>
  </si>
  <si>
    <t>รายการ</t>
  </si>
  <si>
    <t xml:space="preserve">ค่า LCI </t>
  </si>
  <si>
    <t>GHG ที่ต้องรายงานตามข้อกำหนด</t>
  </si>
  <si>
    <t>GHG ที่อยู่นอกข้อกำหนด</t>
  </si>
  <si>
    <t>Total (kgCO2e/หน่วย)</t>
  </si>
  <si>
    <t>ผลคูณ (TonCO2e)</t>
  </si>
  <si>
    <t>Total GHG</t>
  </si>
  <si>
    <t>คำอธิบายเพิ่มเติม</t>
  </si>
  <si>
    <r>
      <t>GWP</t>
    </r>
    <r>
      <rPr>
        <b/>
        <vertAlign val="subscript"/>
        <sz val="11"/>
        <color theme="0"/>
        <rFont val="Tahoma"/>
        <family val="2"/>
        <scheme val="minor"/>
      </rPr>
      <t>100</t>
    </r>
  </si>
  <si>
    <t>ที่มา</t>
  </si>
  <si>
    <t>IPCC, AR4</t>
  </si>
  <si>
    <r>
      <t>GWP</t>
    </r>
    <r>
      <rPr>
        <b/>
        <vertAlign val="subscript"/>
        <sz val="8"/>
        <color theme="0"/>
        <rFont val="Tahoma"/>
        <family val="2"/>
      </rPr>
      <t>100</t>
    </r>
  </si>
  <si>
    <t>CO2</t>
  </si>
  <si>
    <t>หน่วย</t>
  </si>
  <si>
    <t>ปริมาณ</t>
  </si>
  <si>
    <r>
      <t>CO</t>
    </r>
    <r>
      <rPr>
        <b/>
        <vertAlign val="subscript"/>
        <sz val="8"/>
        <color theme="0"/>
        <rFont val="Tahoma"/>
        <family val="2"/>
      </rPr>
      <t>2</t>
    </r>
  </si>
  <si>
    <r>
      <t>CH</t>
    </r>
    <r>
      <rPr>
        <b/>
        <vertAlign val="subscript"/>
        <sz val="8"/>
        <color theme="0"/>
        <rFont val="Tahoma"/>
        <family val="2"/>
      </rPr>
      <t>4</t>
    </r>
  </si>
  <si>
    <r>
      <t>N</t>
    </r>
    <r>
      <rPr>
        <b/>
        <vertAlign val="subscript"/>
        <sz val="8"/>
        <color theme="0"/>
        <rFont val="Tahoma"/>
        <family val="2"/>
      </rPr>
      <t>2</t>
    </r>
    <r>
      <rPr>
        <b/>
        <sz val="8"/>
        <color theme="0"/>
        <rFont val="Tahoma"/>
        <family val="2"/>
      </rPr>
      <t>O</t>
    </r>
  </si>
  <si>
    <r>
      <t>SF</t>
    </r>
    <r>
      <rPr>
        <b/>
        <vertAlign val="subscript"/>
        <sz val="8"/>
        <color theme="0"/>
        <rFont val="Tahoma"/>
        <family val="2"/>
      </rPr>
      <t>6</t>
    </r>
  </si>
  <si>
    <r>
      <t>NF</t>
    </r>
    <r>
      <rPr>
        <b/>
        <vertAlign val="subscript"/>
        <sz val="8"/>
        <color theme="0"/>
        <rFont val="Tahoma"/>
        <family val="2"/>
      </rPr>
      <t>3</t>
    </r>
  </si>
  <si>
    <t>HFCs</t>
  </si>
  <si>
    <t>PFCs</t>
  </si>
  <si>
    <t>CH4</t>
  </si>
  <si>
    <t>N2O</t>
  </si>
  <si>
    <t>SF6</t>
  </si>
  <si>
    <t>NF3</t>
  </si>
  <si>
    <t>Other</t>
  </si>
  <si>
    <t>ขอบเขต 1</t>
  </si>
  <si>
    <t>การปล่อย GHG โดยตรงที่ทำการรายงานแยก</t>
  </si>
  <si>
    <t>ขอบเขต 2</t>
  </si>
  <si>
    <t>ขอบเขต 3</t>
  </si>
  <si>
    <t>จัดทำโดย</t>
  </si>
  <si>
    <t>เสร็จสิ้นวันที่</t>
  </si>
  <si>
    <t>แผนภาพแสดงโครงสร้างขององค์กรและหน้าที่ความรับผิดชอบ</t>
  </si>
  <si>
    <t>อื่น ๆ</t>
  </si>
  <si>
    <t>สรุปการปล่อยก๊าซเรือนกระจกขององค์กร</t>
  </si>
  <si>
    <t>Fr-05</t>
  </si>
  <si>
    <t>การปล่อยก๊าซเรือนกระจกขององค์กร</t>
  </si>
  <si>
    <t>สัดส่วนเมื่อเทียบขอบเขต 1 และ 2</t>
  </si>
  <si>
    <t>สัดส่วนเมื่อเทียบขอบเขต 1, 2 และ 3</t>
  </si>
  <si>
    <t>รวม Scope 1 &amp; 2</t>
  </si>
  <si>
    <t>ชื่อ</t>
  </si>
  <si>
    <t>Units</t>
  </si>
  <si>
    <t>EMISSION FACTORS</t>
  </si>
  <si>
    <t>แหล่งอ้างอิงข้อมูล</t>
  </si>
  <si>
    <r>
      <t>CO</t>
    </r>
    <r>
      <rPr>
        <b/>
        <vertAlign val="subscript"/>
        <sz val="10"/>
        <color theme="0"/>
        <rFont val="Arial"/>
        <family val="2"/>
      </rPr>
      <t>2</t>
    </r>
  </si>
  <si>
    <r>
      <t>CH</t>
    </r>
    <r>
      <rPr>
        <b/>
        <vertAlign val="subscript"/>
        <sz val="10"/>
        <color theme="0"/>
        <rFont val="Arial"/>
        <family val="2"/>
      </rPr>
      <t>4</t>
    </r>
  </si>
  <si>
    <r>
      <t>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</t>
    </r>
  </si>
  <si>
    <t>Total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</si>
  <si>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/unit]</t>
    </r>
  </si>
  <si>
    <r>
      <t>[kg 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>/unit]</t>
    </r>
  </si>
  <si>
    <r>
      <t>[kg 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O/unit]</t>
    </r>
  </si>
  <si>
    <t>Stationary Combustion</t>
  </si>
  <si>
    <t>Natural gas</t>
  </si>
  <si>
    <t>scf</t>
  </si>
  <si>
    <t>IPCC Vol.2 table 2.2, DEDE</t>
  </si>
  <si>
    <t>Lignite</t>
  </si>
  <si>
    <t>kg</t>
  </si>
  <si>
    <t>litre</t>
  </si>
  <si>
    <t>Gas/Diesel oil</t>
  </si>
  <si>
    <t>Anthracite</t>
  </si>
  <si>
    <t>Sub-bituminous coal</t>
  </si>
  <si>
    <t>Jet Kerosene</t>
  </si>
  <si>
    <t>LPG</t>
  </si>
  <si>
    <t>Mobile Combustion (On road)</t>
  </si>
  <si>
    <t xml:space="preserve">Motor Gasoline - uncontrolled </t>
  </si>
  <si>
    <t>IPCC Vol.2 table 3.2.1, 3.2.2, DEDE</t>
  </si>
  <si>
    <t>Motor Gasoline -oxydation catalyst</t>
  </si>
  <si>
    <t>Motor Gasoline - low mileage light duty vihicle vintage 1995 or later</t>
  </si>
  <si>
    <t>Gas/ Diesel Oil</t>
  </si>
  <si>
    <t>Compressed Natural Gas</t>
  </si>
  <si>
    <t>IPCC Vol.2 table 3.2.1, 3.2.2, PTT</t>
  </si>
  <si>
    <t>Liquified Petroleum Gas</t>
  </si>
  <si>
    <t>Mobile Combustion (Off road)</t>
  </si>
  <si>
    <t>Diesel</t>
  </si>
  <si>
    <t>- Agriculture</t>
  </si>
  <si>
    <t>IPCC Vol.2 table 3.3.1, DEDE</t>
  </si>
  <si>
    <t xml:space="preserve">- Forestry </t>
  </si>
  <si>
    <t xml:space="preserve">- Industry </t>
  </si>
  <si>
    <t>- Household</t>
  </si>
  <si>
    <t>Motor Gasoline - 4 stroke</t>
  </si>
  <si>
    <t>Motor Gasoline - 2 stroke</t>
  </si>
  <si>
    <t>IPCC</t>
  </si>
  <si>
    <t>DEDE</t>
  </si>
  <si>
    <t>[kg/TJ]</t>
  </si>
  <si>
    <t>[MJ/unit]</t>
  </si>
  <si>
    <t>unit</t>
  </si>
  <si>
    <t>NCV</t>
  </si>
  <si>
    <t>dry basis</t>
  </si>
  <si>
    <t>gasoline</t>
  </si>
  <si>
    <t>*ref. from PTT</t>
  </si>
  <si>
    <t xml:space="preserve">Mobile Combustion (Off road) </t>
  </si>
  <si>
    <t>รายละเอียดขององค์กร</t>
  </si>
  <si>
    <t>บัญชีรายการก๊าซเรือนกระจก</t>
  </si>
  <si>
    <t>องค์กร</t>
  </si>
  <si>
    <t xml:space="preserve">หน้าที่ </t>
  </si>
  <si>
    <t>Fr-01</t>
  </si>
  <si>
    <t>ผู้จัดทำ</t>
  </si>
  <si>
    <t>วันที่จัดทำ</t>
  </si>
  <si>
    <t>รูปขององค์กร</t>
  </si>
  <si>
    <t xml:space="preserve">ขอบเขตขององค์กร </t>
  </si>
  <si>
    <t xml:space="preserve">ประเภท 1 </t>
  </si>
  <si>
    <t>ประเภท 2</t>
  </si>
  <si>
    <t>ประเภท 3</t>
  </si>
  <si>
    <t>ระยะเวลาเก็บข้อมูล</t>
  </si>
  <si>
    <t>ข้อมูลองค์กร</t>
  </si>
  <si>
    <t>สถานที่ติดต่อ</t>
  </si>
  <si>
    <t>วันที่ขอขึ้นทะเบียน</t>
  </si>
  <si>
    <t>การแสดงเครื่องหมาย</t>
  </si>
  <si>
    <t>กราฟแท่งแสดงการปล่อย GHG แต่ละขอบเขต</t>
  </si>
  <si>
    <t>แผนภาพองค์กร</t>
  </si>
  <si>
    <t>Fr-02</t>
  </si>
  <si>
    <t>วันที่</t>
  </si>
  <si>
    <t>Subsitute</t>
  </si>
  <si>
    <t>แหล่งอ้างอิง</t>
  </si>
  <si>
    <t>1st</t>
  </si>
  <si>
    <t>2nd</t>
  </si>
  <si>
    <t>Self collct</t>
  </si>
  <si>
    <t>Supplier</t>
  </si>
  <si>
    <t>TH LCI DB</t>
  </si>
  <si>
    <t>TGO EF</t>
  </si>
  <si>
    <t>Thai Res.</t>
  </si>
  <si>
    <t>Int. DB</t>
  </si>
  <si>
    <t>ผลคูณ (Ton GHG)</t>
  </si>
  <si>
    <t>ค่า EF (kg GHG/หน่วย)</t>
  </si>
  <si>
    <t>ประเภท 1</t>
  </si>
  <si>
    <t>สัดส่วน (%)</t>
  </si>
  <si>
    <t>สัดส่วน (%) (SCOPE 1+2)</t>
  </si>
  <si>
    <t>สัดส่วน (%) (SCOPE 1+2+3)</t>
  </si>
  <si>
    <t>บันทึกการแก้ไข</t>
  </si>
  <si>
    <t>ลำดับ</t>
  </si>
  <si>
    <t>Sheet</t>
  </si>
  <si>
    <t>Cell</t>
  </si>
  <si>
    <t>รายละเอียด</t>
  </si>
  <si>
    <t>AM,AN,AO</t>
  </si>
  <si>
    <t>เพิ่มการคำนวณสัดส่วน (%)</t>
  </si>
  <si>
    <t>C10-C13</t>
  </si>
  <si>
    <t>ลบสูตร Round up</t>
  </si>
  <si>
    <t>รวม Scope 1 &amp; 2 &amp; 3</t>
  </si>
  <si>
    <t>B15</t>
  </si>
  <si>
    <t>เพิ่มการคำนวณรวม Scope 1 &amp; 2 &amp; 3</t>
  </si>
  <si>
    <t>TGO_EF</t>
  </si>
  <si>
    <t>เพิ่ม EF  Gasoline Stationary Combustion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</si>
  <si>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eq/unit]</t>
    </r>
  </si>
  <si>
    <t>Motor gasoline</t>
  </si>
  <si>
    <t>Motor Gasoline - oxydation catalyst</t>
  </si>
  <si>
    <t>MJ</t>
  </si>
  <si>
    <t>IPCC, AR5</t>
  </si>
  <si>
    <t>เพิ่ม Sheet EF TGO AR5</t>
  </si>
  <si>
    <t>Fuel oil A</t>
  </si>
  <si>
    <t>Residual fuel oil (Fuel oil A)</t>
  </si>
  <si>
    <t>Residual fuel oil (Fuel oil C)</t>
  </si>
  <si>
    <t>Fuel oil C</t>
  </si>
  <si>
    <t>IPCC Vol.2 table 2.2, PTT</t>
  </si>
  <si>
    <t>IPCC Vol.2 table 2.2, DEDE LPG 1 litre = 0.54 kg</t>
  </si>
  <si>
    <t>IPCC Vol.2 table 3.2.1, 3.2.2, DEDE LPG 1 litre = 0.54 kg</t>
  </si>
  <si>
    <t>PASS: 12345678</t>
  </si>
  <si>
    <t>ผู้ทำการแก้ไข</t>
  </si>
  <si>
    <t>มนต์ชัย จิตติปัญญากุล</t>
  </si>
  <si>
    <t>แก้ไขสูตรการคำนวณให้ใช้ GWP AR5</t>
  </si>
  <si>
    <t>ใส่สูตร Roundup ในแต่ละ SCOPE</t>
  </si>
  <si>
    <t>Electricity, grid mix (ไฟฟ้า)</t>
  </si>
  <si>
    <t>ไฟฟ้าแบบ grid mix ปี 2016-2018; LCIA
method IPCC 2013 GWP 100a V1.03</t>
  </si>
  <si>
    <t>kWh</t>
  </si>
  <si>
    <t>Thai National LCI Database,
TIISMTEC-NSTDA, AR5
(with TGO electricity 2016-2018)</t>
  </si>
  <si>
    <t>Refrigerants (สารทำความเย็น)</t>
  </si>
  <si>
    <t>R-32</t>
  </si>
  <si>
    <t>R-134</t>
  </si>
  <si>
    <t>R-134a</t>
  </si>
  <si>
    <t>IPCC 2013, AR5</t>
  </si>
  <si>
    <t>R-22 (HCFC-22)</t>
  </si>
  <si>
    <t xml:space="preserve"> -</t>
  </si>
  <si>
    <t>เพิ่ม EF  ไฟฟ้า และสารทำความเย็น</t>
  </si>
  <si>
    <t>Carbon intensity (Scope 1+2)</t>
  </si>
  <si>
    <t>Carbon intensity (Scope 1+2+3)</t>
  </si>
  <si>
    <t>ผลผลิต</t>
  </si>
  <si>
    <t>Fr-01 Fr-05</t>
  </si>
  <si>
    <t>TonCO2eq/</t>
  </si>
  <si>
    <t>FUEL WOOD</t>
  </si>
  <si>
    <t>Bagasse</t>
  </si>
  <si>
    <t xml:space="preserve">Palm kernel shell </t>
  </si>
  <si>
    <t>Cob</t>
  </si>
  <si>
    <t>Biogas</t>
  </si>
  <si>
    <t>FUEL WOOD (CO2only)</t>
  </si>
  <si>
    <t>Bagasse (CO2only)</t>
  </si>
  <si>
    <t>Palm kernel shell (CO2only)</t>
  </si>
  <si>
    <t>Cob (CO2only)</t>
  </si>
  <si>
    <t>Biogas (CO2only)</t>
  </si>
  <si>
    <t>R-125</t>
  </si>
  <si>
    <t>R-143</t>
  </si>
  <si>
    <t>R-143a</t>
  </si>
  <si>
    <t>ทั้งนี้สำหรับ Emission Factor ใน Scope 3 สามารถค้นหาได้ที่</t>
  </si>
  <si>
    <t>http://thaicarbonlabel.tgo.or.th/products_emission/products_emission.pnc</t>
  </si>
  <si>
    <t>Wood / Wood Waste (FUEL WOOD)</t>
  </si>
  <si>
    <t>Other Primary Solid
Biomass</t>
  </si>
  <si>
    <r>
      <t>m</t>
    </r>
    <r>
      <rPr>
        <vertAlign val="superscript"/>
        <sz val="11"/>
        <rFont val="Tahoma"/>
        <family val="2"/>
        <scheme val="minor"/>
      </rPr>
      <t>3</t>
    </r>
  </si>
  <si>
    <t xml:space="preserve"> (TonCO2e)</t>
  </si>
  <si>
    <t>บัญชีรายการก๊าซเรือนกระจก ปีฐาน (base year)</t>
  </si>
  <si>
    <t>ระบุความแตกต่างระหว่างการรายงานปริมาณก๊าซเรือนกระจกของปีฐานและปีปัจจุบัน</t>
  </si>
  <si>
    <t>ปีฐาน</t>
  </si>
  <si>
    <t>ปีปัจจุบัน</t>
  </si>
  <si>
    <t>ปีที่เก็บข้อมูล</t>
  </si>
  <si>
    <t>Fr-04.1</t>
  </si>
  <si>
    <t>เปรียบเทียบ</t>
  </si>
  <si>
    <t>ผลผลิตปีฐาน</t>
  </si>
  <si>
    <t>Fr-01, Fr-04.2, Fr-05</t>
  </si>
  <si>
    <t>EF TGO AR5</t>
  </si>
  <si>
    <t>m3</t>
  </si>
  <si>
    <t>ประเมินความมีนัยสำคัญของการปล่อยก๊าซเรือนกระจกทางอ้อม (SCOPE 3)</t>
  </si>
  <si>
    <t>คำอธิบาย</t>
  </si>
  <si>
    <t>องค์กรจะต้องคัดเลือกแหล่งปล่อยก๊าซเรือนกระจกทางอ้อม (Scope 3) โดยกำหนดเกณฑ์ในการประเมินความมีนัยสำคัญของการปล่อยก๊าซเรือนกระจกทางอ้อม (Scope 3)</t>
  </si>
  <si>
    <t>ประเด็นที่ต้องพิจารณา</t>
  </si>
  <si>
    <t>Source of GHG</t>
  </si>
  <si>
    <t>องค์กรมีแหล่งปล่อยก๊าซเรือนกระจกนี้หรือไม่</t>
  </si>
  <si>
    <t>ขนาด (Magnitude or Size)</t>
  </si>
  <si>
    <t>เป็นกิจกรรมการปล่อยหรือดูดกลับก๊าซเรือนกระจกทางอ้อมซึ่งถูกสันนิษฐานว่ามีปริมาณการปล่อยหรือดูดกลับก๊าซเรือนกระจกในปริมาณมากอย่างมีนัยสำคัญ</t>
  </si>
  <si>
    <t>ระดับของแรงจูงใจ (Level of influence (Reduction of potential))</t>
  </si>
  <si>
    <t>เป็นกิจกรรมการปล่อยหรือดูดกลับก๊าซเรือนกระจกที่องค์กรมีความสามารถในการตรวจติดตามและลดปริมาณการปล่อยหรือดูดกลับก๊าซเรือนกระจกจากกิจกรรมนั้น(ตัวอย่างเช่นเป็นกิจกรรมที่เกี่ยวข้องกับการประเมินประสิทธิภาพพลังงาน การออกแบบเชิงนิเวศเศรษฐกิจ, เกี่ยวข้องกับข้อตกลงที่มีกับลูกค้า, เกี่ยวข้องกับข้อกำหนดขอบเขตงานจากผู้ว่าจ้าง)</t>
  </si>
  <si>
    <t>ความเสี่ยง หรือ โอกาส Risk or opportunity</t>
  </si>
  <si>
    <t>เป็นกิจกรรมการปล่อยหรือดูดกลับก๊าซเรือนกระจกทางอ้อมซึ่งมีส่วนทำให้องค์กรได้รับความเสี่ยง (ตัวอย่างของความเสี่ยงที่มีความเชื่อมโยงกับการเปลี่ยนแปลงสภาพภูมิอากาศ เช่น ความเสี่ยงทางด้านการเงิน, ความเสี่ยงทางด้านกฎระเบียบข้อบังคับ, ความเสี่ยงตลอดห่วงโซ่อุปทาน, ความเสี่ยงเกี่ยวกับสินค้าและลูกค้า, ความเสี่ยงเกี่ยวกับการดำเนินคดี และ ความเสี่ยงด้านชื่อเสียง) หรือได้รับโอกาสต่างๆ ทางธุรกิจ (เช่น การเข้าสู่ช่องทางตลาดใหม่ การเข้าสู่ระบบธุรกิจในรูปแบบใหม่)</t>
  </si>
  <si>
    <t xml:space="preserve">Sector Guidance </t>
  </si>
  <si>
    <t>เป็นกิจกรรมการปล่อยก๊าซเรือนกระจกที่ถูกถือว่ามีนัยสำคัญสำหรับอุตสาหกรรมที่กำลังพิจารณา ตามที่กำหนดไว้ในคู่มือหรือแนวทางที่เฉพาะเจาะจงสำหรับอุตสาหกรรมนั้น</t>
  </si>
  <si>
    <t>Outsourcing</t>
  </si>
  <si>
    <t>เป็นกิจกรรมการปล่อยและดูดกลับก๊าซเรือนกระจกทางอ้อมที่เกิดจากการจัดจ้างบุคคลหรือหน่วยงานภายนอกเข้ามาดำเนินกิจกรรมที่ถือว่า เป็นกิจกรรมหลักในการดำเนินธุรกิจขององค์กร</t>
  </si>
  <si>
    <t>Employee engagement</t>
  </si>
  <si>
    <t>เป็นกิจกรรมการปล่อยก๊าซเรือนกระจกทางอ้อมที่สามารถส่งเสริมให้เกิดการกระตุ้นให้พนักงานมีส่วนร่วมในการลดการปล่อยก๊าซเรือนกระจก ผ่านการลดการใช้พลังงาน หรือการทำงานร่วมกันเป็นทีมภายใต้หลักคิดที่เกี่ยวข้องกับการเปลี่ยนแปลงสภาพภูมิอากาศ (เช่น การสร้างแรงจูงใจในการอนุรักษ์พลังงาน, การเดินทาง โดยใช้รถร่วมกัน, การประเมินราคาคาร์บอนภายในองค์กร เป็นต้น)</t>
  </si>
  <si>
    <t>ที่มา : หัวข้อที่ 12 ข้อกำหนดในการคำนวณและรายงานคาร์บอนฟุตพริ้นท์ขององค์กร พิมพ์ครั้งที่ 7 (ฉบับปรับปรุงครั้งที่ 5, มกราคม 2564)</t>
  </si>
  <si>
    <t>Category</t>
  </si>
  <si>
    <t>Magnitude</t>
  </si>
  <si>
    <t>Level of influence (Reduction of potential)</t>
  </si>
  <si>
    <t>P</t>
  </si>
  <si>
    <t>Capital goods</t>
  </si>
  <si>
    <t>Fuel- and energy related activities</t>
  </si>
  <si>
    <t>Upstream transportation and distribution</t>
  </si>
  <si>
    <t>Waste generated in operations</t>
  </si>
  <si>
    <t>Business travel</t>
  </si>
  <si>
    <t>Employee commuting</t>
  </si>
  <si>
    <t>Upstream leased assets</t>
  </si>
  <si>
    <t>Downstream transportation and distribution</t>
  </si>
  <si>
    <t>Processing of sold products</t>
  </si>
  <si>
    <t>Use of sold products</t>
  </si>
  <si>
    <t>End-of-life treatment of sold products</t>
  </si>
  <si>
    <t>Downstream leased assets</t>
  </si>
  <si>
    <t>Franchises</t>
  </si>
  <si>
    <t>Investments</t>
  </si>
  <si>
    <t>อธิบาย หลักเกณฑ์ในการประเมินความมีนัยสำคัญ</t>
  </si>
  <si>
    <t>Fr-03.2</t>
  </si>
  <si>
    <t>Fr-03.1</t>
  </si>
  <si>
    <t>เพิ่ม การคำนวณ Carbon Intensity</t>
  </si>
  <si>
    <t>เพิ่ม การคำนวณปีฐาน</t>
  </si>
  <si>
    <t>เพิ่ม EF Biomass</t>
  </si>
  <si>
    <t>เพิ่ม Fr-03.2 ประเมินความมีนัยสำคัญของการปล่อยก๊าซเรือนกระจกทางอ้อม (SCOPE 3)</t>
  </si>
  <si>
    <t xml:space="preserve">Fr-03.2 </t>
  </si>
  <si>
    <t xml:space="preserve">Fossil CH4 </t>
  </si>
  <si>
    <t>เพิ่มค่า GWP Fossil CH4 และแก้ไขการคำนวณ EF การเผาไหม้เชื้อเพลิงฟอสซิล</t>
  </si>
  <si>
    <t>เพิ่มค่า GWP Fossil CH4 และแก้ไขการคำนวณ Total (kgCO2e/หน่วย)</t>
  </si>
  <si>
    <t>Fr-04.2</t>
  </si>
  <si>
    <t>เพิ่มคอลัมน์ Fossil CH4</t>
  </si>
  <si>
    <r>
      <t>Fossil 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</si>
  <si>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t>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</si>
  <si>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rPr>
        <b/>
        <sz val="12"/>
        <rFont val="Tahoma"/>
        <family val="2"/>
      </rPr>
      <t>TCFO_R_01</t>
    </r>
    <r>
      <rPr>
        <sz val="11"/>
        <rFont val="Tahoma"/>
        <family val="2"/>
      </rPr>
      <t xml:space="preserve">
</t>
    </r>
    <r>
      <rPr>
        <sz val="8"/>
        <rFont val="Tahoma"/>
        <family val="2"/>
      </rPr>
      <t>Version 04 : 21/2/2020</t>
    </r>
  </si>
  <si>
    <r>
      <rPr>
        <b/>
        <sz val="10"/>
        <rFont val="Tahoma"/>
        <family val="2"/>
      </rPr>
      <t>TCFO_R_01</t>
    </r>
    <r>
      <rPr>
        <sz val="10"/>
        <rFont val="Tahoma"/>
        <family val="2"/>
      </rPr>
      <t xml:space="preserve">
Version 04 : 21/2/2020</t>
    </r>
  </si>
  <si>
    <t>ประเมินความมีนัยสำคัญ Scope3</t>
  </si>
  <si>
    <t>Stationary combustion</t>
  </si>
  <si>
    <t>หลักฐาน</t>
  </si>
  <si>
    <t xml:space="preserve">หน่วย </t>
  </si>
  <si>
    <t>รวม</t>
  </si>
  <si>
    <t>ปริมาณการใช้แต่ละเดือน/2566</t>
  </si>
  <si>
    <t>บิลเงินสด</t>
  </si>
  <si>
    <t xml:space="preserve"> L</t>
  </si>
  <si>
    <t>Acetylene Gas (ซ่อมบำรุง)</t>
  </si>
  <si>
    <t>ใบกำกับภาษี</t>
  </si>
  <si>
    <t>Acetylene gas (5 kg) ในงานการซ่อมบำรุง 2</t>
  </si>
  <si>
    <t>ใบสั่งซื้อ</t>
  </si>
  <si>
    <t>ถัง</t>
  </si>
  <si>
    <t>Acetylene gas (5 kg) ในงานการซ่อมบำรุง 3</t>
  </si>
  <si>
    <t>Kg</t>
  </si>
  <si>
    <t>Mobile combustion</t>
  </si>
  <si>
    <t>Location</t>
  </si>
  <si>
    <t>ใบกำกับภาษี /Fleet Card Report</t>
  </si>
  <si>
    <t xml:space="preserve">1. จก 8296 ชบ                       </t>
  </si>
  <si>
    <t>LCB</t>
  </si>
  <si>
    <t>ใบแจ้งหนี้ / Fleet Card Report</t>
  </si>
  <si>
    <t xml:space="preserve">2. จก 8297 ชบ                   </t>
  </si>
  <si>
    <t xml:space="preserve">3. นง 1084 ชบ. </t>
  </si>
  <si>
    <t xml:space="preserve">4. ผล 4837 ชบ.       </t>
  </si>
  <si>
    <t xml:space="preserve">5. ฒอ 2780 กทม.   </t>
  </si>
  <si>
    <t xml:space="preserve">6. 6กข-9968 กทม      </t>
  </si>
  <si>
    <t>BKK</t>
  </si>
  <si>
    <t xml:space="preserve">7. ฮฐ-7884 กทม      </t>
  </si>
  <si>
    <t xml:space="preserve">8. 2ฒค-421 กทม  </t>
  </si>
  <si>
    <t xml:space="preserve">9. 1ฒณ-8874 กทม  </t>
  </si>
  <si>
    <t>L</t>
  </si>
  <si>
    <t xml:space="preserve">1. 5กว-3489 กทม.          </t>
  </si>
  <si>
    <t xml:space="preserve">2. ญล 8398 กทม.         </t>
  </si>
  <si>
    <t xml:space="preserve">3. 6กฉ-3489 กทม       </t>
  </si>
  <si>
    <t xml:space="preserve">4. 5กม-3489 กทม   </t>
  </si>
  <si>
    <t xml:space="preserve">5. ฮต-6531 กทม.   </t>
  </si>
  <si>
    <t xml:space="preserve">6. 4 กฬ-8072 กทม.    </t>
  </si>
  <si>
    <t>fleet card</t>
  </si>
  <si>
    <t>3. รถโฟล์คลิฟท์ 3 คัน</t>
  </si>
  <si>
    <t>หมายเหตุ</t>
  </si>
  <si>
    <t>R410a</t>
  </si>
  <si>
    <t>โรงงาน 5</t>
  </si>
  <si>
    <t>ไม่มี</t>
  </si>
  <si>
    <t>โรงงาน 3</t>
  </si>
  <si>
    <t>โรงงาน 4</t>
  </si>
  <si>
    <t>สถานที่</t>
  </si>
  <si>
    <t># 1 จำนวนพนักงานโรงงานแหลมฉบัง</t>
  </si>
  <si>
    <t>รูปแบบการทำงานแบบ 6 วันต่อสัปดาห์</t>
  </si>
  <si>
    <t>TOW</t>
  </si>
  <si>
    <r>
      <t>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emission จาก Septic</t>
    </r>
  </si>
  <si>
    <t>เดือน</t>
  </si>
  <si>
    <t>จำนวนพนักงานที่ส่งประกันสังคม
(1)</t>
  </si>
  <si>
    <t>จำนวนวันทั้งหมดประจำเดือน (2)</t>
  </si>
  <si>
    <t>จำนวนวันหยุดราชการ
(of Year) (3)</t>
  </si>
  <si>
    <t>จำนวนวันหยุดประจำเดือน (of Month) (3)</t>
  </si>
  <si>
    <t>No. of Working days (4) ((2)-(3))</t>
  </si>
  <si>
    <t>Man-day (1)*(4)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</si>
  <si>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</si>
  <si>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</si>
  <si>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</si>
  <si>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</si>
  <si>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</si>
  <si>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</si>
  <si>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</si>
  <si>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</si>
  <si>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</si>
  <si>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</si>
  <si>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</si>
  <si>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</si>
  <si>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# 2 จำนวนพนักงานสำนักงานกรุงเทพ</t>
  </si>
  <si>
    <t>รูปแบบการทำงานแบบ 5 วันต่อสัปดาห์</t>
  </si>
  <si>
    <t>จำนวนวันหยุดราชการ (of Year) (3)</t>
  </si>
  <si>
    <t>Ref. IPCC2006 Volume5 Chapter 6</t>
  </si>
  <si>
    <t>CH4 Emission</t>
  </si>
  <si>
    <t>Eq 6.1 in unit kg CH4/yr</t>
  </si>
  <si>
    <t>EF j</t>
  </si>
  <si>
    <t>Eq 6.2</t>
  </si>
  <si>
    <t>Eq 6.3 (kg BOD/yr)</t>
  </si>
  <si>
    <t>Ui</t>
  </si>
  <si>
    <t>Table6.5 Assume all people stay in urban high</t>
  </si>
  <si>
    <t>Tij</t>
  </si>
  <si>
    <t>S</t>
  </si>
  <si>
    <t>R</t>
  </si>
  <si>
    <r>
      <t>B</t>
    </r>
    <r>
      <rPr>
        <vertAlign val="subscript"/>
        <sz val="10"/>
        <color theme="1"/>
        <rFont val="Tahoma"/>
        <family val="2"/>
      </rPr>
      <t>0</t>
    </r>
  </si>
  <si>
    <t>Table 6.2 in unit kg CH4/kg BOD</t>
  </si>
  <si>
    <t>MCF</t>
  </si>
  <si>
    <t>Table 6.3 septic system</t>
  </si>
  <si>
    <t>BOD</t>
  </si>
  <si>
    <t>Table 6.4 Asia in unit g/person/day</t>
  </si>
  <si>
    <t>people</t>
  </si>
  <si>
    <t>I</t>
  </si>
  <si>
    <t>for uncollected the default</t>
  </si>
  <si>
    <t>ปุ๋ยเคมี 16-16-16</t>
  </si>
  <si>
    <t xml:space="preserve">หมายเหตุ: ขอชนิด/ประเภทปุ๋ย เช่น ปุ๋ยเคมี สูตร 16-16-16, ปุ๋ยคอก </t>
  </si>
  <si>
    <t xml:space="preserve">เลขมิเตอร์/เลขผู้ใช้ </t>
  </si>
  <si>
    <t>แหล่งไฟฟ้า</t>
  </si>
  <si>
    <t>ปริมาณการใช้แต่ละเดือน/2566 (กิโลวัตต์-ชั่วโมง)</t>
  </si>
  <si>
    <t>การใช้ไฟฟ้า โรงงาน (1-3) (B. Grimm)</t>
  </si>
  <si>
    <t>ใบแจ้งหนี้</t>
  </si>
  <si>
    <t>Kwh</t>
  </si>
  <si>
    <t>โรงงาน 1 : MULTIBAX 1  (38486420)</t>
  </si>
  <si>
    <t>B.GRIMM Power (Leam Chabang) 2 Ltd.</t>
  </si>
  <si>
    <t>โรงงาน 2 : MULTIBAX 2  (38486421)</t>
  </si>
  <si>
    <t>โรงงาน 3 : MULTIBAX 3  (38486422)</t>
  </si>
  <si>
    <t>การใช้ไฟฟ้า โรงงาน (4-5) (PEA)</t>
  </si>
  <si>
    <t>หนังสือแจ้งค่าไฟฟ้า</t>
  </si>
  <si>
    <t>การใช้ไฟฟ้า โรงงาน 5   (Solar cell)</t>
  </si>
  <si>
    <t>SMA Solar Application</t>
  </si>
  <si>
    <t>โรงงาน 4 : 9846-020001853230</t>
  </si>
  <si>
    <t>PEA</t>
  </si>
  <si>
    <t>โรงงาน 5 : 9808-020002601835</t>
  </si>
  <si>
    <t>โรงงาน 5 : Solar Rooftop F5 (265.4 KWP)</t>
  </si>
  <si>
    <t>MULTIBAX Own's Solar Rooftop</t>
  </si>
  <si>
    <t>การใช้ไฟฟ้า โกดังเช่า (PEA)</t>
  </si>
  <si>
    <t>โกดังเช่า (เขตประกอบการเสรี 1) : 9030-020024581960</t>
  </si>
  <si>
    <t>โกดังเช่า (เขตประกอบการเสรี 2) : 9811-020026798136</t>
  </si>
  <si>
    <t>การใช้ไฟฟ้าของสำนักงาน กทม (MEA)</t>
  </si>
  <si>
    <t>ใบแจ้งค่าไฟฟ้า</t>
  </si>
  <si>
    <t>สำนักงานกรุงเทพ บ้านเลขที่ 456 : 22055649</t>
  </si>
  <si>
    <t>MEA</t>
  </si>
  <si>
    <t>สำนักงานกรุงเทพ บ้านเลขที่ 458 : 22055650</t>
  </si>
  <si>
    <t>หมายเหตุ: แนบภาพมิเตอร์ไฟฟ้าทุกจุดที่มีในโรงงาน/สำนักงาน</t>
  </si>
  <si>
    <t>* มิเตอร์ไฟฟ้าสำหรับโกดังเช่า (เขตประกอบการเสรี 1) : 9030-020024581960  ไม่สามารถหาภาพถ่ายได้ เนื่องจากยกเลิกสัญญาเช่าตั้งแต่ เดือนกรกฏาคม 2566</t>
  </si>
  <si>
    <t>ปริมาณ (ต่อปี)</t>
  </si>
  <si>
    <t>หลักฐานอ้างอิง 
(การได้มาซึ่งข้อมูล)</t>
  </si>
  <si>
    <t>ค่าการปล่อยก๊าซเรือนกระจก (EF)</t>
  </si>
  <si>
    <t>หลักฐานอ้างอิง 
(Emission Factor)</t>
  </si>
  <si>
    <t>#Cat 1</t>
  </si>
  <si>
    <t>การได้มาของไฟฟ้า</t>
  </si>
  <si>
    <t>CFO-EF - CFP-EF-ไฟฟ้า</t>
  </si>
  <si>
    <t>บิลเงินสด/ใบเสร็จรับเงิน</t>
  </si>
  <si>
    <t>การได้มา Diesel</t>
  </si>
  <si>
    <t>Fleet card/ใบเสร็จรับเงิน</t>
  </si>
  <si>
    <t>การได้มา Gasoline</t>
  </si>
  <si>
    <t>tkm</t>
  </si>
  <si>
    <t>ใบส่งสินค้า/ใบกำกับภาษี</t>
  </si>
  <si>
    <t>km</t>
  </si>
  <si>
    <t>รถตู้บรรทุก 10 ล้อ</t>
  </si>
  <si>
    <t>การกำจัดของเสีย</t>
  </si>
  <si>
    <t>การประมาณการ</t>
  </si>
  <si>
    <t>TGO-CFP-EF-(ก.ค. 65)-การฝังกลบขยะมูลฝอยชุมชนแบบถูกหลักสุขาภิบาล</t>
  </si>
  <si>
    <t>TGO-CFP-EF-(ก.ค. 65)-การฝังกลบขยะมูลฝอยชุมชนแบบถูกหลักสุขาภิบาล (แทน)</t>
  </si>
  <si>
    <t>การขนส่ง</t>
  </si>
  <si>
    <t>TGO-CFP-EF-(ก.ค. 65)-รถบรรทุกขยะ 6 ล้อ วิ่ง แบบปกติ 100% Loading</t>
  </si>
  <si>
    <t>TGO-CFP-EF-(ก.ค. 65)-รถบรรทุกขยะ 6 ล้อ วิ่งแบบปกติ 0% Loading</t>
  </si>
  <si>
    <t>TGO-CFO-EF-(เม.ย. 65)-Motor Gasoline - Mobile on road</t>
  </si>
  <si>
    <t>น้ำมัน Gasoline จากการเดินทางของพนักงาน</t>
  </si>
  <si>
    <t>แบบสำรวจการเดินทางของพนักงาน</t>
  </si>
  <si>
    <t>น้ำมัน Diesel จากการเดินทางของพนักงาน</t>
  </si>
  <si>
    <t>TGO-CFO-EF-(เม.ย. 65)-Gas/ Diesel Oil-Mobile on road</t>
  </si>
  <si>
    <t>kwh</t>
  </si>
  <si>
    <t>รายการวัตถุดิบที่ใช้</t>
  </si>
  <si>
    <t>กระบวนการผลิต</t>
  </si>
  <si>
    <t>สถานที่ใช้</t>
  </si>
  <si>
    <t>หลักฐานอ้างอิง</t>
  </si>
  <si>
    <t>TOTAL</t>
  </si>
  <si>
    <t>ชื่อผู้ขาย</t>
  </si>
  <si>
    <t>รวมทั้งสิ้น</t>
  </si>
  <si>
    <t>มกราคม</t>
  </si>
  <si>
    <t>กุมภาพันธ์</t>
  </si>
  <si>
    <t>มีนาคม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</si>
  <si>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</si>
  <si>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</si>
  <si>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</si>
  <si>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</si>
  <si>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</si>
  <si>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</si>
  <si>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</si>
  <si>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</si>
  <si>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</si>
  <si>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ใบสั่งซื้อ/ใบกำกับภาษี</t>
  </si>
  <si>
    <t>วัตถุดิบชนิด : LDPE</t>
  </si>
  <si>
    <t>กระบวนการผสมวัตถุดิบ</t>
  </si>
  <si>
    <t>โรงงาน 1,2,35</t>
  </si>
  <si>
    <t>BOROUGE PTE LTD.</t>
  </si>
  <si>
    <t>บริษัท พีทีที โกลบอล เคมิคอล จำกัด (มหาชน)</t>
  </si>
  <si>
    <t>วัตถุดิบชนิด : LLDPE</t>
  </si>
  <si>
    <t>EQUATE Petrochemical Company K.S.C.C.</t>
  </si>
  <si>
    <t>บริษัท ไทยโพลิเอททีลีน จำกัด</t>
  </si>
  <si>
    <t>วัตถุดิบชนิด : HDPE</t>
  </si>
  <si>
    <t>บรรจุภัณฑ์ : กระดาษ</t>
  </si>
  <si>
    <t>การบรรจุ</t>
  </si>
  <si>
    <t>บจก.ธงไชย โมลด์ แอนด์ พลาส(72)</t>
  </si>
  <si>
    <t>บริษัท เค.อาร์.ที. แพค แอนด์ ซัพพลาย จำกัด</t>
  </si>
  <si>
    <t>บริษัท เหรียญทองการพิมพ์ จำกัด</t>
  </si>
  <si>
    <t>บริษัท เอส.พี.ที.แพ็คกิ้งกรุ๊ป จำกัด</t>
  </si>
  <si>
    <t>บริษัท แสงศิริ กรุ๊ป จำกัด</t>
  </si>
  <si>
    <t>บริษัท บรรเจิดบรรจุภัณฑ์ จำกัด</t>
  </si>
  <si>
    <t>บริษัท บาแล็นซ์ แพ็คกิ้ง จำกัด</t>
  </si>
  <si>
    <t>บริษัท ยูนิเวอร์ส แพ็ค จำกัด</t>
  </si>
  <si>
    <t>บริษัท สำราญจิตต์การพิมพ์ จำกัด</t>
  </si>
  <si>
    <t>ห้างหุ้นส่วนจำกัด อชราบรรจุภัณฑ์</t>
  </si>
  <si>
    <t>สรุปรายการวัตถุดิบ</t>
  </si>
  <si>
    <t>น้ำหนัก</t>
  </si>
  <si>
    <t>วัตถุดิบชนิด : Braskem (HDPE)</t>
  </si>
  <si>
    <t>วัตถุดิบชนิด : PCR</t>
  </si>
  <si>
    <t>วัตถุดิบชนิด : Masterbatch</t>
  </si>
  <si>
    <t>วัตถุดิบชนิด : Calcium</t>
  </si>
  <si>
    <t>วัตถุดิบชนิด : Ink</t>
  </si>
  <si>
    <t>วัตถุดิบชนิด : Additive</t>
  </si>
  <si>
    <t>วัตถุดิบชนิด : Fragrance</t>
  </si>
  <si>
    <t>วัตถุดิบชนิด : Bio</t>
  </si>
  <si>
    <t>วัสดุสิ้นเปลือง : Solvent</t>
  </si>
  <si>
    <t>วัสดุสิ้นเปลือง : เทปใส</t>
  </si>
  <si>
    <t>วัสดุสิ้นเปลือง : กาว</t>
  </si>
  <si>
    <t>วัสดุสิ้นเปลือง : น้ำมัน Food Grade</t>
  </si>
  <si>
    <t>วัสดุสิ้นเปลือง : ฟิล์มยืด</t>
  </si>
  <si>
    <t>วัสดุสิ้นเปลือง : ฟิล์มหด</t>
  </si>
  <si>
    <t>รายการวัตถุดิบ</t>
  </si>
  <si>
    <t>SOJITZ PLA-NET CORPORATION</t>
  </si>
  <si>
    <t>SOJITZ PLA-NET CORPORATION OSAKA BRANCH</t>
  </si>
  <si>
    <t>Kingfa Environmental Sci. &amp; Tech. Co.,Ltd.</t>
  </si>
  <si>
    <t>AMPACET (Thailand) Co., Ltd.</t>
  </si>
  <si>
    <t>บริษัท ทีเอช คัลเล่อร์  จำกัด</t>
  </si>
  <si>
    <t>บริษัท เอเวียนท์ (ประเทศไทย) จำกัด</t>
  </si>
  <si>
    <t>บริษัท เอเวียนท์ คัลเลอร์แร้นท์ (ประเทศไทย) จำกัด</t>
  </si>
  <si>
    <t>SIEGWERK (THAILAND)  LTD.</t>
  </si>
  <si>
    <t>บริษัท พาโนราม่า อิ้งค์ จำกัด</t>
  </si>
  <si>
    <t>บริษัท อีเทอนอล ซากาตะ อิ้งซ์ จำกัด</t>
  </si>
  <si>
    <t>Symphony Environmental Ltd.</t>
  </si>
  <si>
    <t>บริษัท ซันนา  เซอเทรด จำกัด</t>
  </si>
  <si>
    <t>โรงงาน 1,3</t>
  </si>
  <si>
    <t>International Flavor &amp; Fragrances (Thailand) Ltd.</t>
  </si>
  <si>
    <t>International Flavors &amp; Fragrances Inc.</t>
  </si>
  <si>
    <t>Chemical Innovation Co.,Ltd.</t>
  </si>
  <si>
    <t>บริษัท เอ็มซี อินดัสเทรียลเคมิคัล จำกัด</t>
  </si>
  <si>
    <t>บริษัท โชคเจริญ 2020 จำกัด</t>
  </si>
  <si>
    <t>บริษัท บางบอนอุตสาหกรรม จำกัด</t>
  </si>
  <si>
    <t>บริษัท เปอร์มาเฟล็กซ์ จำกัด</t>
  </si>
  <si>
    <t>บริษัท โพลีพลาส พรีซีชั่น จำกัด</t>
  </si>
  <si>
    <t>บริษัท จาคานา จำกัด</t>
  </si>
  <si>
    <t>บริษัท  อเมริกัน ปิโตรเคมิคอล (ประเทศไทย)  จำกัด</t>
  </si>
  <si>
    <t>บริษัท เอ็มเอ็มพี คอร์ปอเรชั่น  จำกัด</t>
  </si>
  <si>
    <t>บริษัท วัฒนพันธุ์แพคเกจจิ้งซิสเท็ม จำกัด</t>
  </si>
  <si>
    <t>บริษัท เค.เอ.มาร์เก็ตติ้ง จำกัด</t>
  </si>
  <si>
    <t>ตำแหน่งที่ตั้งของมิเตอร์</t>
  </si>
  <si>
    <t>น้ำประปา (การนิคมฯ)</t>
  </si>
  <si>
    <t>ใบเสร็จ/ใบแจ้งหนี้ค่าประปา</t>
  </si>
  <si>
    <r>
      <t>m</t>
    </r>
    <r>
      <rPr>
        <b/>
        <vertAlign val="superscript"/>
        <sz val="10"/>
        <color theme="1"/>
        <rFont val="Tahoma"/>
        <family val="2"/>
      </rPr>
      <t>3</t>
    </r>
  </si>
  <si>
    <t>น้ำประปาการนิคม</t>
  </si>
  <si>
    <t>โรงงาน1,2</t>
  </si>
  <si>
    <t>น้ำประปา (กปน)</t>
  </si>
  <si>
    <t>น้ำประปานครหลวง</t>
  </si>
  <si>
    <t>อาคาร 456</t>
  </si>
  <si>
    <t>อาคาร 458</t>
  </si>
  <si>
    <t>หมายเหตุ: แนบภาพมิเตอร์น้ำประปาทุกจุดที่มีในโรงงาน/สำนักงาน</t>
  </si>
  <si>
    <t>โรงงาน 1 2 5</t>
  </si>
  <si>
    <t>น53(4)-2/2541-ญนฉ.</t>
  </si>
  <si>
    <t>โรงงาน 3 4 7</t>
  </si>
  <si>
    <t>น53(4)-4/2545-ญนฉ.</t>
  </si>
  <si>
    <t>ระยะทาง ท่าเรือ -  MBAX/ผู้ผลิต-MBAX (km)</t>
  </si>
  <si>
    <t>ประเภทรถ</t>
  </si>
  <si>
    <t>ระยะทาง ท่าเรือ-ท่าเรือ (km)</t>
  </si>
  <si>
    <t>รถตุ้บรรทุก 6 ล้อ ขนาดใหญ่</t>
  </si>
  <si>
    <t>รถตู้บรรทุก 4 ล้อ</t>
  </si>
  <si>
    <t>เรือบรรทุก Container</t>
  </si>
  <si>
    <t>รายการขนส่งจากผู้ผลิตวัตถุดิบ ในประเทศ</t>
  </si>
  <si>
    <t>ตำแหน่งที่ตั้งผู้ผลิตวัตถุดิบ</t>
  </si>
  <si>
    <t>ระยะทางจากผู้ผลิตมายังโรงงาน</t>
  </si>
  <si>
    <t>ภาระบรรทุกขามาส่งของที่โรงงาน (%)</t>
  </si>
  <si>
    <t>ภาระบรรทุกขากลับออกจากโรงงาน (%)</t>
  </si>
  <si>
    <t xml:space="preserve">1.การขนส่งวัตถุดิบ </t>
  </si>
  <si>
    <t>65</t>
  </si>
  <si>
    <t>10 ล้อ/ตู้บรรทุก</t>
  </si>
  <si>
    <t>google Map</t>
  </si>
  <si>
    <t>61</t>
  </si>
  <si>
    <t>85</t>
  </si>
  <si>
    <t>6 ล้อ/ตู้บรรทุก</t>
  </si>
  <si>
    <t>40</t>
  </si>
  <si>
    <t>4 ล้อ/บรรทุก</t>
  </si>
  <si>
    <t>136</t>
  </si>
  <si>
    <t>155</t>
  </si>
  <si>
    <t>50</t>
  </si>
  <si>
    <t>106</t>
  </si>
  <si>
    <t>112</t>
  </si>
  <si>
    <t>118</t>
  </si>
  <si>
    <t>2. การขนส่งบรรจุภัณฑ์</t>
  </si>
  <si>
    <t>108</t>
  </si>
  <si>
    <t>132</t>
  </si>
  <si>
    <t>172</t>
  </si>
  <si>
    <t>150</t>
  </si>
  <si>
    <t>153</t>
  </si>
  <si>
    <t>157</t>
  </si>
  <si>
    <t>31</t>
  </si>
  <si>
    <t>116</t>
  </si>
  <si>
    <t>110</t>
  </si>
  <si>
    <t>6 ล้อ/บรรทุก</t>
  </si>
  <si>
    <t>130</t>
  </si>
  <si>
    <t>3.การขนส่งวัสดุสิ้นเปลือง</t>
  </si>
  <si>
    <t>127</t>
  </si>
  <si>
    <t>94</t>
  </si>
  <si>
    <t>105</t>
  </si>
  <si>
    <t>100</t>
  </si>
  <si>
    <t>113</t>
  </si>
  <si>
    <t>16</t>
  </si>
  <si>
    <t>133</t>
  </si>
  <si>
    <t>รายการขนส่งจากผู้ผลิตวัตถุดิบ ต่างประเทศ</t>
  </si>
  <si>
    <t>ระยะทางจากผู้ผลิตมายังท่าเรือของ Supplier (km)</t>
  </si>
  <si>
    <t>ชื่อท่าเรือของ  Supplier</t>
  </si>
  <si>
    <t>ชื่อท่าเรือของ ผู้ซื้อ</t>
  </si>
  <si>
    <t>ระยะทางจากท่าเรือในประเทศมายังโรงงานของผู้ผลิต (km)</t>
  </si>
  <si>
    <t>ประเภทพาหนะ</t>
  </si>
  <si>
    <t>KHALIFA PORT, ABU DHABI</t>
  </si>
  <si>
    <t>แหลมฉบัง</t>
  </si>
  <si>
    <t>เรือ</t>
  </si>
  <si>
    <t>SHUAIBA PORT, KUWAIT</t>
  </si>
  <si>
    <t>RIO GRANDE PORT IN BRAZIL</t>
  </si>
  <si>
    <t>NEW YORK PORT</t>
  </si>
  <si>
    <t>FELIXSTOWE PORT</t>
  </si>
  <si>
    <t>KAOHSIUNG PORT</t>
  </si>
  <si>
    <t>NANSHA NEW PORT</t>
  </si>
  <si>
    <t>รายการของเสียจากการผลิต/อาคารสำนักงาน</t>
  </si>
  <si>
    <t>ตำแหน่งที่เกิดของเสีย</t>
  </si>
  <si>
    <t>วิธีการกำจัด/รหัสกำจัดตามเอกสาร Manifest</t>
  </si>
  <si>
    <t>ปริมาณการเกิดของเสียแต่ละเดือน/2566</t>
  </si>
  <si>
    <t>ขยะมูลฝอยทั่วไป</t>
  </si>
  <si>
    <t>จากร้านค้าโรงอาหาร / จากพนักงาน เช่น เศษถุงอาหาร ซองขนม  แก้วพลาสติก ใบไม้</t>
  </si>
  <si>
    <t>ใบกำกับการขนส่งขยะมูลฝอยประจำเดือน</t>
  </si>
  <si>
    <t>ฝังกลบ</t>
  </si>
  <si>
    <t>ขยะอันตราย</t>
  </si>
  <si>
    <t>ฝังกลบ (073)</t>
  </si>
  <si>
    <t>ขยะรีไซเคิล</t>
  </si>
  <si>
    <t>ใช้ประโยชน์ (042,049,011)</t>
  </si>
  <si>
    <t>สีพิมพ์เสื่อมสภาพ</t>
  </si>
  <si>
    <t>กระบวนการเกิดของเสีย  เนื่องจากการผสมสีพิมพ์ที่ไม่ได้ตามคุณภาพ และเกิดสีพิมพ์หมดอายุไม่สามารถใช้งานได้</t>
  </si>
  <si>
    <t xml:space="preserve">ใบกำกับการขนส่งวัสดุที่ไม่ใช้แล้ว (Manifest) </t>
  </si>
  <si>
    <t>042</t>
  </si>
  <si>
    <t>Kgs.</t>
  </si>
  <si>
    <t>-</t>
  </si>
  <si>
    <t>น้ำมันใช้แล้ว</t>
  </si>
  <si>
    <t>กระบวนการเกิดของเสียเนื่องจากการทำ PM เครื่องจักรไม่สามารถนำกลับมาใช้งานได้</t>
  </si>
  <si>
    <t>ภาชนะปนเปื้อน</t>
  </si>
  <si>
    <t>กระบวนการเกิดของเสียเนื่องจากเป็นภาชนะบรรจุสีพิมพ์ที่ใช้งานแล้ว และภาชนะมีการปนเปื้อนของสีพิมพ์</t>
  </si>
  <si>
    <t>049</t>
  </si>
  <si>
    <t>เศษผ้าปนเปื้อน</t>
  </si>
  <si>
    <t>กระบวนการเกิดของเสีย  เนื่องจาก การนำเศษผ้าเช็ดทำความสะอาดตามเครื่องจักรเกิดการปนเปื้อน น้ำมันหรือสีพิมพ์</t>
  </si>
  <si>
    <t>เม็ดพลาสติกเสื่อมสภาพ</t>
  </si>
  <si>
    <t>เกิดจากกระบวนการผลิตเนื่องจากการผสมวัตถุดิบที่ไม่ได้ตามคุณภาพ และเม็ดพลาสติกหมดอายุไม่สามารถนำมาผลิตได้</t>
  </si>
  <si>
    <t>011</t>
  </si>
  <si>
    <t xml:space="preserve">กระบวนการเกิดของเสียเนื่องจากเป็นเม็ดพลาสติกที่หมดอายุ และเสื่อมสภาพ ซึ่งไม่สามารถนำมาใช้ขึ้นรูปในการผลิตได้ </t>
  </si>
  <si>
    <t>หลอดไฟ</t>
  </si>
  <si>
    <t xml:space="preserve">กระบวนการเกิดของเสีย เนื่องจากการหลอดไฟหมดอายุการใช้งาน </t>
  </si>
  <si>
    <t>ขยะอิเล็กทรอนิกส์</t>
  </si>
  <si>
    <t>อุปกรณ์อิเล็กทรอนิกส์เสื่อมสภาพ เช่น แผงวงจร คอมเพรสเซอร์ หน้าจอทัชสกรีน ที่เสื่อมสภาพเก็บรวบรวมส่งกำจัด</t>
  </si>
  <si>
    <t>073</t>
  </si>
  <si>
    <t>เศษเหล็ก</t>
  </si>
  <si>
    <t>เศษเหล็ก จากการซ่อมแซม เช่น การตัด เจียร ตะไบ ไส กลึง หรือเปลี่ยนใหม่ เนื่องจากเกิดสนิม</t>
  </si>
  <si>
    <t>เศษพลาสติก</t>
  </si>
  <si>
    <t>เศษพลาสติกจากการห่อหุ้มสินค้าและวัตถุดิบ และจากการผลิตสินค้าในโรงงาน ที่ขาด ไม่สามารถใช้งานได้</t>
  </si>
  <si>
    <t>เศษไม้</t>
  </si>
  <si>
    <t>เศษไม้ เป็นไม้พาเลทที่ใช้รองวัตถุดิบ หรือสินค้าจากทางผู้ผลิต เกิดการชำรุดหัก แตก ใช้งานไม่ได้</t>
  </si>
  <si>
    <t>เศษกระดาษหรือกระดาษแข็ง</t>
  </si>
  <si>
    <t>เป็นเศษกระดาษจากการใช้ในงานผลิตหรือกระดาษรองสินค้า กระดาษแข็งจากกล่องที่ขาดชำรุดแล้ว ของเสียประเภทบรรจุภัณฑ์ประเภทกระดาษ ได้แก่ กล่องหรือลังกระดาษ</t>
  </si>
  <si>
    <t>บริษัทผู้ก่อกำเนิด</t>
  </si>
  <si>
    <t>บริษัทที่รับกำจัด</t>
  </si>
  <si>
    <t>ระยะทาง (km)</t>
  </si>
  <si>
    <t>น้ำหนัก (kg)</t>
  </si>
  <si>
    <t>รถกระบะบรรทุก 10 ล้อ วิ่งปกติ</t>
  </si>
  <si>
    <t>รถกระบะ 4 ล้อ</t>
  </si>
  <si>
    <t>รถบรรทุกขยะ 6 ล้อ</t>
  </si>
  <si>
    <t>MBAX</t>
  </si>
  <si>
    <t xml:space="preserve">หลุมฝังกลบชุมชน </t>
  </si>
  <si>
    <t>บริษัท กรีน เอ็นไวรอนเม้นท์ แลนด์ฟิล จำกัด</t>
  </si>
  <si>
    <t>รหัส</t>
  </si>
  <si>
    <t>ชื่อ - สกุล</t>
  </si>
  <si>
    <t>เพศ</t>
  </si>
  <si>
    <t>ประเภท</t>
  </si>
  <si>
    <t>สัญชาติ</t>
  </si>
  <si>
    <t>Link ภาพ GPS จากบ้านถึงบริษัท</t>
  </si>
  <si>
    <t>พาหนะ ในการเดินทางมาบริษัท</t>
  </si>
  <si>
    <t>ประเภทเชื้อเพลิง</t>
  </si>
  <si>
    <t>คนขับ+ผู้ร่วมเดินทาง</t>
  </si>
  <si>
    <t>วันทำงาน</t>
  </si>
  <si>
    <t>อัตราการสิ้นเปลือง</t>
  </si>
  <si>
    <t xml:space="preserve">Diesel </t>
  </si>
  <si>
    <t>Gasoline</t>
  </si>
  <si>
    <t>เสมียน ศิลป์ชัย</t>
  </si>
  <si>
    <t>ชาย</t>
  </si>
  <si>
    <t>รายเดือน</t>
  </si>
  <si>
    <t>ไทย</t>
  </si>
  <si>
    <t>101/249 ม.10 ต.บึง อ.ศรีราชา จ.ชลบุรี 20230</t>
  </si>
  <si>
    <t>1-380003.pdf</t>
  </si>
  <si>
    <t>รถยนต์เฉลี่ยทุกขนาด</t>
  </si>
  <si>
    <t>แก๊สโซฮอล์ 95</t>
  </si>
  <si>
    <t>สุชาติ สุกรินทร์</t>
  </si>
  <si>
    <t>101/248 ม.10 ต.บึง อ.ศรีราชา จ.ชลบุรี 20230</t>
  </si>
  <si>
    <t>ดีเซล</t>
  </si>
  <si>
    <t>สมพร หอมชะลูด</t>
  </si>
  <si>
    <t>101/246 ม.10 ต.บึง อ.ศรีราชา จ.ชลบุรี 20230</t>
  </si>
  <si>
    <t>แก๊สโซฮอล์ 91</t>
  </si>
  <si>
    <t>ศรชัย บุญปลื้ม</t>
  </si>
  <si>
    <t>101/247 ม.10 ต.บึง อ.ศรีราชา จ.ชลบุรี 20230</t>
  </si>
  <si>
    <t>รถจักรยานยนต์ 4 จังหวะเครื่องยนต์ขนาดเล็กกว่า 125 cc</t>
  </si>
  <si>
    <t>สำรวย อาจน้อย</t>
  </si>
  <si>
    <t>101/245 ม.10 ต.ทุ่งสุขลา อ.ศรีราชา จ.ชลบุรี 20230</t>
  </si>
  <si>
    <t>อธิวัฒน์ ธีรวริยาภัสร์</t>
  </si>
  <si>
    <t>เลขที่ 8 หมู่บ้านท่าทรายนิเวศน์2 ซ.นนทบุรี35 ต.ท่าทราย อ.เมืองนนทบุรี จ.นนทบุรี 11000</t>
  </si>
  <si>
    <t>รถยนต์ขนาดใหญ่ (2000 cc)</t>
  </si>
  <si>
    <t>สนง.กทม.</t>
  </si>
  <si>
    <t>วิชัย ธีระสาสน์</t>
  </si>
  <si>
    <t>13/282 ม.18 ต.คูคต อ.ลำลูกกา จ.ปทุมธานี 12130</t>
  </si>
  <si>
    <t>ภาสกร อ้อนอุบล</t>
  </si>
  <si>
    <t>101/250 ม.10 ต.บึง อ.ศรีราชา จ.ชลบุรี 20230</t>
  </si>
  <si>
    <t>สมพงษ์ ศิลป์ชัย</t>
  </si>
  <si>
    <t>การเคหะ แหลมฉบัง ม.6 ต.บางละมุง อ.บางละมุง จ.ชลบุรี 20150</t>
  </si>
  <si>
    <t>นิตยา ทองหล่อ</t>
  </si>
  <si>
    <t>หญิง</t>
  </si>
  <si>
    <t>198/38 ม.8 ต.บางละมุง อ.บางละมุง จ.ชลบุรี 20150</t>
  </si>
  <si>
    <t>เฉลิม สุมทุม</t>
  </si>
  <si>
    <t>101/240 ม.10 ต.บึง อ.ศรีราชา จ.ชลบุรี 20230</t>
  </si>
  <si>
    <t>วิชัย ประธรรมยันเต</t>
  </si>
  <si>
    <t>การเคหะแหลมฉบัง ต.บางละมุง อ.บางละมุง จ.ชลบุรี 20150</t>
  </si>
  <si>
    <t>ธวัชชัย เสาร์ศรี</t>
  </si>
  <si>
    <t>การเคหะแหลมฉบัง บางละมุง  ชลบุรี</t>
  </si>
  <si>
    <t>พิเชษฐ อภิโชติกุล</t>
  </si>
  <si>
    <t>2021 ถ.สุขุมวิท ต.พระโขนงเหนือ อ.วัฒนา จ.กรุงเทพมหานคร 10110</t>
  </si>
  <si>
    <t>พเยาว์ นิลทร</t>
  </si>
  <si>
    <t>234 ซ มิตคาม ต.วชิรพยาบาล อ.ดุสิต จ.กรุงเทพมหานคร 10300</t>
  </si>
  <si>
    <t>รถยนต์ขนาดเล็ก (1500 cc)</t>
  </si>
  <si>
    <t>จิรวัฒน์ บุญสุวรรณ</t>
  </si>
  <si>
    <t>101/253 ม.10 ต.บึง อ.ศรีราชา จ.ชลบุรี 20230</t>
  </si>
  <si>
    <t>ชวนชม อัศวแก้วมงคล</t>
  </si>
  <si>
    <t>5/159 หมู่ที่ 16 ต.บางแก้ว อ.บางพลี จ.สมุทรปราการ 10540</t>
  </si>
  <si>
    <t>รถยนต์ขนาดกลาง (1800 cc)</t>
  </si>
  <si>
    <t>สุพัตรา ปานเพชร</t>
  </si>
  <si>
    <t>101/238 ม.10 ต.บึง อ.ศรีราชา จ.ชลบุรี 20230</t>
  </si>
  <si>
    <t>แก๊สโซฮอล์ E20</t>
  </si>
  <si>
    <t>เพ็ญศรี อุทะนุต</t>
  </si>
  <si>
    <t>101/247 ม. 10 ต.บึง อ.ศรีราชา จ.ชลบุรี 20230</t>
  </si>
  <si>
    <t>รถจักรยานยนต์ 4 จังหวะเครื่องยนต์ขนาด 125 cc</t>
  </si>
  <si>
    <t>ชัยยา นุโทน</t>
  </si>
  <si>
    <t>136/11 ม.10 หมู่บ้านวราสิริ เฟส 2 ต.ทุ่งสุขลา อ.ศรีราชา จ.ชลบุรี 20230</t>
  </si>
  <si>
    <t>มลเทียร บุญยัง</t>
  </si>
  <si>
    <t>101/238 ม.10 ต ต..บึง อ.ศรีราชา จ.ชลบุรี 20230</t>
  </si>
  <si>
    <t>วิชัย ศรีภักดี</t>
  </si>
  <si>
    <t>220/97 ม.6 ต.บางละมุง อ.บางละมุง จ.ชลบุรี 20150</t>
  </si>
  <si>
    <t>นันธิชา ประสิทธิ์</t>
  </si>
  <si>
    <t>889/38 ม.9  ต. ทุ่งสุขลา อ. ศรีราชา ชลบุรี 20230</t>
  </si>
  <si>
    <t>ภิรมย์ สุราศรี</t>
  </si>
  <si>
    <t>101/297 ม.10 ต.บึง อ.ศรีราชา จ.ชลบุรี 20230</t>
  </si>
  <si>
    <t>บุญรวม ไทยประเสริฐ</t>
  </si>
  <si>
    <t>316/26 ม. 6 ต.บางละมุง อ.บางละมุง จ.ชลบุรี 20260</t>
  </si>
  <si>
    <t>แก๊สโซฮอล์ E85</t>
  </si>
  <si>
    <t>พัชศิริ ยิ่งเลิศ</t>
  </si>
  <si>
    <t>429 ซ.หมู่บ้านเศรษฐกิจ 31 บางแค กรุงเทพมหานคร 10160</t>
  </si>
  <si>
    <t>เยาวรัตน์ หงษ์วิหก</t>
  </si>
  <si>
    <t xml:space="preserve"> 9/6 หมู่7 ต.บางละมุง อ.บางละมุง จ.ชลบุรี 20150 </t>
  </si>
  <si>
    <t>บุญทำ ฤทธิ์ธา</t>
  </si>
  <si>
    <t>เคหะแหลมฉบัง ม.6 ต.บางละมุง อ.บางละมุง จ.ชลบุรี 20150</t>
  </si>
  <si>
    <t>รถจักรยานยนต์ 2 จังหวะเครื่องยนต์ขนาด 120cc</t>
  </si>
  <si>
    <t>พุทธวรรณ แก้วไผ่ซอ</t>
  </si>
  <si>
    <t>101/251 ม.10 ต.บึง อ.ศรีราชา จ.ชลบุรี 20230</t>
  </si>
  <si>
    <t>รถจักรยานยนต์ 2 จังหวะเครื่องยนต์ขนาด 150cc</t>
  </si>
  <si>
    <t>ประยงค์ สายเคน</t>
  </si>
  <si>
    <t>33/80 ม.4 ต.บางละมุง อ.บางละมุง จ.ชลบุรี 20150</t>
  </si>
  <si>
    <t>เอนก ยาพรม</t>
  </si>
  <si>
    <t>101/259 ม.10 ต.บึง อ.ศรีราชา จ.ชลบุรี 20230</t>
  </si>
  <si>
    <t>วัฒนา สาระมัด</t>
  </si>
  <si>
    <t>เคหะแหลมฉบัง ตึก 20 ม.6 ต.บางละมุง อ.บางละมุง จ.ชลบุรี 20150</t>
  </si>
  <si>
    <t>สมชาย สุทธิประเสริฐ</t>
  </si>
  <si>
    <t>เคหะแหลมฉบัง ม.6 บางละมุง บางละมุง ชลบุรี 20150</t>
  </si>
  <si>
    <t>มนทิรา ไตยโส</t>
  </si>
  <si>
    <t>133/220 ม.6 ต.บางละมุง อ.บางละมุง จ.ชลบุรี 20150</t>
  </si>
  <si>
    <t>พิษมัย ปินะถา</t>
  </si>
  <si>
    <t>142/140 ม.7 ต.สุรศักดิ์ อ.ศรีราชา จ.ชลบุรี 20230</t>
  </si>
  <si>
    <t>สุรารักษ์ เทพนา</t>
  </si>
  <si>
    <t>การเคหะแหลมฉบัง ต.บางละมุง อ.บางละมุง จ.ชลบุรี</t>
  </si>
  <si>
    <t>รถจักรยานยนต์ 2 จังหวะเฉลี่ยทุกขนาด</t>
  </si>
  <si>
    <t>สนอง สุขนวน</t>
  </si>
  <si>
    <t>220/137  การเคหะแห่งชาติ ต.บางละมุง อ.บางละมุง จ.ชลบุรี 20150</t>
  </si>
  <si>
    <t>รถยนต์ขนาดกลาง (1600 cc)</t>
  </si>
  <si>
    <t>บรรหาญ คล้อยมาตร์</t>
  </si>
  <si>
    <t>101/85 ม.10 ต.บึง อ.ศรีราชา จ.ชลบุรี 20230</t>
  </si>
  <si>
    <t>จรัญ จันทร์บุปผา</t>
  </si>
  <si>
    <t>10/22 ม.4 ต.บางไผ่ อ.บางแค จ.กรุงเทพมหานคร 10160</t>
  </si>
  <si>
    <t>บรรจง ยาพรม</t>
  </si>
  <si>
    <t>รัชฎาพร ศรีจันทร์</t>
  </si>
  <si>
    <t>101/261 ม.10 ต.บึง อ.ศรีราชา จ.ชลบุรี 20230</t>
  </si>
  <si>
    <t>รถจักรยานยนต์ 4 จังหวะเฉลี่ยทุกขนาด</t>
  </si>
  <si>
    <t>ทวีป ตะกุดสงฆ์</t>
  </si>
  <si>
    <t>การเคหะแหลมฉบัง  ม.6 ต.บางละมุง อ.บางละมุง จ.ชลบุรี</t>
  </si>
  <si>
    <t>วรวุฒิ สุขจันทร์</t>
  </si>
  <si>
    <t>รถกระบะบรรทุกเฉลี่ย</t>
  </si>
  <si>
    <t>นรินทร์ โอภาสพงศ์</t>
  </si>
  <si>
    <t>207/1 หมู่ 8 หมู่บ้านนัทมน ต.บางละมุง อ.บางละมุง จ.ชลบุรี 20150</t>
  </si>
  <si>
    <t>วิมลทิพย์ เครือผือ</t>
  </si>
  <si>
    <t>799/42 ม.11 ต.หนองขาม อ.ศรีราชา จ.ชลบุรี 20230</t>
  </si>
  <si>
    <t>มนัส ศรีบุญเอียด</t>
  </si>
  <si>
    <t>244/81ม.11 ต.หนองขาม อ.ศรีราชา จ.ชลบุรี 20110</t>
  </si>
  <si>
    <t>อรรณพ ธีรภาพธรรมกุล</t>
  </si>
  <si>
    <t>53 ซ.เทอดไท 48 ต.ปากคลองภาษีเจริญ อ.ภาษีเจริญ จ.กรุงเทพมหานคร 10160</t>
  </si>
  <si>
    <t>เทียน ศรีฤทธิ์</t>
  </si>
  <si>
    <t>104 ม. 2 ต.ทุ่งสุขลา อ.ศรีราชา จ.ชลบุรี 20230</t>
  </si>
  <si>
    <t>ณัฐนิต อุดทา</t>
  </si>
  <si>
    <t>401 ม.1 ต.บางละมุง อ.บางละมุง จ.ชลบุรี 20150</t>
  </si>
  <si>
    <t>นิเวช โพธิ์บุญ</t>
  </si>
  <si>
    <t>195/8 ม.8 ต.ทุ่งสุขลา อ.ศรีราชา จ.ชลบุรี 20230</t>
  </si>
  <si>
    <t>เกษร มินจันทึก</t>
  </si>
  <si>
    <t>ประวิทย์ ทาสะโก</t>
  </si>
  <si>
    <t>194/121 ม.8 ต.ทุ่งสุขลา อ.ศรีราชา จ.ชลบุรี 20230</t>
  </si>
  <si>
    <t>ชัยยัน นามจันทร์</t>
  </si>
  <si>
    <t>53/19 ม.10 ต.บึง อ.ศรีราชา  จ.ชลบุรี 20230</t>
  </si>
  <si>
    <t>อัญชนา สหัสทัศน์</t>
  </si>
  <si>
    <t>สี่มุมเมืองแหลมฉบัง ต.ทุ่งสุขลา อ.ศรีราชา จ.ชลบุรี 20230</t>
  </si>
  <si>
    <t>วิรัช หัศกรรจ์</t>
  </si>
  <si>
    <t>101/158 ม.10 ต.บึง อ.ศรีราชา จ.ชลบุรี 20230</t>
  </si>
  <si>
    <t>พรพรรณ สีทำมา</t>
  </si>
  <si>
    <t>18/4-14 ม.6 ต.บางละมุง อ.บางละมุง จ.ชลบุรี 20150</t>
  </si>
  <si>
    <t>ณัฐธิดา คำสมหมาย</t>
  </si>
  <si>
    <t>142/140 ม.7 ต.สุรศักดิ์ อ.ศรีราชา จ.ชลบุรี 20110</t>
  </si>
  <si>
    <t>เบนซิน</t>
  </si>
  <si>
    <t>ทิพยโชค กุมรัมย์</t>
  </si>
  <si>
    <t>219/104 ม.6 ต.บางละมุง อ.บางละมุง จ.ชลบุรี 20150</t>
  </si>
  <si>
    <t>อัญชสา กำจายกิตติกุล</t>
  </si>
  <si>
    <t>316/26 ม.6 ต.ทุ่งสุขลา อ.ศรีราชา จ.ชลบุรี 20230</t>
  </si>
  <si>
    <t>บัวผัน ภูชื่นแสง</t>
  </si>
  <si>
    <t>23/11 ม.5 ต.ทุ่งสุขลา อ.ศรีราชา จ.ชลบุรี 20230</t>
  </si>
  <si>
    <t>ประเดิม นกออก</t>
  </si>
  <si>
    <t>ประดิษฐ์ไพศาล 5 ซอย 2 101/96 ต.บึง อ.ศรีราชา จ.ชลบุรี 20230</t>
  </si>
  <si>
    <t>นภัส จำนงค์</t>
  </si>
  <si>
    <t>กานติ์ แก้วทุ่ง</t>
  </si>
  <si>
    <t>66/12 ม.8  ต.บางละมุง อ.บางละมุง  จ.ชลบุรี  20150</t>
  </si>
  <si>
    <t>เทอดเกียรติ ศรีวะรมย์</t>
  </si>
  <si>
    <t>41/37 ม.8 ต.บางละมุง อ.บางละมุง จ.ชลบุรี20150</t>
  </si>
  <si>
    <t>ศุภชัย พัฒเสมา</t>
  </si>
  <si>
    <t>149/13 ม.2 ต.ทุ่งสุขลา อ.ศรีราชา จ.ชลบุรี 20230</t>
  </si>
  <si>
    <t>ชฎาพร แสนจิตร์</t>
  </si>
  <si>
    <t>508 ม.4 ถ.สุขสวัสดิ์ ราษฎร์บูรณะ กรุงเทพฯ 10140</t>
  </si>
  <si>
    <t>สมนึก สุขนวน</t>
  </si>
  <si>
    <t>292/92 ม.10 ต.ทุ่งสุขลา อ.ศรีราชา จ.ชลบุรี 20230</t>
  </si>
  <si>
    <t>บุญเรือน ดวงศรี</t>
  </si>
  <si>
    <t>การเคหะแหลมฉบัง ตึก 20  ม.6. ต บางละมุง อ บางละมุง จ ชลบุรี 20150</t>
  </si>
  <si>
    <t>จันทิมา เจนอาวุธ</t>
  </si>
  <si>
    <t xml:space="preserve"> เคหะแหลมฉบัง ตึก 20 ม.6 ต.บางละมุง อ.บางละมุง จ.ชลบุรี 20150</t>
  </si>
  <si>
    <t>บุญสร้อย เรือนทอง</t>
  </si>
  <si>
    <t>292/17 ม.10 ต.ทุ่งสุขลา อ.ศรีราชา จ.ชลบุรี 20230</t>
  </si>
  <si>
    <t>สมชาย เชื้อหอม</t>
  </si>
  <si>
    <t>การเคหะแหลมฉบัง  ม.6 ต.บางละมุง อ.บางละมุง จ.ชลบุรี 20150</t>
  </si>
  <si>
    <t>คำหล้า บอรีหลง</t>
  </si>
  <si>
    <t>ประณต ทิพวัลย์</t>
  </si>
  <si>
    <t xml:space="preserve">ซ.10 ม.9  ต.ทุ่งสุขลา อ.ศรีราชา  จ.ชลบุรี 20230 </t>
  </si>
  <si>
    <t>รุ่งดาวัน โสภากุล</t>
  </si>
  <si>
    <t>สิริลักษณ์ ยอดนุ่ม</t>
  </si>
  <si>
    <t>สมหมาย กันยามา</t>
  </si>
  <si>
    <t>69/257 ม.11 ต.ทุ่งสุขลา อ.ศรีราชา จ.ชลบุรี 20230</t>
  </si>
  <si>
    <t>ไชยยันต์ รัตนพันธ์</t>
  </si>
  <si>
    <t>อ่าวอุดม ซ.ไพเราะ ต.ทุ่งสุขลา อ.ศรีราชา จ.ชลบุรี 20230</t>
  </si>
  <si>
    <t>อดุลย์ แก้วดำ</t>
  </si>
  <si>
    <t>99/9 ม.4 ต.สุรศักดิ์ อ.ศรีราชา จ.ชลบุรี 20230</t>
  </si>
  <si>
    <t>ปนัดดา ก่อกุศล</t>
  </si>
  <si>
    <t>456/82 ม.10 ต.ทุ่งสุขลา อ.ศรีราชา จ.ชลบุรี 20230</t>
  </si>
  <si>
    <t>เจตนภา ตองกลิ่น</t>
  </si>
  <si>
    <t>119/6 ม.1 ต.ตะเคียนเตี้ย อ.บางละบุง จ.ชลบุรี 20150</t>
  </si>
  <si>
    <t>สุทธี บัวหีบแก้ว</t>
  </si>
  <si>
    <t xml:space="preserve">206/025 การเคหะแหลมฉบัง ม.6 ต.บางละมุง อ.บางละมุง จ.ชลบุรี 20150 </t>
  </si>
  <si>
    <t>สมัย หมายสุข</t>
  </si>
  <si>
    <t>บ้านทุ่งกราด ต.บางละมุง อ.ศรีราชา จ.ชลบุรี 20230</t>
  </si>
  <si>
    <t>ไวพจน์ สายหล้า</t>
  </si>
  <si>
    <t>เกษม แก้วกรุงศรี</t>
  </si>
  <si>
    <t>127/26  ม.2 ต.บางละมุง อ.บางละมุง จ.ชลบุรี 20150</t>
  </si>
  <si>
    <t>รัตนา ผู้มีสัตย์</t>
  </si>
  <si>
    <t>อ่าวอุดม ม.6  ต.ทุ่งสุขลา อ.ศรีราชา จ.ชลบุรี 20230</t>
  </si>
  <si>
    <t>ศิวิลัย ศรีรักษา</t>
  </si>
  <si>
    <t>47/48  ม.6 ต.บางละมุง อ.บางละมุง จ.ชลบุรี 20150</t>
  </si>
  <si>
    <t>พรเพ็ญ ผ่านสำแดง</t>
  </si>
  <si>
    <t>889/29 ม.9 ต.ทุ่งสุขลา อ.ศรี่ราชา จ.ชลบุรี 20230</t>
  </si>
  <si>
    <t>ณัฐมงคล กล่ำจีน</t>
  </si>
  <si>
    <t>127 ม.9 ต.ทุ่งสุขลา อ.ศรีราชา จ.ชลบุรี 20230</t>
  </si>
  <si>
    <t>รัชฎาพร ชำนาญ</t>
  </si>
  <si>
    <t>7/27 ม.6 ต.บางละมุง อ.บางละมุง จ.ชลบุรี 20150</t>
  </si>
  <si>
    <t>อาชัญ ไชยเพชร</t>
  </si>
  <si>
    <t>219/169 เคหะแหลมฉบัง ตึก19 ม.6 ต.บางละมุง อ.ศรีราชา จ.ชลบุรี 20150</t>
  </si>
  <si>
    <t>ณัฐกาญจน์ เพียรปัญญารักษ์</t>
  </si>
  <si>
    <t>119/260 ซ.นวมินทร์ 101 ต.นวมินทร์ อ.บึงกุ่ม จ.กรุงเทพมหานคร 10240</t>
  </si>
  <si>
    <t>ฐษา กุลภาดานันท์</t>
  </si>
  <si>
    <t>100/569 ม.7 ต.บางแค อ.บางแค จ.กรุงเทพมหานคร 10160</t>
  </si>
  <si>
    <t>ลำจวน วรรณพฤกษ์</t>
  </si>
  <si>
    <t>220/94  ม. 6 ต.บางละมุง อ.บางละมุง จ.ชลบุรี 20150</t>
  </si>
  <si>
    <t>เลอศักดิ์ สีทอง</t>
  </si>
  <si>
    <t>553/23 ต.ทุ่งสุขลา อ.ศรีราชา จ.ชลบุรี 20230</t>
  </si>
  <si>
    <t>รัตติยากร อุ่นหัวเรือ</t>
  </si>
  <si>
    <t>115/6 ม.2 ตง ต.ทุ่งสุขลา อ.ศรีราชา จ.ชลบุรี 20230</t>
  </si>
  <si>
    <t>ชาญชัย แก้วสีดา</t>
  </si>
  <si>
    <t>220/ การเคหะฯ ม.6 ต.บางละมุง อ.บางละมุง จ.ชลบุรี 20150</t>
  </si>
  <si>
    <t>แพงศรี ประเสริฐศรี</t>
  </si>
  <si>
    <t>196/44 ม.8 บ้านอ่าวอุดม ต.ทุ่งสุขลา อ.ศรีราชา จ.ชลบุรี 20230</t>
  </si>
  <si>
    <t>เยาวลักษณ์ เจริญจิตร์</t>
  </si>
  <si>
    <t>269/48 ม.3 ต.สุรศักดิ์ อ.ศรีราชา จ.ชลบุรี 20110</t>
  </si>
  <si>
    <t>ปราโมทย์ สติมั่น</t>
  </si>
  <si>
    <t>69/260 ม.11 หมู่บ้านพานทองแท้ ต.ทุ่งสุขลา อ.ศรีราชา จ.ชลบุรี 20230</t>
  </si>
  <si>
    <t>บรรจง ขันคำ</t>
  </si>
  <si>
    <t>211/092 เคหะชุมชนแหลมฉบัง ม.6 ต.บางละมุง อ.บางละมุง จ.ชลบุรี 20150</t>
  </si>
  <si>
    <t>ชีพ พิศจาร</t>
  </si>
  <si>
    <t>การเคหะแหลมฉบัง 180/012 ม.6 ต.บางละมุง อ.บางละมุง จ.ชลบุรี 20150</t>
  </si>
  <si>
    <t>ปัญญา ทวยมาตร</t>
  </si>
  <si>
    <t>218/166 ม.6 ต.บางละมุง อ.บางละมุง จ.ชลบุรี 20150</t>
  </si>
  <si>
    <t>วันชัย เตนากุล</t>
  </si>
  <si>
    <t>ประสิทธิ์ บุตรพรม</t>
  </si>
  <si>
    <t>179/206 การเคหะแห่งชาติ ต.บางละมุง อ.บางละมุง จ.ชลบุรี 20150</t>
  </si>
  <si>
    <t>กานต์ธิดา อิ่มอารมณ์</t>
  </si>
  <si>
    <t>56/127 ม.5 ต.บึง อ.ศรีราชา จ.ชลบุรี 20230</t>
  </si>
  <si>
    <t>ชลลดา จันพูล</t>
  </si>
  <si>
    <t>162 ม.5 ต.บางละมุง อ.บางละมุง จ.ชลบุรี 20150</t>
  </si>
  <si>
    <t>เรณู ชูขึ้น</t>
  </si>
  <si>
    <t>419 อิสเทิร์นคอนโด 199/1-9 ม.7 ซ.2 ต.ทุ่งสุขลา อ.ศรีราชา จ.ชลบุรี 20230</t>
  </si>
  <si>
    <t>ศุภลักษณ์ มาลาศรี</t>
  </si>
  <si>
    <t>หอพักแสงจันทร์  288 ต.หนองขาม อ.ศรีราชา ชลบุรี 20230</t>
  </si>
  <si>
    <t>ยุรนันท์ พันธุ์ดำหริ</t>
  </si>
  <si>
    <t>34/2 ม.9 ต.บางละมุง อ.บางละมุง จ.ชลบุรี 20150</t>
  </si>
  <si>
    <t>จินตกัญญา คณะวาปี</t>
  </si>
  <si>
    <t>158/79 หมู่ที่ 12 ต.ทุ่งสุขลา อ.ศรีราชา จ.ชลบุรี 20230</t>
  </si>
  <si>
    <t>เสถียร กาลเขว้า</t>
  </si>
  <si>
    <t>สุธีร์ เรืองฤทธิ์</t>
  </si>
  <si>
    <t>213/62 ม.6 ต.บางละมุง อ.บางละมุง จ.ชลบุรี 20150</t>
  </si>
  <si>
    <t>นิยม นาคาแก้ว</t>
  </si>
  <si>
    <t>15/101-102 ม.4 ต.สุรศักดิ์ อ.สรีราชา จ.ชลบุรี 20230</t>
  </si>
  <si>
    <t>ลำไพร พระไตรยะ</t>
  </si>
  <si>
    <t>217/52 เคหะแหลมฉบัง ม.6 ต.บางละมุง อ.ศรีราชา จ.ชลบุรี 20150</t>
  </si>
  <si>
    <t>จินดา ลายทอง</t>
  </si>
  <si>
    <t>213/42 ม.6 การเคหะชุมชน ต.บางละมุง อ.บางละมุง จ.ชลบุรี 20150</t>
  </si>
  <si>
    <t>มณีรัตน์ กันนุฬา</t>
  </si>
  <si>
    <t>89/3 ม.7 ต.บางละมุง อ.บางละมุง จ.ชลบุรี 20150</t>
  </si>
  <si>
    <t>สายชล ด้วงประเสริฐ</t>
  </si>
  <si>
    <t>137/1 ม.1 ต.บางพระ อ.เมือง จ.ชลบุรี 20130</t>
  </si>
  <si>
    <t>ทองวัน ประกอบผล</t>
  </si>
  <si>
    <t>ถาวร เหิมหอม</t>
  </si>
  <si>
    <t>220/047 การเคหะแหลมฉบัง ม.6 ต.บางละมุง อ.บางละมุง จ.ชลบุรี 20150</t>
  </si>
  <si>
    <t>อรัญญา บุ่งอุทุม</t>
  </si>
  <si>
    <t>158/3 ม.8 ต.บางละมุง อ.บางละมุง จ.ชลบุรี 20150</t>
  </si>
  <si>
    <t>สงคราม ธิวะโต</t>
  </si>
  <si>
    <t>ชาญชัย ดอนชวนชม</t>
  </si>
  <si>
    <t>วิษณุ พนมเขตร</t>
  </si>
  <si>
    <t>99/12 ม.6 ถ.ทุ่งทอง ต.บางละมุง อ.บางละมุง จ.ชลบุรี 20150</t>
  </si>
  <si>
    <t>อารีรัตน์ ทองแช่ม</t>
  </si>
  <si>
    <t>82 ม.6 ต.บางละมุง อ.บางละมุง จ.ชลบุรี 20150</t>
  </si>
  <si>
    <t>ธีรพล สีหานาม</t>
  </si>
  <si>
    <t>151 ม.9 ต.ทุ่งสุขลา อ.ศรีราชา จ.ชลบุรี 20230</t>
  </si>
  <si>
    <t>วชิรดา พุฒตาล</t>
  </si>
  <si>
    <t>898/2 ม.9 หมู่บ้านนครในฝันเฟส 2 ต.ทุ่งสุขลา อ.ศรีราชา จ.ชลบุรี 20230</t>
  </si>
  <si>
    <t>จิตนา แสงมาศ</t>
  </si>
  <si>
    <t>211 ม.3 ต.ท่งสุฃลา อ.ศรีราชา จ.ชลบุรี 20230</t>
  </si>
  <si>
    <t>สายชล บัณหาราช</t>
  </si>
  <si>
    <t>136/84 ม.วราสิริ ม.10 ต.ทุ่งสุขลา อ.ศรีราชา จ.ชลบุรี 20230</t>
  </si>
  <si>
    <t>สุวณีย์ วงศ์ศิริศักดิ์</t>
  </si>
  <si>
    <t>20/34 ต.ทุ่งสุขลา อ.ศรีราชา จ.ชลบุรี 20230</t>
  </si>
  <si>
    <t>สาวิตรี แสนสีสงฆ์</t>
  </si>
  <si>
    <t>25/2 ม.6 ต.บางละมุง อ.บางละมุง จ.ชลบุรี 20150</t>
  </si>
  <si>
    <t>ประภาวดี พลกูล</t>
  </si>
  <si>
    <t>11/2 หมู่ 9 ต.ทุ่งสุขลา อ.ศรีราชา จ.ชลบุรี 20230</t>
  </si>
  <si>
    <t>ศักดิ์ชัย โถคำนาม</t>
  </si>
  <si>
    <t>จันทร์เพ็ญ ฉายรมย์</t>
  </si>
  <si>
    <t>143/31 ม.8 ต.ทุ่งสุขลา อ.ศรีราชา จ.ชลบุรี 20230</t>
  </si>
  <si>
    <t>วรรณลี ทะยารัมย์</t>
  </si>
  <si>
    <t>20/33 ม.6 ต.บางละมุง อ.บางละมุง จ.ชลบุรี 20150</t>
  </si>
  <si>
    <t>กัลยา สุขเกษม</t>
  </si>
  <si>
    <t>143 ม.11 ต.ห้วยใหญ่ อ.บางละมุง จ.ชลบุรี 20150</t>
  </si>
  <si>
    <t>วิไล สิทธิชัย</t>
  </si>
  <si>
    <t>245/23 ต.หนองขาม อ.ศรีราชา จ.ชลบุรี 20230</t>
  </si>
  <si>
    <t>น้ำทิพย์ กึนรัมย์</t>
  </si>
  <si>
    <t xml:space="preserve">หอพักเพิ่มสุข 121/29 หมู่ 9 ต.ทุ่งสุขลา อ.ศรีราชา จังหวัด.ชลบุรี 20230 </t>
  </si>
  <si>
    <t>ชอ้อน ส่งเชื้อ</t>
  </si>
  <si>
    <t>1 ม.3 ต.ทุ่งสุขลา อ.ศรีราชา จ.ชลบุรี 20230</t>
  </si>
  <si>
    <t>สุนีย์รัตน์ มากบุญ</t>
  </si>
  <si>
    <t>322/159 ม.8 ต.สุรศักดิ์ อ.ศรีราชา จ.ชลบุรี 20230</t>
  </si>
  <si>
    <t>บุหลัน อาจชัยภูมิ</t>
  </si>
  <si>
    <t>94/28 ม. 6 ซ.ทุ่งทองใต้ ต.บางละมุง อ.บางละมุง จ.ชลบุรี 20150</t>
  </si>
  <si>
    <t>ชนากร ทุมมา</t>
  </si>
  <si>
    <t>สมาน ศรีคุณชัย</t>
  </si>
  <si>
    <t>121/9 ต.ทุ่งสุขลา อ.ศรีราชา จ.ชลบุรี 20230</t>
  </si>
  <si>
    <t>วิยะดา สำอางค์</t>
  </si>
  <si>
    <t>282 ม.5 ต.บางละมุง อ.บางละมุง จ.ชลบุรี 20150</t>
  </si>
  <si>
    <t>มินทร์ธดา แก้วคำ</t>
  </si>
  <si>
    <t>18/32 ม.3 ต.สุรศักดิ์ อ.ศรีราชา จ.ชลบุรี 20110</t>
  </si>
  <si>
    <t>ทองดี พัทธสิม</t>
  </si>
  <si>
    <t>71/98 ม.11 ต.ทุ่งสุขลา อ.สรีราชา จ.ชลบุรี 20230</t>
  </si>
  <si>
    <t>โสภิศ ภูคำตา</t>
  </si>
  <si>
    <t>27  ถนนจันทน์ ซอยจันทน์ 17 ยานนาวา กรุงเทพมหานคร 10120</t>
  </si>
  <si>
    <t>ภาณี นฤพานนท์</t>
  </si>
  <si>
    <t>150/641 ม.13 ต.อ้อมน้อย อ.กระทุ่มแบน จ.สมุทรสาคร 74130</t>
  </si>
  <si>
    <t>อนุวัฒน์ มาตราช</t>
  </si>
  <si>
    <t>วิรัตน์ มากสวาท</t>
  </si>
  <si>
    <t>68//84 ต.สัตหีบ อ.สัตหีบ จ.ชลบุรี 20180</t>
  </si>
  <si>
    <t>สุพิศ คำผง</t>
  </si>
  <si>
    <t>70/9 ม.9 ต.ทุ่งสุขลา อ.ศรีราชา จ.ชลบุรี 20230</t>
  </si>
  <si>
    <t>ดวงตา ไกรเลิศ</t>
  </si>
  <si>
    <t>206/213 การเคหะ ต.บางละมุง อ.บางละมุง จ.ชลบุรี 20150</t>
  </si>
  <si>
    <t>วิภาดา ยาสาไชย</t>
  </si>
  <si>
    <t>เนเจอร๋เฮ้าส์ 182/7  ม.8 ต.บางละมุง อ.บางละมุง จ.ชลบุรี 20150</t>
  </si>
  <si>
    <t>เมธิณี บุตรดา</t>
  </si>
  <si>
    <t>527/ 5 ม.11 ต.หนองขาม อ.ศรีราชา จ.ชลบุรี 20230</t>
  </si>
  <si>
    <t>มานพ ก้อนแก้ว</t>
  </si>
  <si>
    <t>พลวัฒน์ เกตุแผ้ว</t>
  </si>
  <si>
    <t>220/116 การเคหะแหลมฉบัง  ม.6 ต.บางละมุง อ.บางละมุง จ.ชลบุรี</t>
  </si>
  <si>
    <t>ภูไท มุกดาหาร</t>
  </si>
  <si>
    <t>219/183 ต.บางละมุง อ.บางละมุง จ.ชลบุรี 20150</t>
  </si>
  <si>
    <t>วรรณิศา มาภิวงค์</t>
  </si>
  <si>
    <t xml:space="preserve">9/46 ม.4 ต.สุรศักดิ์ อ.ศรีราชา จ.ชลบุรี </t>
  </si>
  <si>
    <t>เบญจพร ป้องเงิน</t>
  </si>
  <si>
    <t>144/123 ต.ทุ่งสุขลา อ.ศรีราชา จ.ชลบุรี 20230</t>
  </si>
  <si>
    <t>ยุพิณร์ พันยะราช</t>
  </si>
  <si>
    <t>440 ม.9 ต.หนองปรือ อ.บางละมุง จ.ชลบุรี 20150</t>
  </si>
  <si>
    <t>รุ่งนิภา ทุมมา</t>
  </si>
  <si>
    <t>อนุชิต กองนำ</t>
  </si>
  <si>
    <t>180/46 หมู่ 8 อพาร์ทเม้นต์ทองริน ต. บางละมุง อ. บางละมุง จ. ชลบุรี 20150</t>
  </si>
  <si>
    <t>เจษฎาพงษ์ ชาติศรี</t>
  </si>
  <si>
    <t>889/6 หมู่ที่ 9 ต.ทุ่งสุขลา อ.ศรีราชา จ.ชลบุรี 20230</t>
  </si>
  <si>
    <t>อังกฤษ จันทร์ชื่น</t>
  </si>
  <si>
    <t>การเคหะแหลมฉบัง  ม.6 ต.บางละมุง อ.บางละมุง จ.ชลบุรี 202150</t>
  </si>
  <si>
    <t>อมรรัตน์ พรมทอง</t>
  </si>
  <si>
    <t>220/211 ม.6 ต.บางละมุง อ.บางละมุง จ.ชลบุรี 20150</t>
  </si>
  <si>
    <t>ญาดานันท์ นุ่มนวล</t>
  </si>
  <si>
    <t>71/15 ม. 11 ต.ทุ่งสุขลา อ.ศรีราชา จ.ชลบุรี 20230</t>
  </si>
  <si>
    <t>ปฏิเวธ ยอดขวัญ</t>
  </si>
  <si>
    <t>898/96 ม.9 ต.ทุ่งสุขลา อ.ศรีราชา จ.ชลบุรี 20230</t>
  </si>
  <si>
    <t>เอกลักษณ์ ไชยมงคล</t>
  </si>
  <si>
    <t>เทพรังสรรค์ ศรีวัง</t>
  </si>
  <si>
    <t>นรินทร์ ผลผาด</t>
  </si>
  <si>
    <t>พงษ์พัฒน์ พรหมชาติ</t>
  </si>
  <si>
    <t xml:space="preserve"> พีพี อพาร์ตเมนท์ 289  ม.6 ต.บึง อ.ศรีราชา จ.ชลบุรี 20230</t>
  </si>
  <si>
    <t>สาวิตรี ขัติยะ</t>
  </si>
  <si>
    <t>21 ม.4 ต.บางละมุง อ.บางละมุง จ.ชลบุรี 20150</t>
  </si>
  <si>
    <t>เพ็ญนภา แตงน้อย</t>
  </si>
  <si>
    <t>78/23 ม.6 ต.บางละมุง อ.บางละมุง จ.ชลบุรี 20150</t>
  </si>
  <si>
    <t>นริญฐิรัฏฐ์ เมยขุนทด</t>
  </si>
  <si>
    <t>18/30 ม.8 ต.บางละมุง อ.บางละมุง จ.ชลบุรี 20150</t>
  </si>
  <si>
    <t>เกษร วงค์ไชยา</t>
  </si>
  <si>
    <t>221/122  ม.6 ต.บางละมุง อ.บางละมุง จ.ชลบุรี 20150</t>
  </si>
  <si>
    <t>ธัญชนก มีลาด</t>
  </si>
  <si>
    <t>158/79 ม.12 ต.ทุ่งสุขลา อ.ศรีราชา จ.ชลบุรี 20230</t>
  </si>
  <si>
    <t>วรัญญา สำอางค์</t>
  </si>
  <si>
    <t>281 ม.5 ต.บางละมุง อ.บางละมุง จ.ชลบุรี 20150</t>
  </si>
  <si>
    <t>อมรรัตน์ ศรีพันธ์</t>
  </si>
  <si>
    <t>พลวัต ศรีวิชัย</t>
  </si>
  <si>
    <t>สายบัว ลุมชะเนา</t>
  </si>
  <si>
    <t>582/160 ม.11 ต.หนองขาม อ.ศรีราชา จ.ชลบุรี 20230</t>
  </si>
  <si>
    <t>นฎกร สิงห์วงค์</t>
  </si>
  <si>
    <t>888/28 ม.8 บ.ทุ่งกราด ต.บางละมุง อ.บางละมุง จ.ชลบุรี 20150</t>
  </si>
  <si>
    <t>ภาวิณี แสงใสแก้ว</t>
  </si>
  <si>
    <t>130/218-219 ม.9 ต.ทุ่งสุขลา อ.ศรีราชา จ.ชลบุรี 20230</t>
  </si>
  <si>
    <t>นริทรา ลีประโคน</t>
  </si>
  <si>
    <t>อรปรียา หลักหาญ</t>
  </si>
  <si>
    <t>144/25 ม.9 ต.ทุ่งสุขลา อ.ศรีราชา จ.ชลบุรี 20230</t>
  </si>
  <si>
    <t>ประจวบ ผดุงชีพ</t>
  </si>
  <si>
    <t xml:space="preserve"> 21/1 ม.4 ต.บางละมุง อ.บางละมุง จ.ชลบุรี 20150</t>
  </si>
  <si>
    <t>วารุรี จุลวงษ์</t>
  </si>
  <si>
    <t>214/70 ม.6 ต.บางละมุง อ.บางละมุง จ.ชลบุรี 20150</t>
  </si>
  <si>
    <t>กัลยานี ศรีนาม</t>
  </si>
  <si>
    <t>1/145 ต.บางละมุง อ.ศรีราชา จ.ชลบุรี 20230</t>
  </si>
  <si>
    <t>อนุพงษ์ อุทโท</t>
  </si>
  <si>
    <t>บางพระ หมู่ 10 ต.บางพระ อ.ศรีราชา จ.ชลบุรี 20110</t>
  </si>
  <si>
    <t>อรรณพ ดอนชวนชม</t>
  </si>
  <si>
    <t>220-053 ม.6 ต.บางละมุง อ.บางละมุง จ.ชลบุรี 20150</t>
  </si>
  <si>
    <t>สถาพร คะสุวรรณ</t>
  </si>
  <si>
    <t>72/12 ต.บางละมุง อ.บางละมุง จ.ชลบุรี 20150</t>
  </si>
  <si>
    <t>ไพบูลย์ บัวมาตร</t>
  </si>
  <si>
    <t>หมู่ที่ 6 ถ. สุขุมวิท ต.ทุ่งสุขลา อ.ศรีราชา จ.ชลบุรี 20230</t>
  </si>
  <si>
    <t>นันทิดา สังข์สีแก้ว</t>
  </si>
  <si>
    <t>93/75 ม.4 ต.บางละมุง อ.บางละมุง จ.ชลบุรี 20150</t>
  </si>
  <si>
    <t>ศิรินันท์ หมีดง</t>
  </si>
  <si>
    <t>151/31 ม.10 ต.หนองปรือ อ.บางละมุง จ.ชลบุรี 20150</t>
  </si>
  <si>
    <t>จันนภา ศรีผาแหย่ง</t>
  </si>
  <si>
    <t>988/18 ม.9 ต.ทุ่งสุขลา อ.ศรีราชา จ.ชลบุรี 20230</t>
  </si>
  <si>
    <t>นันทิยา ภิญโญทรัพย์</t>
  </si>
  <si>
    <t xml:space="preserve">9/7  หมู่.7  ต.บางละมุง อ.บางละมุง จ.ชลบุรี 20150 </t>
  </si>
  <si>
    <t>อาสะ อยู่เป๊า</t>
  </si>
  <si>
    <t>888/28หมู่8 ต.บางละมุง อ.บางละมุง จ.ชลบุรี 20150</t>
  </si>
  <si>
    <t>วิทวัส ศรีสมบัติ</t>
  </si>
  <si>
    <t>วงค์เดือน สนั่นนารี</t>
  </si>
  <si>
    <t>148 ม.8 ต.ทุ่งสุขลา อ.ศรีราชา จ.ชลบุรี 20230</t>
  </si>
  <si>
    <t>สุนทร สังกองแก้ว</t>
  </si>
  <si>
    <t>34/1 ต.ทุ่งสุขลา อ.ศรีราชา จ.ชลบุรี 20230</t>
  </si>
  <si>
    <t>สุพรรณ ศรีสุข</t>
  </si>
  <si>
    <t>96/54 ม.2 ต.ตะเคียงเตี้ย อ.บางละมุง จ.ชลบุรี 20150</t>
  </si>
  <si>
    <t>มัณทนา จูมกุมาร</t>
  </si>
  <si>
    <t>หอพักอรุณเฮ้าส์ 147/16 หมู่ 9 ต.ทุ่งสุขลา อ.ศรีราชา จ.ชลบุรี 20230</t>
  </si>
  <si>
    <t>นิสา รัชตะนะกุล</t>
  </si>
  <si>
    <t>45/14 ม.8 ต.บึง อ.ศรีราชา จ.ชลบุรี 20230</t>
  </si>
  <si>
    <t>วิภาวรรณ เดชชิด</t>
  </si>
  <si>
    <t>225/209 ม.8 ต.บางละมุง อ.บางละมุง จ.ชลบุรี 20150</t>
  </si>
  <si>
    <t>ไพศาล วงศ์เย็น</t>
  </si>
  <si>
    <t>159/91 ต.สุรศักดิ์ อ.ศรีราชา จ.ชลบุรี 20230</t>
  </si>
  <si>
    <t>รักชนก มีหนู</t>
  </si>
  <si>
    <t>62/165 ม.10 ต.ทุ่งสุขลา อ.ศรีราชา จ.ชลบุรี 20230</t>
  </si>
  <si>
    <t>เขตตะวัน กาญจนารักษ์</t>
  </si>
  <si>
    <t>แก่นบุญอพาร์ทเม้นท์ 34/1 ถ บางแสน3, ต.แสนสุข อ.เมือง จ.ชลบุรี 20130</t>
  </si>
  <si>
    <t>สมหมาย สุทธรักษ์</t>
  </si>
  <si>
    <t>71/44 ม.9 ต.ทุ่งสุขลา อ.ศรีราชา จ.ชลบุรี 20230</t>
  </si>
  <si>
    <t>จุฑารัตน์ วงษ์ขันธ์</t>
  </si>
  <si>
    <t>191/57 ืม.5 ต.หนองขาม อ.ศรีราชา จ.ชลบุรี 20230</t>
  </si>
  <si>
    <t>ธนา แซ่เตียว</t>
  </si>
  <si>
    <t>7/38 ม.6 ต.หนองปลาไหล อ.บางละมุง จ.ชลบุรี 20150</t>
  </si>
  <si>
    <t>เบญจวรรณ สุตะโท</t>
  </si>
  <si>
    <t>เครือสหพัฒน์  ต.หนองขาม อ.ศรีราชา จ.ชลบุรี 20110</t>
  </si>
  <si>
    <t>ชลิดา ผู้มีสัตย์</t>
  </si>
  <si>
    <t>ธิดารัตน์ เรืองสว่าง</t>
  </si>
  <si>
    <t>220/046 ต.บางละมุง อ.บางละมุง จ.ชลบุรี 20150</t>
  </si>
  <si>
    <t>จุไรรัตน์ ธรรมสว่าง</t>
  </si>
  <si>
    <t>198/93 หมู่ที่ 4 ต.บางละมุง อ.บางละมุง จ.ชลบุรี 20150</t>
  </si>
  <si>
    <t>มะนัส ทองปลิว</t>
  </si>
  <si>
    <t>44/73 ม.1 ต.หนองขาม อ.ศรีราชา จ.ชลบุรี 20110</t>
  </si>
  <si>
    <t>ประไพ สีเงิน</t>
  </si>
  <si>
    <t>291/56 ม.10 ต.ทุ่งสุขลา อ.ศรีราชา จ.ชลบุรี 20230</t>
  </si>
  <si>
    <t>ดวงชีวรรณ ศรีพรหม</t>
  </si>
  <si>
    <t>121/8 ม.9 ต.ทุ่งสุขลา อ.ศรีราชา จ.ชลบุรี 20230</t>
  </si>
  <si>
    <t>วิภา เอี่ยมฉาย</t>
  </si>
  <si>
    <t>129/44 หมู่ 2 ต.บึง อ.ศรีราชา จ. ชลบุรี 20230</t>
  </si>
  <si>
    <t>ทัศวรรณ หันน้ำเที่ยง</t>
  </si>
  <si>
    <t>78/105/124 ม.6 ต.บางละมุง อ.บางละมุง จ.ชลบุรี 20150</t>
  </si>
  <si>
    <t>ปฐมศักดิ์ ศรีสมวงษ์</t>
  </si>
  <si>
    <t>66/102 ม.2 ต.ตะเคียนเตี้ย อ.บางละมุง จ.ชลบุรี 20150</t>
  </si>
  <si>
    <t>พรเทพ อุดมพร</t>
  </si>
  <si>
    <t>39/1 ม.1 ต.ปราสาททอง อ.เขวาสินรินทร์ จ.สุรินทร์ 20150</t>
  </si>
  <si>
    <t>จิราภรณ์ มันทะลา</t>
  </si>
  <si>
    <t>44/73 ม.1 ต.หนองขาม อ.ศรีราชา จ.ชลบุรี 20230</t>
  </si>
  <si>
    <t>ปานหทัย ไชยวรรณ</t>
  </si>
  <si>
    <t>223/143-144 อาคารพีทีเพลส ม.6 ต.ทุ่งสุขลา อ.ศรีราชา จ.ชลบุรี 20230</t>
  </si>
  <si>
    <t>จาตุรงณ์ สังข์จันทร์</t>
  </si>
  <si>
    <t>292/14 หมู่ที่ 10 ต.ทุ่งสุขลา อ.ศรีราชา จ.ชลบุรี 20230</t>
  </si>
  <si>
    <t>ราชิต ผาริวงค์</t>
  </si>
  <si>
    <t>50/124 ม.10 ต.ทุ่งสุขลา อ.ศรีราชา จ.ชลบุรี 20230</t>
  </si>
  <si>
    <t>ภาณุพงศ์ เฉลียวเลิศ</t>
  </si>
  <si>
    <t>41/83 ม.2 ขุมทรัพย์อพาร์ทเม้นท์ ต.บางละมุง อ.บางละมุง จ.ชลบุรี 20150</t>
  </si>
  <si>
    <t>จำโบ้ แคนติ</t>
  </si>
  <si>
    <t>526/6-7 ม.11 ต.หนองขาม อ.ศรีราชา จ.ชลบุรี 20230</t>
  </si>
  <si>
    <t>สังข์เวียน วงละคร</t>
  </si>
  <si>
    <t>262/193 ม.11 ต.หนองขาม อ.ศรีราชา จ.ชลบุรี 20230</t>
  </si>
  <si>
    <t>จักรี บัวกอ</t>
  </si>
  <si>
    <t>180/143 ม.8 บ.ทองริน ต บางละมุง อ.บางละมุง จ.ชลบุรี 20150</t>
  </si>
  <si>
    <t>อาภาพร อินโนนเชือก</t>
  </si>
  <si>
    <t>18/45 ม.6 ต.บางละมุง อ.บางละมุง จ.ชลบุรี 20150</t>
  </si>
  <si>
    <t>วยารัตน์ โชติธนชัยพัฒน์</t>
  </si>
  <si>
    <t>สุทิพย์ ไชยบุตร</t>
  </si>
  <si>
    <t>202/6 ต.เคหะ อ.บางละมุง จ.ชลบุรี 20150</t>
  </si>
  <si>
    <t>ชลพิชา ฉ่ำโสฬส</t>
  </si>
  <si>
    <t>182 ม.8 ต.ทุ่งสุขลา อ.ศรีราชา จ.ชลบุรี 20230</t>
  </si>
  <si>
    <t>อรรถพร ชาภักดี</t>
  </si>
  <si>
    <t>226/35 ม.10 ต.บางพระ อ.ศรีราชา จ.ชลบุรี 20230</t>
  </si>
  <si>
    <t>สาวิตรี จำรัส</t>
  </si>
  <si>
    <t>บ้านนา  ต.ทุ่งสุขลา อ.ศรีราชา จ.ชลบุรี 20230</t>
  </si>
  <si>
    <t>อชิรญา พุทธตรัส</t>
  </si>
  <si>
    <t>102/10 ม.2 ต.ทุ่งสุขลา อ.ศรีราชา จ.ชลบุรี 20230</t>
  </si>
  <si>
    <t>ศิวนัฐ์ ทองคำพงษ์</t>
  </si>
  <si>
    <t>พัทธนันท์ จักสาน</t>
  </si>
  <si>
    <t>300/13 ม.10 ต.ทุ่งสุขลา อ.ศรีราชา จ.ชลบุรี 20230</t>
  </si>
  <si>
    <t>กนกรัตน์ นาโสก</t>
  </si>
  <si>
    <t>วันชัย ลิ่มถาวรวัฒนา</t>
  </si>
  <si>
    <t>16/387 หมู่ที่ 5 ต.ห้วยกระปิ อ.เมืองชลบุรี จ.ชลบุรี 20000</t>
  </si>
  <si>
    <t>กฤษณะ บรรทับ</t>
  </si>
  <si>
    <t>66/3 ม.10 ต.บึง อ.ศรีราชา จ.ชลบุรี 20230</t>
  </si>
  <si>
    <t>อิสระพงค์ บัวงาม</t>
  </si>
  <si>
    <t>157/56 ม.12 ต.ทุ่งสุขลา อ.ศรีราชา จ.ชลบุรี 20230</t>
  </si>
  <si>
    <t>สุพรรณา ยืนนาน</t>
  </si>
  <si>
    <t>12/19 ม.1 ต.ทุ่งสุขลา อ.ศรีราชา จ.ชลบุรี 20230</t>
  </si>
  <si>
    <t>ฟ้าทิพย์ แหกาวี</t>
  </si>
  <si>
    <t>มนตรี แปลงไร่</t>
  </si>
  <si>
    <t>35/7 ม.5 ต.ทุ่งสุขลา อ.ศรีราชา จ.ชลบุรี 20230</t>
  </si>
  <si>
    <t>สราวุฒิ โคตรสมบัติ</t>
  </si>
  <si>
    <t>13/2 ม.6 ต.บางละมุง อ.บางละมุง จ.ชลบุรี 20150</t>
  </si>
  <si>
    <t>ชัชชกาลณ์ ชัยชนะ</t>
  </si>
  <si>
    <t>181/67 ม.4 ต.บางละมุง อ.บางละมุง จ.ชลบุรี 20150</t>
  </si>
  <si>
    <t>วรวุฒิ หมื่นพหน</t>
  </si>
  <si>
    <t>220/212 ต.บางละมุง อ.บางละมุง จ.ชลบุรี 20150</t>
  </si>
  <si>
    <t>มนัสชนก สุวรรณศรี</t>
  </si>
  <si>
    <t>ชฎาพร ไถวสินธุ์</t>
  </si>
  <si>
    <t>220/049 ม.6 ต.บางละมุง อ.บางละมุง จ.ชลบุรี 20150</t>
  </si>
  <si>
    <t>นุชจรี จันทสิทธิ์</t>
  </si>
  <si>
    <t>175 หมู่ที่ 8 ต.หนองลาด อ.เมืองสกลนคร จ.สกลนคร 47220</t>
  </si>
  <si>
    <t>เพ็ญนภา อินนา</t>
  </si>
  <si>
    <t>66/11 ม.8 ต.บางละมุง อ.บางละมุง จ.ชลบุรี 20150</t>
  </si>
  <si>
    <t>ทิวาพร กลางหนองแสง</t>
  </si>
  <si>
    <t xml:space="preserve">ทุ่งกราด ม.6 ต.บางละมุง อ.บางละมุง จ.ชลบุรี 20150 </t>
  </si>
  <si>
    <t>นิภาวรรณ มาตราช</t>
  </si>
  <si>
    <t>101/263 ม.10 ต.บึง อ.ศรีราชา จ.ชลบุรี 20230</t>
  </si>
  <si>
    <t>นภาลัย ใจกล้า</t>
  </si>
  <si>
    <t>570/93 ม.11 ต.หนองขาม อ.ศรีราชา จ.ชลบุรี 20230</t>
  </si>
  <si>
    <t>นาถยา วงษ์อำมาต</t>
  </si>
  <si>
    <t>7 หมสู่ 6 ต.บางละมุง อ.บางละมุง จ.ชลบุรี 20150</t>
  </si>
  <si>
    <t>สุธินี ขันตะ</t>
  </si>
  <si>
    <t>220/133 ม.6 ต.บางละมุง อ.บางละมุง จ.ชลบุรี 20150</t>
  </si>
  <si>
    <t>ศิริวรรณ ขุนณรงค์</t>
  </si>
  <si>
    <t>สากล พรมมา</t>
  </si>
  <si>
    <t>41 ม.2 ต.บางละมุง อ.บางละมุง จ.ชลบุรี 20150</t>
  </si>
  <si>
    <t>มรีจันทร์ กล้าหาญ</t>
  </si>
  <si>
    <t>221/076 ต.บางละมุง อ.บางละมุง จ.ชลบุรี 20150</t>
  </si>
  <si>
    <t>ไพวัลย์ ออมทรัพย์</t>
  </si>
  <si>
    <t>พรพรรณ ยิ่งนอก</t>
  </si>
  <si>
    <t>24/10 ม.5 ต.ทุ่งสุขลา อ.ศรีราชา จ.ชลบุรี 20230</t>
  </si>
  <si>
    <t>คำสัญญา คำสีวงษา</t>
  </si>
  <si>
    <t>น้ำหอม แคนติ</t>
  </si>
  <si>
    <t>56/5 ม.4 ต.บางละมุง อ.บางละมุง จ.ชลบุรี 20150</t>
  </si>
  <si>
    <t>เกียรตินิวัฒน์ วงษาบุตร</t>
  </si>
  <si>
    <t>148/8 ต.ทุ่งสุขลา อ.ศรีราชา จ.ชลบุรี 20230</t>
  </si>
  <si>
    <t>พัชรีพร เพ็ชรนารี</t>
  </si>
  <si>
    <t>9/2 ม.5 ต.ทุ่งสุขลา อ.ศรีราชา จ.ชลบุรี 20230</t>
  </si>
  <si>
    <t>นันทวัฒน์ ทุมมา</t>
  </si>
  <si>
    <t>กัลญา อินทร์โชติ</t>
  </si>
  <si>
    <t>182/1 ต.ทุ่งสุขลา อ.ศรีราชา จ.ชลบุรี 20230</t>
  </si>
  <si>
    <t>กันยา วรรณการ</t>
  </si>
  <si>
    <t>139 ม.11 ต.ทุ่งสุขลา อ.ศรีราชา จ.ชลบุรี 20230</t>
  </si>
  <si>
    <t>นิตติยา ปานกล่อม</t>
  </si>
  <si>
    <t>15/36 ม.3 ต.สุรศักดิ์ อ.ศรีราชา จ.ชลบุรี 20110</t>
  </si>
  <si>
    <t>ศรีสุดา บัวนุภาพ</t>
  </si>
  <si>
    <t>10/3 ม. 9 ต.ทุ่งสุขลา อ.ศรีราชา จ.ชลบุรี 20230</t>
  </si>
  <si>
    <t>สายสมร จันสมุทร</t>
  </si>
  <si>
    <t>101/286 ม.10 ต.บึง อ.ศรีราชา จ.ชลบุรี 20230</t>
  </si>
  <si>
    <t>วันดี ภู่เงินงาม</t>
  </si>
  <si>
    <t>129/39 ม.3 ต.บางละมุง อ.บางละมุง จ.ชลบุรี 20150</t>
  </si>
  <si>
    <t>ศรีสุดา พงษ์สุระ</t>
  </si>
  <si>
    <t>67/99 ม. 10 หอพักชิชิน ต.ทุ่งสุขลา อ.ศรีราชา จ.ชลบุรี 20230</t>
  </si>
  <si>
    <t>จันฑิมา สุขจันทร์</t>
  </si>
  <si>
    <t>221/125 ต.บางละมุง อ.บางละมุง จ.ชลบุรี 20230</t>
  </si>
  <si>
    <t>กวินทรา เตินขุนทด</t>
  </si>
  <si>
    <t>140/3 ม.11 ต.ทุ่งสุขลา อ.ศรีราชา จ.ชลบุรี 20230</t>
  </si>
  <si>
    <t>ศักรนันทน์ รัตน์ศักรดิ์</t>
  </si>
  <si>
    <t>103/67 ม.10 ต.ทุ่งสุขลา อ.ศรีราชา จ.ชลบุรี 20230</t>
  </si>
  <si>
    <t>กีรติ สุวรรณจันทร์</t>
  </si>
  <si>
    <t>หมู่บ้านพานทองแท้ ต. อ. จ.ชลบุรี 20150</t>
  </si>
  <si>
    <t>สุนันทา คำโพธิ์</t>
  </si>
  <si>
    <t>123/54 ม.9 หอพักธนาภิรมย์ ต.ทุ่งสุขลา อ.ศรีราชา จ.ชลบุรี 20230</t>
  </si>
  <si>
    <t>อนันทชัย บินศรี</t>
  </si>
  <si>
    <t>160/52 ม.3 ต.ตะเคียนเตี้ย อ.บางละมุง จ.ชลบุรี 20150</t>
  </si>
  <si>
    <t>นรินทร์ แสนสอน</t>
  </si>
  <si>
    <t>บุริมภัทร จำปากุล</t>
  </si>
  <si>
    <t>ชลธิชา จอนกระโทก</t>
  </si>
  <si>
    <t>115/8 ม.2 ต.ทุ่งสุขลา อ.ศรีราชา จ.ชลบุรี 20230</t>
  </si>
  <si>
    <t>ธีระวัฒน์ จันทะนาม</t>
  </si>
  <si>
    <t>อุไลพร กุหลาบคำ</t>
  </si>
  <si>
    <t>567/13 ม.10 ต.ทุ่งสุขลา อ.ศรีราชา จ.ชลบุรี 20230</t>
  </si>
  <si>
    <t>สุภาวดี หาญณรงค์</t>
  </si>
  <si>
    <t>88/16 ม.8 ต.บางละมุง อ.บางละมุง จ.ชลบุรี 20150</t>
  </si>
  <si>
    <t>กิติคุณ เทพยุหะ</t>
  </si>
  <si>
    <t>247/39 ม. ต.สุรศักดิ์ อ.ศรีราชา จ.ชลบุรี 20230</t>
  </si>
  <si>
    <t>ประวิตย์ เงินพิมพ์</t>
  </si>
  <si>
    <t>525/33 ม.11 ต.หนองขาม อ.ศรีราชา จ.ชลบุรี 20230</t>
  </si>
  <si>
    <t>จินตนา ช่วยค้ำชู</t>
  </si>
  <si>
    <t>205/68 ต.บางละมุง อ.บางละมุง จ.ชลบุรี 20150</t>
  </si>
  <si>
    <t>เกศรินทร์ ปุยฝ้าย</t>
  </si>
  <si>
    <t>114/118 หมู่ 2 ต.ทุ่งสุขลา อ.ศรีราชา จ.ชลบุรี 20230</t>
  </si>
  <si>
    <t>ปาริฉัตร ศรีหะโง่น</t>
  </si>
  <si>
    <t>ณัฐชยาน์ มิตรพามา</t>
  </si>
  <si>
    <t>567/115 ม.10 ต.ทุ่งสุขลา อ.ศรีราชา จ.ชลบุรี 20230</t>
  </si>
  <si>
    <t>จิราวรรณ เรืองกระจาย</t>
  </si>
  <si>
    <t>130/259 ม.9 ต.ทุ่งสุขลา อ.ศรีราชา จ.ชลบุรี 20230</t>
  </si>
  <si>
    <t>ศิลามณี เขียวสีห์</t>
  </si>
  <si>
    <t>222/58 ม.10 ต.ทุ่งสุขลา อ.ศรีราชา จ.ชลบุรี 20230</t>
  </si>
  <si>
    <t>นิติภา สารจันทร์</t>
  </si>
  <si>
    <t>77/53 ม.10 ต.ทุ่งสุขลา อ.ศรีราชา จ.ชลบุรี 20230</t>
  </si>
  <si>
    <t>จรินทร ทองใบ</t>
  </si>
  <si>
    <t>151/47 ต.ตะเคียนเตี้ย อ.บางละมุง จ.ชลบุรี 20150</t>
  </si>
  <si>
    <t>ราเชนทร์ เชียงชีระ</t>
  </si>
  <si>
    <t xml:space="preserve">158/86 ต.ทุ่งสุขลา อ.ศรีราชา จ.ชลบุรี </t>
  </si>
  <si>
    <t>จตุพล จันพูล</t>
  </si>
  <si>
    <t>88/9 ต.บางละมุง อ.บางละมุง จ.ชลบุรี 20150</t>
  </si>
  <si>
    <t>จักรกฤช นางาม</t>
  </si>
  <si>
    <t>125/32 ม.10 ต.ทุ่งสุขลา อ.ศรีราชา จ.ชลบุรี 20230</t>
  </si>
  <si>
    <t>สามารถ สัมฤทธิ์</t>
  </si>
  <si>
    <t>106 ม.5 ต.บ้านเหลื่อม อ.บ้านเหลื่อม จ.นครราชสีมา 30350</t>
  </si>
  <si>
    <t>ณัฐพงษ์ ตลับทอง</t>
  </si>
  <si>
    <t>243/218 ม.6 ต. อ.ศรีราชา จ.ชลบุรี 20230</t>
  </si>
  <si>
    <t>นลินี ปานบางปูน</t>
  </si>
  <si>
    <t>1/3 ม.8 ต.บางละมุง อ.บางละมุง จ.ชลบุรี 20150</t>
  </si>
  <si>
    <t>อานนท์ สมุติรัมย์</t>
  </si>
  <si>
    <t xml:space="preserve">214/169 ชุมชนเคหะแหลมฉบัง ม.6 ต.บางละมุง อ.บางละมุง จ.ชลบุรี 20150 </t>
  </si>
  <si>
    <t>เจนณรงค์ หาญศึก</t>
  </si>
  <si>
    <t>148 ม.1 ต.ทุ่งสุขลา อ.ศรีราชา จ.ชลบุรี 20230</t>
  </si>
  <si>
    <t>มารุต รสชุ่ม</t>
  </si>
  <si>
    <t>9 ม.7 ต.แก่งกระจาน อ.แก่งกระจาน จ.เพชรบุรี 67170</t>
  </si>
  <si>
    <t>ธีรยุทธ อ่วมพายัพ</t>
  </si>
  <si>
    <t>105 ม.6  ต.ทุ่งสุขลา อ.ศรีราชา จ.ชลบุรี 20230</t>
  </si>
  <si>
    <t>ธนเสฏฐ์ วานิชสรรพ์</t>
  </si>
  <si>
    <t>Golden view 633 ม.11 ต.หนองขาม อ.ศรีราชา จ.ชลบุรี 20230</t>
  </si>
  <si>
    <t>ไพศาล ธาตุไพบูลย์</t>
  </si>
  <si>
    <t>037 ต.บางละมุง อ.บางละมุง จ.ชลบุรี 20150</t>
  </si>
  <si>
    <t>อภิรักษ์ ดวงหล้า</t>
  </si>
  <si>
    <t>การเคหะแหลมฉบัง 220/049 ม.6 ต.บางละมุง อ.บางละมุง จ.ชลบุรี 20150</t>
  </si>
  <si>
    <t>ประสงค์ จันสาทอง</t>
  </si>
  <si>
    <t>888/28 ม.8 ต.บางละมุง อ.บางละมุง จ.ชลบุรี 20150</t>
  </si>
  <si>
    <t>จิรเดช นกออก</t>
  </si>
  <si>
    <t xml:space="preserve"> หมู่ 10 ต.สุขลา อ.ศรีราชา จ.ชลบุรี 20230</t>
  </si>
  <si>
    <t>ดาราวรรณ แย้มมี</t>
  </si>
  <si>
    <t>158/86 ม.12 ต.ทุ่งสุขลา อ.ศรีราชา จ.ชลบุรี 20230</t>
  </si>
  <si>
    <t>วงศกร ชาชมราช</t>
  </si>
  <si>
    <t>52 หมู่ 5 ต.เหล่าโพนค้อ อ.โคกศรีสุพรรณ จ.สกลนคร 47280</t>
  </si>
  <si>
    <t>จักรี บุญประเสริฐ</t>
  </si>
  <si>
    <t>633​ ม.11​ ซ.มิตรสัมพันธ์ ถ.หนองคล้าใหม่​ ต.หนองขาม​ อ.ศรีราชา จ.ชลบุรี​ 20230</t>
  </si>
  <si>
    <t>สิทธิพล เพ็งเจ๊ก</t>
  </si>
  <si>
    <t>68/6 ม.10 ต.อ.ศรีราชา อ.ทุ่งสุขลา จ.ชลบุรี 20230</t>
  </si>
  <si>
    <t>อดิศักดิ์ ครุฑมงคล</t>
  </si>
  <si>
    <t>116/6 ม.2 ต.บ้านสวน อ.เมือง  จ. ชลบุรี 20000</t>
  </si>
  <si>
    <t>อภิชัย นามโยธี</t>
  </si>
  <si>
    <t>104/300 ม.2 ต.บึง อ.ศรีราชา จ.ชลบุรี 20230</t>
  </si>
  <si>
    <t>พัชราภรณ์ สุทธิประเสริฐ</t>
  </si>
  <si>
    <t>142 ม.3 ต.เกาะสำโรง อ.เมือง จ.กาญจบุรี 71000</t>
  </si>
  <si>
    <t>นราธิป ธิบดี</t>
  </si>
  <si>
    <t>71/257 ม.4 ต.บางละมุง อ.บางละมุง จ.ชลบุรี 20150</t>
  </si>
  <si>
    <t>เจษณีย์ หงส์พันธ์</t>
  </si>
  <si>
    <t>72/12 ม.8 ต.บ้านทุ่งกราด อ.บางละมุง จ.ชลบุรี 20150</t>
  </si>
  <si>
    <t>กัญจมาลย์ บัวจันทร์</t>
  </si>
  <si>
    <t>99/27 ม.6 ต.บางละมุง อ.บางละมุง จ.ชลบุรี 20150</t>
  </si>
  <si>
    <t>ปนัดดา ชาดง</t>
  </si>
  <si>
    <t>181/400 ม.8 ต.ทุ่งสุขลา อ.ศรีราชา จ.ชลบุรี 20230</t>
  </si>
  <si>
    <t>จันสุดา ประทา</t>
  </si>
  <si>
    <t>สุณี มุทธามณีเลิศ</t>
  </si>
  <si>
    <t>25 ซ.จันทร์ 18/7 แยก9 ต.ทุ่งวัดดอน อ.สาทร จ.กรุงเทพมหานคร 10120</t>
  </si>
  <si>
    <t>ธิเบศร์ คุรุรัมย์</t>
  </si>
  <si>
    <t xml:space="preserve">ขุมทรัพย์อพาร์ทเมนต์ 41/3 หมู่3 ต.บางละมุง อ.บางละมุง จ.ชลบุรี 20150 </t>
  </si>
  <si>
    <t>ขวัญฤดี พรหมพันใจ</t>
  </si>
  <si>
    <t>999/182 ม.7 ต.บางละมุง อ.บางละมุง จ.ชลบุรี 20150</t>
  </si>
  <si>
    <t>อัษฎา หลอดเพชร</t>
  </si>
  <si>
    <t>3/3 ม.9 ต.ทุ่งสุขลา อ.ศรีราชา จ.ชลบุรี 20230</t>
  </si>
  <si>
    <t>วินัย จันทร์หล้า</t>
  </si>
  <si>
    <t>155/15 ม.3 ต.บึง อ.ศรีราชา จ.ชลบุรี 64231</t>
  </si>
  <si>
    <t>สมเจริญ เจริญรอย</t>
  </si>
  <si>
    <t>503/230 ม.11 ต.หนองขาม อ.ศรีราชา จ.ชลบุรี 20230</t>
  </si>
  <si>
    <t>พิทยา สุนทราภัย</t>
  </si>
  <si>
    <t>3/8 ม.2 ต.สุรศักดิ์ อ.ศรีราชา จ.ชลบุรี 20110</t>
  </si>
  <si>
    <t>ณศิภัสร์ พุฒิชวัลสิทธิ์</t>
  </si>
  <si>
    <t>54 ม.5 ต.ท่าข้าม อ.สามพราน จ.นครปฐม 73110</t>
  </si>
  <si>
    <t>ศิวดล ขำเมือง</t>
  </si>
  <si>
    <t>10/6 ม.1 ต.หนองปรือ อ.บางละมุง จ.ชลบุรี 20150</t>
  </si>
  <si>
    <t>สุรศักดิ์ แจนโกนดี</t>
  </si>
  <si>
    <t>88/4 บ้านทุ่งกราด ต.บางละมุง อ.บางละมุง จ.ชลบุรี 20150</t>
  </si>
  <si>
    <t>อาม้าล อาลีมีนทร์</t>
  </si>
  <si>
    <t>19/8 ม.10 ต.หนองปรือ อ.บางละมุง จ.ชลบุรี 20150</t>
  </si>
  <si>
    <t>ธานุวัฒน์ โสภา</t>
  </si>
  <si>
    <t>103/21 ม.2 ต.ทุ่งสุขลา อ.ศรีราชา จ.ชลบุรี 20230</t>
  </si>
  <si>
    <t>ยุพิน มายัง</t>
  </si>
  <si>
    <t>101/243 ม.10 ต.บึง อ.ศรีราชา จ.ชลบุรี 20230</t>
  </si>
  <si>
    <t>รุ่งอรุณ บำรุงเพชร</t>
  </si>
  <si>
    <t>เคหะแหลมฉบัง ม.6 ต.บางละมุง อ.ศรีราชา จ.ชลบุรี 20150</t>
  </si>
  <si>
    <t>ชนาเมธ แก้วพรมมา</t>
  </si>
  <si>
    <t>153/2 ม.3 ต.บ้านฉาง อ.บ้านฉาง จ.ระยอง 21130</t>
  </si>
  <si>
    <t>อำนวยชัย โพธิ์แจ้ง</t>
  </si>
  <si>
    <t>48/100 ม.7 ต.หนองปรือ อ.บางละมุง จ.ชลบุรี 20150</t>
  </si>
  <si>
    <t>กัมปนาท ดอกกุหลาบ</t>
  </si>
  <si>
    <t>202/32 ม.6 ต.ทุ่งสุขลา อ.ศรีราชา จ.ชลบุรี 20230</t>
  </si>
  <si>
    <t>กิตติพล มาตายะสี</t>
  </si>
  <si>
    <t>102/122 ม.10 ต.ทุ่งสุขลา อ.ศรีราชา จ.ชลบุรี 20230</t>
  </si>
  <si>
    <t>ณัฐชญา นราทอง</t>
  </si>
  <si>
    <t>289/26 ม.11 ต.หนองขาม อ.ศรีราชา จ.ชลบุรี 20230</t>
  </si>
  <si>
    <t>ภิตินันท์ สุขใส</t>
  </si>
  <si>
    <t>24/1 ม.5 ต.ไผ่หลวง อ.ตะพานหิน จ.พิจิตร 66110</t>
  </si>
  <si>
    <t>ชัยพิชิต ทองดี</t>
  </si>
  <si>
    <t>116/32 ม.8 ต.บางละมุง อ.บางละมุง  จ.ชลบุรี 20150</t>
  </si>
  <si>
    <t>อนุสรณ์ เสาร์ศรี</t>
  </si>
  <si>
    <t>นริศรา พุ่มแก้ว</t>
  </si>
  <si>
    <t>44/5 หมู่ 2 ต.บางเสร่ อ.สัตหีบ จ.ชลบุรี 20250</t>
  </si>
  <si>
    <t>ปอแก้ว มณีวงษ์</t>
  </si>
  <si>
    <t>133/51 ม.5 ต.บึง อ.ศรีราชา จ.ชลบุรี 20230</t>
  </si>
  <si>
    <t>ณัฐพงษ์ เลี่ยมวิลัย</t>
  </si>
  <si>
    <t>222/95 ม.6 ต.ทุ่งสุขลา อ.ศรีราชา จ.ชลบุรี 20230</t>
  </si>
  <si>
    <t>สุวิช แซวประโคน</t>
  </si>
  <si>
    <t>25/41 ม.5 ต.ทุ่งสุขลา อ.ศรีราชา จ.ชลบุรี 20230</t>
  </si>
  <si>
    <t>พงษ์สิทธิ์ สาตร์นอก</t>
  </si>
  <si>
    <t>จักรกฤช วัฒยุ</t>
  </si>
  <si>
    <t>117/105 ม.การ์เด้นโฮม2 ต.บางละมุง อ.บางละมุง จ.ชลบุรี 20150</t>
  </si>
  <si>
    <t>นราธิป เศษสุวรรณ์</t>
  </si>
  <si>
    <t>62/53 ม.10 ต.ทุ่งสุขลา อ.ศรีราชา จ.ชลบุรี 20230</t>
  </si>
  <si>
    <t>ทัศนัย ทับพิลา</t>
  </si>
  <si>
    <t>219/110 ต.บางละมุง อ.บางละมุง จ.ชลบุรี 20150</t>
  </si>
  <si>
    <t>กิตติธัช พรมเทศ</t>
  </si>
  <si>
    <t>226/02 ม.6 ต.บางละมุง อ.บางละมุง จ.ชลบุรี 20150</t>
  </si>
  <si>
    <t>นิลาวรรณ บัพตาธิ</t>
  </si>
  <si>
    <t>พิมพ์ชนก ม้วนกลาง</t>
  </si>
  <si>
    <t>59/21 ม.10 ต.ทุ่งสุขลา อ.ศรีราชา จ.ชลบุรี 20230</t>
  </si>
  <si>
    <t>ปดาพร พลศักดิ์ขวา</t>
  </si>
  <si>
    <t>นาวิน สลาประโคน</t>
  </si>
  <si>
    <t>68/24 ม.10 ต.ทุ่งสุขลา อ.ศรีราชา จ.ชลบุรี 20230</t>
  </si>
  <si>
    <t>ดารารัตน์ อัครชาติ</t>
  </si>
  <si>
    <t>71/148 ม.11 ต.ทุ่งสุขลา อ.ศรีราชา จ.ชลบุรี 20230</t>
  </si>
  <si>
    <t>ประชุมขวัญ บรรทับ</t>
  </si>
  <si>
    <t>101/176 ม.10 ต.บึง อ.ศรีราชา จ.ชลบุรี 20230</t>
  </si>
  <si>
    <t>จรรยา จวงจันทร์</t>
  </si>
  <si>
    <t>102/124 ม.10 ต.ทุ่งสุขลา อ.สรีราชา จ.ชลบุรี 20230</t>
  </si>
  <si>
    <t>นงนุช งามกิ่ง</t>
  </si>
  <si>
    <t xml:space="preserve">55/42 หมู่ 10 ต.ทุ่งสุขลา อ. จ. </t>
  </si>
  <si>
    <t>แสงเดือน อินทร์สำราญ</t>
  </si>
  <si>
    <t>55/11 ม.10 ต.ทุ่งสุขลา อ.ศรีราชา จ.ชลบุรี 20230</t>
  </si>
  <si>
    <t>อรทัย คล่องชัยภูมิ</t>
  </si>
  <si>
    <t>121/48 หมู่ 9 ต.ทุ่งสุขลา อ.ศรีราชา จ.ชลบุรี 20230</t>
  </si>
  <si>
    <t>กฤษฎา เพ็งพินิจ</t>
  </si>
  <si>
    <t>159/65 ต.สุรศักดิ์ อ.ศรีราชา จ.ชลบุรี 20230</t>
  </si>
  <si>
    <t>พสธร ศรีพิทักษ์</t>
  </si>
  <si>
    <t>36 ม.3 ต.หนองบัว อ.กันทรารมย์ จ.ศรีสะเกษ 33130</t>
  </si>
  <si>
    <t>พัชรพล พันธ์ศรี</t>
  </si>
  <si>
    <t>127/6 ต.ทุ่งสุขลา อ.ศรีราชา จ.ชลบุรี 20230</t>
  </si>
  <si>
    <t>เกรียงไกร สีใส</t>
  </si>
  <si>
    <t>28/52 ม.8 ต.บางละมุง อ.บางละมุง จ.ชลบุรี 20150</t>
  </si>
  <si>
    <t>ธีรศักดิ์ บ่อทอง</t>
  </si>
  <si>
    <t>220/124 ต.บางละมุง อ.บางละมุง จ.ชลบุรี 20150</t>
  </si>
  <si>
    <t>สาโรช ศรีฤทธิ์</t>
  </si>
  <si>
    <t>291/5 ม.10 ต.ทุ่งสุขลา อ.ศรีราชา จ.ชลบุรี 20230</t>
  </si>
  <si>
    <t>สุรศักดิ์ บุตรงาม</t>
  </si>
  <si>
    <t>78/43ม.6 ต.บางละมุง อ.บางละมุง จ.ชลบุรี 20150</t>
  </si>
  <si>
    <t>วิศวกร ทิพย์นัส</t>
  </si>
  <si>
    <t>111/7-8 ม.5 ต.บึง อ.ศรีราชา จ.ชลบุรี 20230</t>
  </si>
  <si>
    <t>ธนภัทร นรม่วง</t>
  </si>
  <si>
    <t>1/111 ม.8 ต.บางละมุง อ.บางละมุง  จ.ชลบุรี 20150</t>
  </si>
  <si>
    <t>รุ่งฤดี เลี้ยงกระบือ</t>
  </si>
  <si>
    <t>248/125 ต.หนองขาม อ.ศรีราชา จ.ชลบุรี 20230</t>
  </si>
  <si>
    <t>ทินกร เมืองน้อย</t>
  </si>
  <si>
    <t>64/1 ม.6 ต.บางละมุง อ.บางละมุง จ.ชลบุรี 20150</t>
  </si>
  <si>
    <t>ธีรพงค์ แทนมูล</t>
  </si>
  <si>
    <t>220/146 ม.12 ต.ทุ่งสุขลา อ.ศรีราชา จ.ชลบุรี 20230</t>
  </si>
  <si>
    <t>ภัทรพล เครือสี</t>
  </si>
  <si>
    <t>226/5 ม.6 ต.บางละมุง อ.บางละมุง จ.ชลบุรี 20150</t>
  </si>
  <si>
    <t>ศศิยากร เขียวอ่อน</t>
  </si>
  <si>
    <t>59/5 ม.3 ต.ทุ่งสุขลา อ.ศรีราชา จ.ชลบุรี 20230</t>
  </si>
  <si>
    <t>ณัฐวุฒิ ภูสีนาค</t>
  </si>
  <si>
    <t>221/122 ม.6 ต.บางละมุง อ.บางละมุง จ.ชลบุรี 20150</t>
  </si>
  <si>
    <t>วีระชล เรือนทอง</t>
  </si>
  <si>
    <t>มนูญ อาจมนตรี</t>
  </si>
  <si>
    <t>2 หมู่ที่ 3 ต.ตะเคียนเตี้ย อ.บางละมุง จ.ชลบุรี 20150</t>
  </si>
  <si>
    <t>มินตรา สาริการินทร์</t>
  </si>
  <si>
    <t>176 ม.5 ต.หนองขาม อ.ศรีราชา จ.ชลบุรี 20230</t>
  </si>
  <si>
    <t>นันทวัฒน์ นิ่มดี</t>
  </si>
  <si>
    <t>199/2 ม.8 ต.บางละมุง อ.บางละมุง จ.ชลบุรี 20150</t>
  </si>
  <si>
    <t>เกรียงไกร เกาะทะเล</t>
  </si>
  <si>
    <t>133/14 ม.9 ต.ทุ่งสุขลา อ.ศรีราชา จ.ชลบุรี 20230</t>
  </si>
  <si>
    <t>ศิริลักษณ์ เสนาจ</t>
  </si>
  <si>
    <t>68/1 ม.4 ต.เกษตรสุวรรณ อ.บ่อทอง จ.ชลบุรี 20270</t>
  </si>
  <si>
    <t>พิพัฒน์ หอมดวง</t>
  </si>
  <si>
    <t>833/117 ไอคอนโด ตึก A4 ซ.ลาซาล ต.บางนา อ.บางนา จ.กรุงเทพฯ 10260</t>
  </si>
  <si>
    <t>สุทธิดา คชยาพันธ์</t>
  </si>
  <si>
    <t>11/9 ม.9  ต.ทุ่งสุขลา อ.ศรีราชา จ.ชลบุรี 20230</t>
  </si>
  <si>
    <t>อนุชิต แก้วบำรุง</t>
  </si>
  <si>
    <t>232/23 ม.6 ต.ทุ่งสุขลา อ.ศรีราชา จ.ชลบุรี 20230</t>
  </si>
  <si>
    <t>เมธี สันประโคน</t>
  </si>
  <si>
    <t>20/35 ม.9 ต.ทุ่งสุขลา อ.ศรีราชา จ.ชลบุรี 20230</t>
  </si>
  <si>
    <t>พีรวัฒน์ เหล่าก้อนคำ</t>
  </si>
  <si>
    <t>4/20 ม.10 ต.ทุ่งสุขลา อ.ศรีราชา จ.ชลบุรี 20230</t>
  </si>
  <si>
    <t>นิธิศ สาคำไม</t>
  </si>
  <si>
    <t>คชยาพันธ์</t>
  </si>
  <si>
    <t>166/4 ม.7 ต.ทุ่งสุขลา อ.ศรีราชา จ.ชลบุรี 20230</t>
  </si>
  <si>
    <t>นายรุ่งโรจน์ ศรีมุกดาห์</t>
  </si>
  <si>
    <t>456/239 ม.4 ต.สุรศักดิ์ อ.ศรีราชา จ.ชลบุรี 20110</t>
  </si>
  <si>
    <t>พลวัต รัตนอนุชาติกมล</t>
  </si>
  <si>
    <t>144/24 ม.9 ต.ทุ่งสุขลา อ.ศรีราชา จ.ชลบุรี 20230</t>
  </si>
  <si>
    <t>รถจักรยานยนต์</t>
  </si>
  <si>
    <t>วิทวัฒน์ สายหล้า</t>
  </si>
  <si>
    <t>135/1 ม.10 ต.เวียงมอก อ.เถิน จ.ลำปาง 52160</t>
  </si>
  <si>
    <t>เอกราช แก้วสอาด</t>
  </si>
  <si>
    <t>64/76 ม.1 ต.บึง อ.ศรีราชา จ.ชลบุรี 20230</t>
  </si>
  <si>
    <t>กฤษณะ เบ้าที</t>
  </si>
  <si>
    <t>288/74 ม.5 ต.บึง อ.ศรีราชา จ.ชลบุรี 20230</t>
  </si>
  <si>
    <t>ฐิติพงศ์ สิทธิคำ</t>
  </si>
  <si>
    <t>47/49 ม.10 ต.ทุ่งสุขลา อ.ศรีราชา จ.ชลบุรี 20230</t>
  </si>
  <si>
    <t>อรรถพร ขันปล้อง</t>
  </si>
  <si>
    <t>95 ม.3 ต.ห้วยมุ่น อ.น้ำปาด จ.อุตรดิตถ์ 53110</t>
  </si>
  <si>
    <t>สุริยา  สิงโสภา</t>
  </si>
  <si>
    <t>2/211 ม.10 ต.ทุ่งสุขลา อ.ศรีราชา จ.ชลบุรี 20230</t>
  </si>
  <si>
    <t>ชาญวิทย์  จารัตน์</t>
  </si>
  <si>
    <t>213/17 หมู่บ้านเอื้ออาทรไร่กล้วย ต.สุรศักดิ์ อ.ศรีราชา  จ.ชลบุรี 20110</t>
  </si>
  <si>
    <t>จิราภรณ์ ขันติรมย์</t>
  </si>
  <si>
    <t>90/6 ม.7 ต.บางละมุง อ.บางละมุง  จ.ชลบุรี 20150</t>
  </si>
  <si>
    <t>เบญจวรรณ ธรรมวงษ์</t>
  </si>
  <si>
    <t>รายวัน</t>
  </si>
  <si>
    <t>เบญจพร พิศจาร</t>
  </si>
  <si>
    <t>16/3 ต.ภูฟ้า อ.บ่อเกลือ จ.น่าน 55220</t>
  </si>
  <si>
    <t>เบญจมาภรณ์ ทัศเทียม</t>
  </si>
  <si>
    <t>กัลยารัตน์ มะนาวหวาน</t>
  </si>
  <si>
    <t>กวินทิพย์ เป็นรัมย์</t>
  </si>
  <si>
    <t>38/8-10 ม.6 ต.บางละมุง อ.บางละมุง จ.ชลบุรี 20150</t>
  </si>
  <si>
    <t>ยลดา มีควร</t>
  </si>
  <si>
    <t>144/39 ม.9 ต.ทุ่งสุขลา อ.ศรีราชา จ.ชลบุรี 20230</t>
  </si>
  <si>
    <t>หวานใจ คงงาม</t>
  </si>
  <si>
    <t>115/1 ม.2 ต.ทุ่งสุขลา อ.ศรีราชา จ.ชลบุรี 20230</t>
  </si>
  <si>
    <t>มานิต ขำเนตร</t>
  </si>
  <si>
    <t>79/80 ม.9 ต.ทุ่งสุขลา อ.ศรีราชา จ.ชลบุรี 20230</t>
  </si>
  <si>
    <t>โฉมยงค์ ฉ่ำโต</t>
  </si>
  <si>
    <t>สุนทรี บุตรนัย</t>
  </si>
  <si>
    <t>1/111 ม.8 ต.บางละมุง อ.บางละมุง จ.ชลบุรี 20150</t>
  </si>
  <si>
    <t>พิชญ์สินี นิลรัตน์</t>
  </si>
  <si>
    <t>272/14 ม.12 ต.ทุ่งสุขลา อ.ศรีราชา จ.ชลบุรี 20230</t>
  </si>
  <si>
    <t>เอกรินทร์ หนูพุ่ม</t>
  </si>
  <si>
    <t>เสงียบ เกตกาญจน์</t>
  </si>
  <si>
    <t>247/39 ม.2 ต.สุรศักดิ์ อ.ศรีราชา จ.ชลบุรี 20230</t>
  </si>
  <si>
    <t>วิชุดา เพ็งแจ่ม</t>
  </si>
  <si>
    <t>สุนิสา จันทร์ธรรมา</t>
  </si>
  <si>
    <t>รุ่งรัตน์ ชุ่มดอนไพร</t>
  </si>
  <si>
    <t>55 ม.4 ต.กระตีบ อ.กำแพงแสน จ.นครปฐม 73180</t>
  </si>
  <si>
    <t>วัชรี ชินวงศ์</t>
  </si>
  <si>
    <t>23/65 ม.6 ต.บางละมุง อ.บางละมุง จ.ชลบุรี 20150</t>
  </si>
  <si>
    <t>ถาวร มะสิการะเต</t>
  </si>
  <si>
    <t>33/30 ม.4 ต.บางละมุง อ.บางละมุง จ.ชลบุรี 20150</t>
  </si>
  <si>
    <t>จตุรวิทย์ นิลทะราช</t>
  </si>
  <si>
    <t>สุวรรณี คัมภีระ</t>
  </si>
  <si>
    <t>43 ม.6 ต.บัวขาว อ.กุฉินารายณ์ จ.กาฬสินธุ์ 46110</t>
  </si>
  <si>
    <t>จันทนี ศิริบุตร</t>
  </si>
  <si>
    <t>66/12 ม.8 ต.บางละมุง อ.บางละมุง จ.ชลบุรี 20150</t>
  </si>
  <si>
    <t>ชนินาถ ศรีจันทรสอน</t>
  </si>
  <si>
    <t>194/58 หมู่ 8 ต.ทุ่งสุขลา อ.ศรีราชา จ.ชลบุรี 20230</t>
  </si>
  <si>
    <t>สุภาวดี คำพันธ์</t>
  </si>
  <si>
    <t>79/9 ม.2 ต.ทุ่งสุขลา อ.ศรีราชา จ.ชลบุรี 20230</t>
  </si>
  <si>
    <t>สุกัญญา จักราช</t>
  </si>
  <si>
    <t>125/32-34 ม.10 ต.ทุ่งสุขลา อ.ศรีราชา จ.ชลบุรี 20230</t>
  </si>
  <si>
    <t>อุทัยวรรณ ฦาเวทย์</t>
  </si>
  <si>
    <t>158/81 ม.12 ต.ทุ่งสุขลา อ.ศรีราชา จ.ชลบุรี 20230</t>
  </si>
  <si>
    <t>เจนจิรา แพงคำอ้วน</t>
  </si>
  <si>
    <t>วิสุทธิณี เศษมาก</t>
  </si>
  <si>
    <t>114/70 หมู่ 2 ต.ทุ่งสุขลา อ.ศรีราชา จ.ชลบุรี 20230</t>
  </si>
  <si>
    <t>จุฑารัตน์ ปาเส</t>
  </si>
  <si>
    <t>222/55 หมู่10 ต.ทุ่งสุขลา อ.ศรีราชา จ.ชลบุรี 20230</t>
  </si>
  <si>
    <t>แสงเดือน คุ้มเขว้า</t>
  </si>
  <si>
    <t>83/24 ม.2 ต.ทุ่งสุขลา อ.ศรีราชา จ.ชลบุรี 20230</t>
  </si>
  <si>
    <t>ศรีสุวรรณ เทียมทัศน์</t>
  </si>
  <si>
    <t>46/84ม.1 ต.บึง อ.ศรีราชา จ.ชลบุรี 20230</t>
  </si>
  <si>
    <t>อรนภา เฉื่อยกลาง</t>
  </si>
  <si>
    <t>49/6 ม.4 ต.บางละมุง อ.บางละมุง จ.ชลบุรี 20150</t>
  </si>
  <si>
    <t>รัตติกาล กองพรมฤทธิ์</t>
  </si>
  <si>
    <t>38/4 ม.8 ต.บางละมุง อ.บางละมุง จ.ชลบุรี 20150</t>
  </si>
  <si>
    <t>เกศชรินทร์ สันโดษ</t>
  </si>
  <si>
    <t>66/4 ม.10 ต.ทุ่งสุขลา อ.ศรีราชา จ.ชลบุรี 20230</t>
  </si>
  <si>
    <t>ปราโมทย์ สิงหะทัต</t>
  </si>
  <si>
    <t>106/48 ม.10 ต.หนองปรือ อ.บางละมุง จ.ชลบุรี 20150</t>
  </si>
  <si>
    <t>อัฉราภรณ์ เชียดรัมย์</t>
  </si>
  <si>
    <t>29/1 ต.บางละมุง อ.บางละมุง จ.ชลบุรี 20150</t>
  </si>
  <si>
    <t>เกศริน เทวะเส</t>
  </si>
  <si>
    <t>62/5 หมู่9 ต.ทุ่งสุขลา อ.ศรีราชา จ.ชลบุรี 20230</t>
  </si>
  <si>
    <t>ลำไย ภูทองดี</t>
  </si>
  <si>
    <t>582/221 ม.11 ต.หนองขาม อ.ศรีราชา จ.ชลบุรี 20230</t>
  </si>
  <si>
    <t>วาสนา ธิบดี</t>
  </si>
  <si>
    <t>84/10 ม.12 ต.หนองปรือ อ.บางละมุง จ.ชลบุรี 20150</t>
  </si>
  <si>
    <t>กนกพร ดีโสม</t>
  </si>
  <si>
    <t>วรรณพร พลขุนทด</t>
  </si>
  <si>
    <t xml:space="preserve">72/12 ม.8 ต.บางละมุง อ.บางละมุง จ.ชลบุรี 20150 </t>
  </si>
  <si>
    <t>วรรณภา อรัญทอง</t>
  </si>
  <si>
    <t>183/15-16 ม.2 ซ.12 ต.บางละมุง อ.บางละมุง  จ.ชลบุรี 20150</t>
  </si>
  <si>
    <t>ณัชชา ธิบดี</t>
  </si>
  <si>
    <t>26/16 ม.8 ต.โป่ง อ.บางละมุง จ.ชลบุรี 20150</t>
  </si>
  <si>
    <t>จิรสุดา ประสงค์</t>
  </si>
  <si>
    <t>888/28 ต.บางละมุง อ.บางละมุง จ.ชลบุรี 20150</t>
  </si>
  <si>
    <t>รพีพรรณ เทนอิสระ</t>
  </si>
  <si>
    <t>หมู่บ้านลภัสรดา 5 ม.2 ต.ตะเตียนเตี้ย อ.บางละมุง จ.ชลบุรี 20150</t>
  </si>
  <si>
    <t>บุษกร คำนาค</t>
  </si>
  <si>
    <t>61 ม.7 ต.ตะเฆ่ อ.หนองบัวระเหว จ.ชัยภูมิ 36250</t>
  </si>
  <si>
    <t>พรทิพา สัตย์รัมย์</t>
  </si>
  <si>
    <t>115/292 ม.5 ต.สุรศักดิ์ อ.ศรีราชา จ.ชลบุรี 20110</t>
  </si>
  <si>
    <t>สุนิสา แก้วนงนุช</t>
  </si>
  <si>
    <t>ทุ่งกราด ต.บางละมุง อ.บางละมุง จ.ชลบุรี 20150</t>
  </si>
  <si>
    <t>อาทิตยา คำสุพรม</t>
  </si>
  <si>
    <t>135/33 ม.9 ต.ทุ่งสุขลา อ.ศรีราชา จ.ชลบุรี 20230</t>
  </si>
  <si>
    <t>วาสนา วงระบำ</t>
  </si>
  <si>
    <t>106/2 ม.4 ต.บึง อ.ศรีราชา จ.ชลบุรี 20230</t>
  </si>
  <si>
    <t>ชนิดา สุขฟู</t>
  </si>
  <si>
    <t>144 ม.9 ต.นาจารย์ อ.เมือง จ.กาฬสินธุ์ 46000</t>
  </si>
  <si>
    <t>สตรีรัตน์ ปานจิตร์</t>
  </si>
  <si>
    <t>5/16 ม.6 ต.หนองปลาไหล อ.บางละมุง จ.ชลบุรี 20150</t>
  </si>
  <si>
    <t>จิราวรรณ ดวงจันทร์</t>
  </si>
  <si>
    <t>89 ม.10 ต.ทุ่งสุขลา อ.ศรีราชา จ.ชลบุรี 20230</t>
  </si>
  <si>
    <t>เกวรินทร์ ประสงค์ดี</t>
  </si>
  <si>
    <t>221/033 ต.บางละมุง อ.บางละมุง จ.ชลบุรี 20150</t>
  </si>
  <si>
    <t>บุษบา จันทร์หงษา</t>
  </si>
  <si>
    <t>63/61 ม.2 ต.ตะเคียนเตี้ย อ.บางละมุง จ.ชลบุรี 20150</t>
  </si>
  <si>
    <t>จิราพร โสภิรักษ์</t>
  </si>
  <si>
    <t>219/207 ม.6 ต.บางละมุง อ.บางละมุง จ.ชลบุรี 20150</t>
  </si>
  <si>
    <t>อริสา เพ็ญโคกสูง</t>
  </si>
  <si>
    <t>กวินทิพย์แพาทเม้นท์ ซ.ไพเราะ ต.ทุ่งสุขลา อ.ศรีราชา จ.ชลบุรี 20230</t>
  </si>
  <si>
    <t>อาทร พิมนาม</t>
  </si>
  <si>
    <t>178/20 ม.8 ต.บางละมุง อ.บางละมุง จ.ชลบุรี</t>
  </si>
  <si>
    <t>นงลักษณ์ ศรีเกษ</t>
  </si>
  <si>
    <t>178/20 ม.8 ต.บางละมุง อ.บางละมุง จ.ชลบุรี 20150</t>
  </si>
  <si>
    <t>วรรณษา บุตรตาภักดี</t>
  </si>
  <si>
    <t>345/42 ม.3 ต.สุรศักดิ์ อ.ศรีราชา จ.ชลบุรี 20110</t>
  </si>
  <si>
    <t>สุดา ดอนเส</t>
  </si>
  <si>
    <t>570/140 ม.11 ต.หนองขาม อ.ศรีราชา จ.ชลบุรี 20230</t>
  </si>
  <si>
    <t>อรทัย ฝ่ายอาสา</t>
  </si>
  <si>
    <t>219/076 ม.6 ต.บางละมุง อ.บางละมุง จ.ชลบุรี 20150</t>
  </si>
  <si>
    <t>วุฒินันท์ แสงจันทร์</t>
  </si>
  <si>
    <t>1/8 ม.8 ต.บางละมุง อ.บางละมุง  จ.ชลบุรี 20150</t>
  </si>
  <si>
    <t>เกศกนก สีนาวงษ์</t>
  </si>
  <si>
    <t>114/107 ม.2 ต.ทุ่งสุขลา อ.ศรีราชา จ.ชลบุรี 20230</t>
  </si>
  <si>
    <t>วิทวัส แก้วศรีรัตน์</t>
  </si>
  <si>
    <t>113/143 หมู่ที่ 2 ซ.ตะเคียนเตรี้ย8 ต.ตะเคียนเตี้ย อ.บางละมุง จ.ชลบุรี 20150</t>
  </si>
  <si>
    <t>อรัญ วงษ์ลคร</t>
  </si>
  <si>
    <t>221 ม.6 ต.บางละมุง อ.บางละมุง จ.ชลบุรี 20150</t>
  </si>
  <si>
    <t>กรวรรณ เคนทรภักดิ์</t>
  </si>
  <si>
    <t>135/42 ม.10 ต.ทุ่งสุขลา อ.ศรีราชา จ.ชลบุรี 20230</t>
  </si>
  <si>
    <t>รัฐพล สายโงน</t>
  </si>
  <si>
    <t>221/125 เคหะแหลมฉบัง ม.6 ต.บางละมุง อ.บางละมุง จ.ชลบุรี 20150</t>
  </si>
  <si>
    <t>สุชาดา ยมรัมย์</t>
  </si>
  <si>
    <t>102/72 ม.10 ต.ทุ่งสุขลา อ.ศรีราชา จ.ชลบุรี 20230</t>
  </si>
  <si>
    <t>ช่อผกา กลุ่มยา</t>
  </si>
  <si>
    <t xml:space="preserve">190/49 ม.6 ต.บางละมุง อ.บางละมุง จ.ชลบุรี 20150 </t>
  </si>
  <si>
    <t>อำพัน แก้วเกิด</t>
  </si>
  <si>
    <t>66/1 ม.6 ต.บางละมุง อ.บางละมุง จ.ชลบุรี 20150</t>
  </si>
  <si>
    <t>วราภรณ์ อินทสุข</t>
  </si>
  <si>
    <t>121/407 มบ.พฤกษา ม.1 ต.ทุ่งสุขลา อ.ศรีราชา จ.ชลบุรี 20230</t>
  </si>
  <si>
    <t>ภัทราวดี ลาดบัวขาว</t>
  </si>
  <si>
    <t>241/109 ม.5 ต.บึง อ.ศรีราชา จ.ชลบุรี 20230</t>
  </si>
  <si>
    <t>วิลัยพร จันทะคาม</t>
  </si>
  <si>
    <t>322/2 ม.9 ต.จีกแดก อ.พนมดงรัก จ.สุรินทร์ 32140</t>
  </si>
  <si>
    <t>แพรทอง กลิ่นขจร</t>
  </si>
  <si>
    <t>11 ม.10 ต.ทุ่งสุขลา อ.ศรีราชา จ.ชลบุรี 20230</t>
  </si>
  <si>
    <t>ศักดิ์สิทธิ์ ศรีบุญเรือง</t>
  </si>
  <si>
    <t>219/154 การเคหะแหลมฉบัง ต.บางละมุง อ.บางละมุง จ.ชลบุรี 20150</t>
  </si>
  <si>
    <t>สุริญัณ  อรัญโสตร</t>
  </si>
  <si>
    <t>97 ม.7 ต.ไม้เค็ด อ.เมือง จ.ปราจีนบุรี 25230</t>
  </si>
  <si>
    <t>รพีภัทธ์  สนิทชัย</t>
  </si>
  <si>
    <t>126/153 ม.7 ต.สุรศักดิ์ อ.ศรีราชา จ.ชลบุรี 20110</t>
  </si>
  <si>
    <t>วิชิต ขำเนตร</t>
  </si>
  <si>
    <t>การเคหะแหลมฉบัง ม.6 ต.บางละมุง อ.บางละมุง จ.ชลบุรี 20150</t>
  </si>
  <si>
    <t>หมายเหตุ: พนักงานที่เดินทางด้วยรถรับ-ส่งของบริษัท จำนวน 139 คน</t>
  </si>
  <si>
    <t xml:space="preserve">เชื้อเพลิง </t>
  </si>
  <si>
    <t xml:space="preserve">อัตราการสิ้นเปลืองเชื้อเพลิง </t>
  </si>
  <si>
    <t>แหล่งข้อมูลอ้างอิง</t>
  </si>
  <si>
    <t xml:space="preserve">km/L </t>
  </si>
  <si>
    <t>กรมควบคุมมลพิษ, 2551</t>
  </si>
  <si>
    <t>American petroleum institute, 2004</t>
  </si>
  <si>
    <t>รถตู้โดยสาร</t>
  </si>
  <si>
    <t>รถโดยสารประจำทาง</t>
  </si>
  <si>
    <t xml:space="preserve">รถจักรยานยนต์4 จังหวะเฉลี่ยทุกขนาด </t>
  </si>
  <si>
    <t xml:space="preserve">เบนซิน </t>
  </si>
  <si>
    <t>รถไฟฟ้า</t>
  </si>
  <si>
    <t>ไฟฟ้า</t>
  </si>
  <si>
    <t>kwh/km</t>
  </si>
  <si>
    <t>Siemens. 2012. High speed from Siemens: Velaro E Model. [Online]. Available: http://www.siemens.com</t>
  </si>
  <si>
    <t>เรือความเร็วสูง (200 แรงม้า 2 จังหวะ) ผู้โดยสารไม่เกิน 15 ท่าน</t>
  </si>
  <si>
    <t>PCR บริการการท่องเที่ยว, 2566</t>
  </si>
  <si>
    <t xml:space="preserve">รถยนต์ขนาดใหญ่(2000 cc) </t>
  </si>
  <si>
    <t xml:space="preserve">รถยนต์ขนาดกลาง (1800 cc) </t>
  </si>
  <si>
    <t xml:space="preserve">รถยนต์ขนาดกลาง (1600 cc) </t>
  </si>
  <si>
    <t xml:space="preserve">รถยนต์ขนาดเล็ก (1500 cc) </t>
  </si>
  <si>
    <t>Invoice No.</t>
  </si>
  <si>
    <t>Date</t>
  </si>
  <si>
    <t>ตำแหน่งที่ตั้งสถานที่รับตู้</t>
  </si>
  <si>
    <t>ตำแหน่งที่ตั้งสถานที่คืนตู้</t>
  </si>
  <si>
    <t>ระยะทางจากสถานที่รับตู้ - โรงงาน - สถานที่คืนตู้ (Km.)</t>
  </si>
  <si>
    <t>หน่วย / km</t>
  </si>
  <si>
    <t>TARE WEIGHT (น้ำหนักตู้ container)</t>
  </si>
  <si>
    <t xml:space="preserve"> Verified Gross Mass</t>
  </si>
  <si>
    <t>มัลติแบกซ์</t>
  </si>
  <si>
    <t>ท่าเรือแหลมฉบัง</t>
  </si>
  <si>
    <t>Km</t>
  </si>
  <si>
    <t>รถเทรลเลอร์</t>
  </si>
  <si>
    <t>เรือบรรทุก container</t>
  </si>
  <si>
    <t>TGO-CFP-EF-(ก.ค. 65)-62 น้ำประปา-การนิคมอุตสาหกรรม</t>
  </si>
  <si>
    <t>TGO-CFP-EF-(ก.ค. 65)-60 น้ำประปา-การประปานครหลวง</t>
  </si>
  <si>
    <t>TGO-CFP-EF-(ก.ค. 65)-125 รถตู้บรรทุก 10 ล้อ วิ่งปกติ 100% Loading</t>
  </si>
  <si>
    <t>TGO-CFP-EF-(ก.ค. 65)-122 รถตู้บรรทุก 10 ล้อ วิ่งปกติ 0% Loading</t>
  </si>
  <si>
    <t>TGO-CFP-EF-(ก.ค. 65)-109 รถตู้บรรทุก 6 ล้อ ขนาดใหญ่ วิ่งปกติ 100% Loading</t>
  </si>
  <si>
    <t>TGO-CFP-EF-(ก.ค. 65)-106 รถตู้บรรทุก 6 ล้อ ขนาดใหญ่ วิ่งปกติ 0% Loading</t>
  </si>
  <si>
    <t>TGO-CFP-EF-(ก.ค. 65)-77 รถตู้บรรทุก 4 ล้อ วิ่งแบบปกติ 100% Loading</t>
  </si>
  <si>
    <t>TGO-CFP-EF-(ก.ค. 65)-74 รถตู้บรรทุก 4 ล้อ วิ่งแบบปกติ 0% Loading</t>
  </si>
  <si>
    <t>TGO-CFP-EF-(ก.ค. 65)-255 เรือบรรทุก container</t>
  </si>
  <si>
    <t># 3 จำนวน รปภ</t>
  </si>
  <si>
    <t>10. ฮฐ 7884 กทม</t>
  </si>
  <si>
    <t>ใบกำกับภาษี / ใบเสร็จรับเงิน</t>
  </si>
  <si>
    <t>11. ฒอ 2780 กทม.</t>
  </si>
  <si>
    <t>12. จก 8296 ชลบุรี</t>
  </si>
  <si>
    <t># 4 จำนวน พยาบาล</t>
  </si>
  <si>
    <t>รูปแบบการทำงานแบบ 7 วันต่อสัปดาห์</t>
  </si>
  <si>
    <t>แหล่งการปล่อยก๊าซเรือนกระจก</t>
  </si>
  <si>
    <t>ใบสั่งซื้อ/เอกสาร PM</t>
  </si>
  <si>
    <t xml:space="preserve">Kg </t>
  </si>
  <si>
    <t>ค่า</t>
  </si>
  <si>
    <t>พื้นที่กระดาษ (21.0  cm x 29.7 cm)</t>
  </si>
  <si>
    <t>cm2/แผ่น</t>
  </si>
  <si>
    <t>m2/แผ่น</t>
  </si>
  <si>
    <t>น้ำหนักกระดาษ 70 แกรม</t>
  </si>
  <si>
    <t>g/m2</t>
  </si>
  <si>
    <t>สารทำความเย็น</t>
  </si>
  <si>
    <t>เครื่องที่ใช้</t>
  </si>
  <si>
    <t>สารทำความเย็น R-32 -ครื่องปรับอากาศ</t>
  </si>
  <si>
    <t>LCB, BKK</t>
  </si>
  <si>
    <t>สายรถ</t>
  </si>
  <si>
    <t>ต้นทาง</t>
  </si>
  <si>
    <t>ปลายทาง</t>
  </si>
  <si>
    <t>จำนวนที่นั่ง</t>
  </si>
  <si>
    <t>เวลา รับ-ส่งพนักงาน</t>
  </si>
  <si>
    <t>ชนิดยานพาหนะ</t>
  </si>
  <si>
    <t>ชนิดเชื้อเพลิงของยานพาหนะ</t>
  </si>
  <si>
    <t>จำนวนเที่ยวที่วิ่ง แต่ละเดือน</t>
  </si>
  <si>
    <t>ขาเข้า</t>
  </si>
  <si>
    <t>ขาออก</t>
  </si>
  <si>
    <t>รถบัสเคหะ 1</t>
  </si>
  <si>
    <t>เซเว่น เคหะแหลมฉบัง</t>
  </si>
  <si>
    <t>บมจ. มัลติแบกซ์</t>
  </si>
  <si>
    <t>07.00</t>
  </si>
  <si>
    <t>08.10</t>
  </si>
  <si>
    <t>19.00</t>
  </si>
  <si>
    <t>02.10</t>
  </si>
  <si>
    <t>รถบัสเคหะ 2</t>
  </si>
  <si>
    <t>รถบัสกระทิงราย</t>
  </si>
  <si>
    <t>แยกกระทิงราย ต.บางละมุง</t>
  </si>
  <si>
    <t>20.10</t>
  </si>
  <si>
    <t>รถบัสศรีราชา</t>
  </si>
  <si>
    <t>ปากทางซอยวัดวังหิน ศรีราชา</t>
  </si>
  <si>
    <t>รถบัสเคหะ 17.00 น.</t>
  </si>
  <si>
    <t>17.00</t>
  </si>
  <si>
    <t>จำนวนเที่ยว</t>
  </si>
  <si>
    <t>ปริมาณน้ำมัน (L)</t>
  </si>
  <si>
    <t>ระยะทางต่อเที่ยว (ไป-กลับ) (km)</t>
  </si>
  <si>
    <t>หมายเหตุ:</t>
  </si>
  <si>
    <t xml:space="preserve">จาก บริษัท มัลติแบกซ์ จำกัด (มหาชน)  </t>
  </si>
  <si>
    <t>เซเว่นการเคหะแหลมฉบัง</t>
  </si>
  <si>
    <t>ระยะทาง  6.5 กิโลเมตร</t>
  </si>
  <si>
    <t>จำนวน 2 เที่ยว / วัน</t>
  </si>
  <si>
    <t>จากเซเว่นการเคหะแหลมฉบัง</t>
  </si>
  <si>
    <t xml:space="preserve">บริษัท มัลติแบกซ์ จำกัด (มหาชน) </t>
  </si>
  <si>
    <t>ระยะทาง 6.6 กิโลเมตร</t>
  </si>
  <si>
    <t>ปากซอยวัดวังหิน</t>
  </si>
  <si>
    <t>ระยะทาง 14.9 กิโลเมตร</t>
  </si>
  <si>
    <t>ระยะทาง 14.5 กิโลเมตร</t>
  </si>
  <si>
    <t>แยกกระทิงราย ต.บางละมุง อ.บางละมุง</t>
  </si>
  <si>
    <t>ระยะทาง 12.4 กิโลเมตร</t>
  </si>
  <si>
    <t>ระยะทาง 12.5 กิโลเมตร</t>
  </si>
  <si>
    <t>การได้มา Acetylene</t>
  </si>
  <si>
    <t>น้ำหนักประเด็นที่พิจารณา</t>
  </si>
  <si>
    <t>Source of EF</t>
  </si>
  <si>
    <t xml:space="preserve">Risk </t>
  </si>
  <si>
    <t>Oppoturnity</t>
  </si>
  <si>
    <t>ผลคะแนน</t>
  </si>
  <si>
    <t>ผลการประเมิน</t>
  </si>
  <si>
    <t xml:space="preserve">ผลการคัดเลือก </t>
  </si>
  <si>
    <t>GHG 
(tCO2eq.)</t>
  </si>
  <si>
    <t>%</t>
  </si>
  <si>
    <t>มีนัยสำคัญ</t>
  </si>
  <si>
    <t>เลือกประเมิน</t>
  </si>
  <si>
    <t>ไม่มีนัยสำคัญ</t>
  </si>
  <si>
    <t>ไม่มีนัยสำคัญ/มีนัยสำคัญ</t>
  </si>
  <si>
    <t xml:space="preserve">เกณฑ์การประเมินความมีนัยสำคัญ </t>
  </si>
  <si>
    <t>ระดับคะแนน</t>
  </si>
  <si>
    <t>มี</t>
  </si>
  <si>
    <t>ถ้า Source of GHG and Source of Ef อันใดอันหนึ่งไม่มี จะไม่ทำการประเมินต่อ</t>
  </si>
  <si>
    <t>ไม่ได้</t>
  </si>
  <si>
    <t>ได้</t>
  </si>
  <si>
    <t>Magnitude/ Size</t>
  </si>
  <si>
    <t>0&lt;GHG of Scope 3&lt;5%</t>
  </si>
  <si>
    <t>5%≤GHG of Scope 3≤40%</t>
  </si>
  <si>
    <t>&gt;40% of Scope 3</t>
  </si>
  <si>
    <t>องค์กรไม่มีเป้าประสงค์ในการลดก๊าซเรือนกระจก</t>
  </si>
  <si>
    <t>องค์กรยังไม่มีเป้าประสงค์ในการลดก๊าซเรือนกระจก แต่มีแนวทางในการลดก๊าซเรือนกระจกที่อาจประยุกต์ใช้ได้</t>
  </si>
  <si>
    <t>องค์กรมีเป้าประสงค์ในการลดก๊าซเรือนกระจกและมีแนวทางในการลดก๊าซเรือนกระจกที่ประยุกต์ใช้ได้</t>
  </si>
  <si>
    <t>Risk</t>
  </si>
  <si>
    <t>ไม่มีกฎระเบียบหรือข้อบังคับให้ต้องทำการรายงาน</t>
  </si>
  <si>
    <t>ลูกค้า/ผู้มีส่วนได้เสีย ร้องขอให้รายงาน</t>
  </si>
  <si>
    <t>กฎหมายบังคับให้รายงาน</t>
  </si>
  <si>
    <t>Opportunity</t>
  </si>
  <si>
    <t>ยังไม่มีช่องทางของโอกาสด้านธุรกิจเกี่ยวกับการรายงาน GHG</t>
  </si>
  <si>
    <t>มีโอกาสเข้าสู่ช่องทางตลาดใหม่ หากทำรายงาน GHG</t>
  </si>
  <si>
    <t>รถตู้บรรทุก 10 ล้อ 100% loading</t>
  </si>
  <si>
    <t>รถตู้บรรทุก 10 ล้อ 0% loading</t>
  </si>
  <si>
    <t>รถตู้บรรทุก 6 ล้อ ขนาดใหญ่ 100% loading</t>
  </si>
  <si>
    <t>รถตู้บรรทุก 6 ล้อ ขนาดใหญ่ 0% loading</t>
  </si>
  <si>
    <t>รถตู้บรรทุก 4 ล้อ 100% loading</t>
  </si>
  <si>
    <t>รถตู้บรรทุก 4 ล้อ 0% loading</t>
  </si>
  <si>
    <t>รถกระบะบรรทุก 10 ล้อ วิ่งปกติ 100% loading</t>
  </si>
  <si>
    <t>รถบรรทุกขยะ 6 ล้อ 100% loading</t>
  </si>
  <si>
    <t>รถกระบะบรรทุก 10 ล้อ วิ่งปกติ 0% loading</t>
  </si>
  <si>
    <t>รถบรรทุกขยะ 6 ล้อ 0% loading</t>
  </si>
  <si>
    <t>EF of Acetylene</t>
  </si>
  <si>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5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4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</si>
  <si>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t>MW</t>
  </si>
  <si>
    <t>#mole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</si>
  <si>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</si>
  <si>
    <r>
      <t>CO</t>
    </r>
    <r>
      <rPr>
        <vertAlign val="subscript"/>
        <sz val="12"/>
        <color theme="1"/>
        <rFont val="Tahoma"/>
        <family val="2"/>
      </rPr>
      <t>2</t>
    </r>
  </si>
  <si>
    <t>Efacetylene =</t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</si>
  <si>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</t>
    </r>
  </si>
  <si>
    <r>
      <t>สารดับเพลิง CO</t>
    </r>
    <r>
      <rPr>
        <b/>
        <vertAlign val="subscript"/>
        <sz val="10"/>
        <color theme="1"/>
        <rFont val="Tahoma"/>
        <family val="2"/>
      </rPr>
      <t>2</t>
    </r>
  </si>
  <si>
    <t>Fugitive</t>
  </si>
  <si>
    <t xml:space="preserve">    สารทำความเย็น</t>
  </si>
  <si>
    <t>R-123</t>
  </si>
  <si>
    <t>HCFC-123</t>
  </si>
  <si>
    <t>IPCC-AR5 Report</t>
  </si>
  <si>
    <t>HFC-236fa</t>
  </si>
  <si>
    <t>R-404a</t>
  </si>
  <si>
    <t>HFC-125 (44%)/HFC-143a (52%)/HFC-134a (4%)</t>
  </si>
  <si>
    <t>R-407c</t>
  </si>
  <si>
    <t>HFC-32 (23%)/HFC-125 (25%)/HFC-134a (52%)</t>
  </si>
  <si>
    <t>อ้างอิง</t>
  </si>
  <si>
    <t>https://ghgprotocol.org/sites/default/files/ghgp/Global-Warming-Potential-Values%20%28Feb%2016%202016%29_1.pdf</t>
  </si>
  <si>
    <t>Septic tank</t>
  </si>
  <si>
    <r>
      <t>kgCH</t>
    </r>
    <r>
      <rPr>
        <vertAlign val="subscript"/>
        <sz val="8"/>
        <rFont val="Tahoma"/>
        <family val="2"/>
      </rPr>
      <t>4</t>
    </r>
  </si>
  <si>
    <t>EF ปุ๋ยเคมี 16-16-16</t>
  </si>
  <si>
    <t>การใช้ไฟฟ้า โรงงาน/สำนักงาน</t>
  </si>
  <si>
    <t>การใช้ไฟฟ้า Solar cell โรงงาน</t>
  </si>
  <si>
    <t>ใบแจ้งหนี้/หนังสือแจ้งค่าไฟฟ้า</t>
  </si>
  <si>
    <t>TGO-CFP-EF-(ก.ค. 65)-654  acetylene</t>
  </si>
  <si>
    <t>TGO-CFP-EF-(ก.ค. 65)-55 Diesel (น้ำมันดีเซล / น้ำมันโซล่าร์)</t>
  </si>
  <si>
    <t>TGO-CFP-EF-(ก.ค. 65)-52 Gasoline (แก๊สโซลีน)</t>
  </si>
  <si>
    <t>TGO CFO EF (เมษายน 2565):Gas/Diesel (Mobile Combustion)</t>
  </si>
  <si>
    <t>TGO CFO EF (เมษายน 2565):  Motor gasoline-oxidation catalyst (Mobile Combustion on road)</t>
  </si>
  <si>
    <t>TGO CFO EF (เมษายน 2565):  Diesel Industry (Mobile Combustion off road)</t>
  </si>
  <si>
    <t>TGO CFO EF (เมษายน 2565):Gas/Diesel oil</t>
  </si>
  <si>
    <t>TGO CFO EF (เมษายน 2565):  Motor Gasoline</t>
  </si>
  <si>
    <t>IPCC : GWP (AR5)</t>
  </si>
  <si>
    <t>TGO CFO EF (เมษายน 2565): ไฟฟ้า Grid mix</t>
  </si>
  <si>
    <t>ข้อกำหนด TGO</t>
  </si>
  <si>
    <t>ระบบบำบัดน้ำเสีย</t>
  </si>
  <si>
    <t>มาตรฐาน (mg/L)</t>
  </si>
  <si>
    <t>ผลตรวจวิเคราะห์น้ำ</t>
  </si>
  <si>
    <t>mg/l</t>
  </si>
  <si>
    <t>BOD  (น้ำออก)  MBAX 1</t>
  </si>
  <si>
    <t>BOD  (น้ำออก)  MBAX 3</t>
  </si>
  <si>
    <t>BOD  (น้ำออก)  MBAX 5</t>
  </si>
  <si>
    <t>COD  (น้ำออก) MBAX 1</t>
  </si>
  <si>
    <t>COD  (น้ำออก) MBAX 3</t>
  </si>
  <si>
    <t>COD  (น้ำออก) MBAX 5</t>
  </si>
  <si>
    <t>ระบบ ERP</t>
  </si>
  <si>
    <t>ระบบเติมอากาศ</t>
  </si>
  <si>
    <r>
      <t>m</t>
    </r>
    <r>
      <rPr>
        <vertAlign val="superscript"/>
        <sz val="10"/>
        <color theme="1"/>
        <rFont val="Tahoma"/>
        <family val="2"/>
      </rPr>
      <t>3</t>
    </r>
  </si>
  <si>
    <t>R 22 ซื้อสำรอง สำหรับฉุกเฉิน แต่ซ่อมจะเป็นจ้างเหมาภายนอก</t>
  </si>
  <si>
    <t>a</t>
  </si>
  <si>
    <t>R 32, R410 a, R134a, R407C จ้างเหมา</t>
  </si>
  <si>
    <t>จำนวนกระดาษ</t>
  </si>
  <si>
    <t>แผ่น/รีม</t>
  </si>
  <si>
    <t>น้ำหนักกระดาษ A4 70 g</t>
  </si>
  <si>
    <t>kg/รีม</t>
  </si>
  <si>
    <t>น้ำหนักกระดาษ 80 แกรม</t>
  </si>
  <si>
    <t>กระดาษ A4  70 แกรม</t>
  </si>
  <si>
    <t>กระดาษ A4  70 แกรม-BKK</t>
  </si>
  <si>
    <t>กระดาษ A4  70 แกรม-LCB</t>
  </si>
  <si>
    <t>กระดาษ A4  80 แกรม</t>
  </si>
  <si>
    <t>กระดาษ A4  80 แกรม-BKK</t>
  </si>
  <si>
    <t>กระดาษ A4  80 แกรม-LCB</t>
  </si>
  <si>
    <t>น้ำหนักกระดาษ A4 80 g</t>
  </si>
  <si>
    <t>TGO-CFP-EF-(ก.ค. 65)-592 กระดาษพิมพ์เขียนแบบไม่เคลือบผิว</t>
  </si>
  <si>
    <t>เม็ดพลาสติก LDPE</t>
  </si>
  <si>
    <t>เม็ดพลาสติก LLDPE</t>
  </si>
  <si>
    <t>เม็ดพลาสติก HDPE</t>
  </si>
  <si>
    <t xml:space="preserve">TGO-CFP-EF-(ก.ค. 65)-6 LDPE </t>
  </si>
  <si>
    <t xml:space="preserve">TGO-CFP-EF-(ก.ค. 65)-5 LLDPE </t>
  </si>
  <si>
    <t xml:space="preserve">TGO-CFP-EF-(ก.ค. 65)-3 HDPE </t>
  </si>
  <si>
    <t>รถกระบะบรรทุก</t>
  </si>
  <si>
    <t>ใบกำกับการขนส่งขยะมูลฝอย</t>
  </si>
  <si>
    <t>ใบกำกับการขนส่งของเสียอันตราย</t>
  </si>
  <si>
    <t>ระบบ WWTP</t>
  </si>
  <si>
    <t xml:space="preserve">Port </t>
  </si>
  <si>
    <t>ระยะทาง ( LAEM - ท่าปลายทาง)</t>
  </si>
  <si>
    <t>ค่า(Verified Gross Mass-TARE WEIGHT )</t>
  </si>
  <si>
    <t>FO23010001</t>
  </si>
  <si>
    <t>SINGAPORE</t>
  </si>
  <si>
    <t>FO23010002</t>
  </si>
  <si>
    <t>FO23010003</t>
  </si>
  <si>
    <t>ROTTERDAM, NETHERLANDS</t>
  </si>
  <si>
    <t>FO23010004</t>
  </si>
  <si>
    <t>HORSENS, DENMARK</t>
  </si>
  <si>
    <t>FO23010005</t>
  </si>
  <si>
    <t>HAMBURG, GERMANY</t>
  </si>
  <si>
    <t>FO23010006</t>
  </si>
  <si>
    <t>HONG KONG</t>
  </si>
  <si>
    <t>FO23010007</t>
  </si>
  <si>
    <t>JACKSONVILLE IL, USA</t>
  </si>
  <si>
    <t>FO23010008</t>
  </si>
  <si>
    <t>FO23010009</t>
  </si>
  <si>
    <t>FO23010010</t>
  </si>
  <si>
    <t>FO23010011</t>
  </si>
  <si>
    <t>FO23010012</t>
  </si>
  <si>
    <t>SANTA TERESA, NM USA</t>
  </si>
  <si>
    <t>FO23010013</t>
  </si>
  <si>
    <t>FO23010014</t>
  </si>
  <si>
    <t>COLUMBUS OHIO, USA</t>
  </si>
  <si>
    <t>FO23010015</t>
  </si>
  <si>
    <t>FO23010016</t>
  </si>
  <si>
    <t>FO23010017</t>
  </si>
  <si>
    <t>SOUTH BOSTON VA, USA</t>
  </si>
  <si>
    <t>FO23010018</t>
  </si>
  <si>
    <t>FO23010019</t>
  </si>
  <si>
    <t>MANZANILLO, MEXICO</t>
  </si>
  <si>
    <t>FO23010020</t>
  </si>
  <si>
    <t>FO23010021</t>
  </si>
  <si>
    <t>SYDNEY, AUSTRALIA</t>
  </si>
  <si>
    <t>FO23010022</t>
  </si>
  <si>
    <t>FO23010023</t>
  </si>
  <si>
    <t>MELBOURNE, AUSTRALIA</t>
  </si>
  <si>
    <t>FO23010024</t>
  </si>
  <si>
    <t>SOHAR, OMAN</t>
  </si>
  <si>
    <t>FO23010025</t>
  </si>
  <si>
    <t>FO23010026</t>
  </si>
  <si>
    <t>CARROLLTON TX, USA</t>
  </si>
  <si>
    <t>FO23010027</t>
  </si>
  <si>
    <t>JEBEL ALI, UAE</t>
  </si>
  <si>
    <t>FO23010028</t>
  </si>
  <si>
    <t>FO23010029</t>
  </si>
  <si>
    <t>AUCKLAND, NEW ZEALAND</t>
  </si>
  <si>
    <t>FO23010030</t>
  </si>
  <si>
    <t>FO23010031</t>
  </si>
  <si>
    <t>SHUWAIKH, KUWAIT</t>
  </si>
  <si>
    <t>FO23010032</t>
  </si>
  <si>
    <t>HAMAD, QATAR</t>
  </si>
  <si>
    <t>FO23010033</t>
  </si>
  <si>
    <t>BUSAN, KOREA</t>
  </si>
  <si>
    <t>FO23010034</t>
  </si>
  <si>
    <t>UK PORT</t>
  </si>
  <si>
    <t>FO23010035</t>
  </si>
  <si>
    <t>FO23010036</t>
  </si>
  <si>
    <t>FO23010037</t>
  </si>
  <si>
    <t>DURBAN, SOUTH AFRICA</t>
  </si>
  <si>
    <t>FO23010038</t>
  </si>
  <si>
    <t>FO23010039</t>
  </si>
  <si>
    <t>FO23010040</t>
  </si>
  <si>
    <t>FO23010041</t>
  </si>
  <si>
    <t>FO23010042</t>
  </si>
  <si>
    <t>FO23010043</t>
  </si>
  <si>
    <t>FO23010044</t>
  </si>
  <si>
    <t>FO23010045</t>
  </si>
  <si>
    <t>FO23010046</t>
  </si>
  <si>
    <t>FO23010047</t>
  </si>
  <si>
    <t>FO23010048</t>
  </si>
  <si>
    <t>GUANGZHOU, CHINA</t>
  </si>
  <si>
    <t>FO23010049</t>
  </si>
  <si>
    <t>FO23010050</t>
  </si>
  <si>
    <t>FO23010051</t>
  </si>
  <si>
    <t>FO23010052</t>
  </si>
  <si>
    <t>FO23010053</t>
  </si>
  <si>
    <t>FO23010054</t>
  </si>
  <si>
    <t>NINGBO, CHINA</t>
  </si>
  <si>
    <t>FO23010055</t>
  </si>
  <si>
    <t>FO23010056</t>
  </si>
  <si>
    <t>FO23010057</t>
  </si>
  <si>
    <t>FO23010058</t>
  </si>
  <si>
    <t>FO23010059</t>
  </si>
  <si>
    <t>FO23010060</t>
  </si>
  <si>
    <t>APPLETON WI , USA</t>
  </si>
  <si>
    <t>FO23010061</t>
  </si>
  <si>
    <t>FO23010062</t>
  </si>
  <si>
    <t>FO23010063</t>
  </si>
  <si>
    <t>PERRIS CA, USA</t>
  </si>
  <si>
    <t>FO23010064</t>
  </si>
  <si>
    <t>UNIVERSITY PARK IL, USA</t>
  </si>
  <si>
    <t>FO23010065</t>
  </si>
  <si>
    <t>FO23010066</t>
  </si>
  <si>
    <t>FO23010067</t>
  </si>
  <si>
    <t>FO23010068</t>
  </si>
  <si>
    <t>FO23010069</t>
  </si>
  <si>
    <t>FO23010070</t>
  </si>
  <si>
    <t>MANILA, PHILIPPINES</t>
  </si>
  <si>
    <t>FO23010071</t>
  </si>
  <si>
    <t>FO23010072</t>
  </si>
  <si>
    <t>FO23010073</t>
  </si>
  <si>
    <t>FO23010074</t>
  </si>
  <si>
    <t>FO23010075</t>
  </si>
  <si>
    <t>FO23020001</t>
  </si>
  <si>
    <t>FO23020002</t>
  </si>
  <si>
    <t>FO23020003</t>
  </si>
  <si>
    <t>FO23020004</t>
  </si>
  <si>
    <t>FO23020005</t>
  </si>
  <si>
    <t>FO23020006</t>
  </si>
  <si>
    <t>FO23020007</t>
  </si>
  <si>
    <t>FO23020008</t>
  </si>
  <si>
    <t>FO23020009</t>
  </si>
  <si>
    <t>JEDDAH , SAUDI ARABIA</t>
  </si>
  <si>
    <t>FO23020010</t>
  </si>
  <si>
    <t>FO23020011</t>
  </si>
  <si>
    <t>FO23020012</t>
  </si>
  <si>
    <t>AJMAN PORT, UAE</t>
  </si>
  <si>
    <t>FO23020013</t>
  </si>
  <si>
    <t>FO23020014</t>
  </si>
  <si>
    <t>FO23020015</t>
  </si>
  <si>
    <t>FO23020016</t>
  </si>
  <si>
    <t>FO23020017</t>
  </si>
  <si>
    <t>FO23020018</t>
  </si>
  <si>
    <t>FO23020019</t>
  </si>
  <si>
    <t>FO23020020</t>
  </si>
  <si>
    <t>FO23020021</t>
  </si>
  <si>
    <t>FO23020022</t>
  </si>
  <si>
    <t>FO23020023</t>
  </si>
  <si>
    <t>FO23020024</t>
  </si>
  <si>
    <t>FO23020025</t>
  </si>
  <si>
    <t>FO23020026</t>
  </si>
  <si>
    <t>FO23020027</t>
  </si>
  <si>
    <t>FO23020028</t>
  </si>
  <si>
    <t>FO23020029</t>
  </si>
  <si>
    <t>FO23020030</t>
  </si>
  <si>
    <t>FO23020031</t>
  </si>
  <si>
    <t>SENDAI, JAPAN</t>
  </si>
  <si>
    <t>FO23020032</t>
  </si>
  <si>
    <t>FO23020033</t>
  </si>
  <si>
    <t>FO23020034</t>
  </si>
  <si>
    <t>FO23020035</t>
  </si>
  <si>
    <t>FO23020036</t>
  </si>
  <si>
    <t>FO23020037</t>
  </si>
  <si>
    <t>FO23020038</t>
  </si>
  <si>
    <t>FO23020039</t>
  </si>
  <si>
    <t>KLANG, MALAYSIA</t>
  </si>
  <si>
    <t>FO23020040</t>
  </si>
  <si>
    <t>FO23020041</t>
  </si>
  <si>
    <t>FO23020042</t>
  </si>
  <si>
    <t>FO23020043</t>
  </si>
  <si>
    <t>FO23020044</t>
  </si>
  <si>
    <t>FO23020045</t>
  </si>
  <si>
    <t>TORONTO, CANADA</t>
  </si>
  <si>
    <t>FO23020046</t>
  </si>
  <si>
    <t>FO23020047</t>
  </si>
  <si>
    <t>FO23020048</t>
  </si>
  <si>
    <t>FO23020049</t>
  </si>
  <si>
    <t>FO23020050</t>
  </si>
  <si>
    <t>FO23020051</t>
  </si>
  <si>
    <t>FO23020052</t>
  </si>
  <si>
    <t>FO23020053</t>
  </si>
  <si>
    <t>FO23020054</t>
  </si>
  <si>
    <t>FO23020055</t>
  </si>
  <si>
    <t>FO23020056</t>
  </si>
  <si>
    <t>FO23020057</t>
  </si>
  <si>
    <t>FO23020058</t>
  </si>
  <si>
    <t>FO23020059</t>
  </si>
  <si>
    <t>LOUISVILLE KY, USA</t>
  </si>
  <si>
    <t>FO23020060</t>
  </si>
  <si>
    <t>TOMAKOMAI, JAPAN</t>
  </si>
  <si>
    <t>FO23020061</t>
  </si>
  <si>
    <t>FO23020062</t>
  </si>
  <si>
    <t>FO23020063</t>
  </si>
  <si>
    <t>FO23020064</t>
  </si>
  <si>
    <t>FO23020065</t>
  </si>
  <si>
    <t>NAGOYA, JAPAN</t>
  </si>
  <si>
    <t>FO23020066</t>
  </si>
  <si>
    <t>SHIMIZU, JAPAN</t>
  </si>
  <si>
    <t>FO23020067</t>
  </si>
  <si>
    <t>FO23020068</t>
  </si>
  <si>
    <t>TOKYO, JAPAN</t>
  </si>
  <si>
    <t>FO23020069</t>
  </si>
  <si>
    <t>FO23020070</t>
  </si>
  <si>
    <t>FO23020071</t>
  </si>
  <si>
    <t>FO23020072</t>
  </si>
  <si>
    <t>FO23030001</t>
  </si>
  <si>
    <t>FO23030002</t>
  </si>
  <si>
    <t>FO23030003</t>
  </si>
  <si>
    <t>FO23030004</t>
  </si>
  <si>
    <t>FO23030005</t>
  </si>
  <si>
    <t>FO23030006</t>
  </si>
  <si>
    <t>FO23030007</t>
  </si>
  <si>
    <t>FO23030008</t>
  </si>
  <si>
    <t>FO23030009</t>
  </si>
  <si>
    <t>FO23030010</t>
  </si>
  <si>
    <t>FO23030011</t>
  </si>
  <si>
    <t>FO23030012</t>
  </si>
  <si>
    <t>FO23030013</t>
  </si>
  <si>
    <t>FO23030014</t>
  </si>
  <si>
    <t>FO23030015</t>
  </si>
  <si>
    <t>FO23030016</t>
  </si>
  <si>
    <t>FO23030017</t>
  </si>
  <si>
    <t>FO23030018</t>
  </si>
  <si>
    <t>FO23030019</t>
  </si>
  <si>
    <t>FO23030020</t>
  </si>
  <si>
    <t>FO23030021</t>
  </si>
  <si>
    <t>FO23030022</t>
  </si>
  <si>
    <t>SAN JUAN, PUERTO RICO</t>
  </si>
  <si>
    <t>FO23030023</t>
  </si>
  <si>
    <t>FO23030024</t>
  </si>
  <si>
    <t>FO23030025</t>
  </si>
  <si>
    <t>FO23030026</t>
  </si>
  <si>
    <t>FO23030027</t>
  </si>
  <si>
    <t>FO23030028</t>
  </si>
  <si>
    <t>FO23030029</t>
  </si>
  <si>
    <t>FO23030030</t>
  </si>
  <si>
    <t>FO23030031</t>
  </si>
  <si>
    <t>FO23030032</t>
  </si>
  <si>
    <t>FO23030033</t>
  </si>
  <si>
    <t>FO23030034</t>
  </si>
  <si>
    <t>FO23030035</t>
  </si>
  <si>
    <t>FO23030036</t>
  </si>
  <si>
    <t>FO23030037</t>
  </si>
  <si>
    <t>FO23030038</t>
  </si>
  <si>
    <t>FO23030039</t>
  </si>
  <si>
    <t>FO23030040</t>
  </si>
  <si>
    <t>FO23030041</t>
  </si>
  <si>
    <t>FO23030042</t>
  </si>
  <si>
    <t>FO23030043</t>
  </si>
  <si>
    <t>FO23030044</t>
  </si>
  <si>
    <t>FO23030045</t>
  </si>
  <si>
    <t>FO23030046</t>
  </si>
  <si>
    <t>FO23030047</t>
  </si>
  <si>
    <t>FO23030048</t>
  </si>
  <si>
    <t>FO23030049</t>
  </si>
  <si>
    <t>FO23030050</t>
  </si>
  <si>
    <t>FO23030051</t>
  </si>
  <si>
    <t>FO23030052</t>
  </si>
  <si>
    <t>FO23030053</t>
  </si>
  <si>
    <t>FO23030054</t>
  </si>
  <si>
    <t>FO23030055</t>
  </si>
  <si>
    <t>FO23030056</t>
  </si>
  <si>
    <t>FO23030057</t>
  </si>
  <si>
    <t>FO23030058</t>
  </si>
  <si>
    <t>FO23030059</t>
  </si>
  <si>
    <t>FO23030060</t>
  </si>
  <si>
    <t>FO23030061</t>
  </si>
  <si>
    <t>OSAKA, JAPAN</t>
  </si>
  <si>
    <t>FO23030062</t>
  </si>
  <si>
    <t>FO23030063</t>
  </si>
  <si>
    <t>FO23030064</t>
  </si>
  <si>
    <t>FO23030065</t>
  </si>
  <si>
    <t>FO23030066</t>
  </si>
  <si>
    <t>FO23030067</t>
  </si>
  <si>
    <t>FO23030068</t>
  </si>
  <si>
    <t>FO23030069</t>
  </si>
  <si>
    <t>FO23030070</t>
  </si>
  <si>
    <t>FO23030071</t>
  </si>
  <si>
    <t>FO23030072</t>
  </si>
  <si>
    <t>FO23030073</t>
  </si>
  <si>
    <t>FO23030074</t>
  </si>
  <si>
    <t>FO23030075</t>
  </si>
  <si>
    <t>FO23030076</t>
  </si>
  <si>
    <t>FO23030077</t>
  </si>
  <si>
    <t>FO23030078</t>
  </si>
  <si>
    <t>FO23030079</t>
  </si>
  <si>
    <t>FO23040001</t>
  </si>
  <si>
    <t>FO23040002</t>
  </si>
  <si>
    <t>KHALIFA BIN SALMAN, BAHRAIN</t>
  </si>
  <si>
    <t>FO23040003</t>
  </si>
  <si>
    <t>ลาดกระบัง</t>
  </si>
  <si>
    <t>FO23040004</t>
  </si>
  <si>
    <t>BREMERHAVEN, GERMANY</t>
  </si>
  <si>
    <t>FO23040005</t>
  </si>
  <si>
    <t>FO23040006</t>
  </si>
  <si>
    <t>FO23040007</t>
  </si>
  <si>
    <t>FO23040008</t>
  </si>
  <si>
    <t>FO23040009</t>
  </si>
  <si>
    <t>FO23040010</t>
  </si>
  <si>
    <t>FO23040011</t>
  </si>
  <si>
    <t>FO23040012</t>
  </si>
  <si>
    <t>FO23040013</t>
  </si>
  <si>
    <t>FO23040014</t>
  </si>
  <si>
    <t>FO23040015</t>
  </si>
  <si>
    <t>FO23040016</t>
  </si>
  <si>
    <t>FO23040017</t>
  </si>
  <si>
    <t>FO23040018</t>
  </si>
  <si>
    <t>FO23040019</t>
  </si>
  <si>
    <t>FO23040020</t>
  </si>
  <si>
    <t>FO23040021</t>
  </si>
  <si>
    <t>FO23040022</t>
  </si>
  <si>
    <t>FO23040023</t>
  </si>
  <si>
    <t>FO23040024</t>
  </si>
  <si>
    <t>HELSINGBORG, SWEDEN</t>
  </si>
  <si>
    <t>FO23040025</t>
  </si>
  <si>
    <t>FO23040026</t>
  </si>
  <si>
    <t>FO23040027</t>
  </si>
  <si>
    <t>FO23040028</t>
  </si>
  <si>
    <t>FO23040029</t>
  </si>
  <si>
    <t>FO23040030</t>
  </si>
  <si>
    <t>FO23040031</t>
  </si>
  <si>
    <t>FO23040032</t>
  </si>
  <si>
    <t>FO23040033</t>
  </si>
  <si>
    <t>FO23040034</t>
  </si>
  <si>
    <t>FO23040038</t>
  </si>
  <si>
    <t>FO23040039</t>
  </si>
  <si>
    <t>FO23040040</t>
  </si>
  <si>
    <t>FO23040041</t>
  </si>
  <si>
    <t>FO23040042</t>
  </si>
  <si>
    <t>FO23040043</t>
  </si>
  <si>
    <t>27/04/203</t>
  </si>
  <si>
    <t>FO23040044</t>
  </si>
  <si>
    <t>FO23040045</t>
  </si>
  <si>
    <t>FO23040046</t>
  </si>
  <si>
    <t>FO23040047</t>
  </si>
  <si>
    <t>FO23040048</t>
  </si>
  <si>
    <t>FO23040049</t>
  </si>
  <si>
    <t>FO23040050</t>
  </si>
  <si>
    <t>FO23040051</t>
  </si>
  <si>
    <t>FO23050001</t>
  </si>
  <si>
    <t>FO23050002</t>
  </si>
  <si>
    <t>ท่่าเรือลาดกระบัง</t>
  </si>
  <si>
    <t>FO23050003</t>
  </si>
  <si>
    <t>FO23050004</t>
  </si>
  <si>
    <t>FO23050005</t>
  </si>
  <si>
    <t>PORT OF LIBYA</t>
  </si>
  <si>
    <t>FO23050006</t>
  </si>
  <si>
    <t>FO23050007</t>
  </si>
  <si>
    <t>FO23050008</t>
  </si>
  <si>
    <t>FO23050009</t>
  </si>
  <si>
    <t>FO23050010</t>
  </si>
  <si>
    <t>FO23050011</t>
  </si>
  <si>
    <t>FO23050012</t>
  </si>
  <si>
    <t>FO23050013</t>
  </si>
  <si>
    <t>FO23050014</t>
  </si>
  <si>
    <t>FO23050015</t>
  </si>
  <si>
    <t>FO23050016</t>
  </si>
  <si>
    <t>FO23050017</t>
  </si>
  <si>
    <t>FO23050018</t>
  </si>
  <si>
    <t>FO23050019</t>
  </si>
  <si>
    <t>FO23050020</t>
  </si>
  <si>
    <t>FO23050021</t>
  </si>
  <si>
    <t>FO23050022</t>
  </si>
  <si>
    <t>FO23050023</t>
  </si>
  <si>
    <t>FO23050024</t>
  </si>
  <si>
    <t>FO23050025</t>
  </si>
  <si>
    <t>FO23050026</t>
  </si>
  <si>
    <t>FO23050027</t>
  </si>
  <si>
    <t>FO23050031</t>
  </si>
  <si>
    <t>FO23050032</t>
  </si>
  <si>
    <t>FO23050033</t>
  </si>
  <si>
    <t>FO23050034</t>
  </si>
  <si>
    <t>FO23050035</t>
  </si>
  <si>
    <t>FO23050036</t>
  </si>
  <si>
    <t>FO23050037</t>
  </si>
  <si>
    <t>FO23050038</t>
  </si>
  <si>
    <t>FO23050039</t>
  </si>
  <si>
    <t>CHATTOGRAM, BANGLADESH</t>
  </si>
  <si>
    <t>FO23050040</t>
  </si>
  <si>
    <t>FO23050041</t>
  </si>
  <si>
    <t>FO23050042</t>
  </si>
  <si>
    <t>FO23050043</t>
  </si>
  <si>
    <t>FO23050044</t>
  </si>
  <si>
    <t>FO23050045</t>
  </si>
  <si>
    <t>FO23050046</t>
  </si>
  <si>
    <t>FO23050047</t>
  </si>
  <si>
    <t>FO23050048</t>
  </si>
  <si>
    <t>FO23050049</t>
  </si>
  <si>
    <t>FO23050050</t>
  </si>
  <si>
    <t>FO23050051</t>
  </si>
  <si>
    <t>FO23050052</t>
  </si>
  <si>
    <t>FO23050054</t>
  </si>
  <si>
    <t>FO23050055</t>
  </si>
  <si>
    <t>FO23050056</t>
  </si>
  <si>
    <t>FO23050057</t>
  </si>
  <si>
    <t>FO23050058</t>
  </si>
  <si>
    <t>FO23050059</t>
  </si>
  <si>
    <t>FO23050060</t>
  </si>
  <si>
    <t>FO23050061</t>
  </si>
  <si>
    <t>FO23050062</t>
  </si>
  <si>
    <t>FO23050063</t>
  </si>
  <si>
    <t>FO23050064</t>
  </si>
  <si>
    <t>FO23050065</t>
  </si>
  <si>
    <t>FO23050066</t>
  </si>
  <si>
    <t>FO23050067</t>
  </si>
  <si>
    <t>FO23050068</t>
  </si>
  <si>
    <t>FO23050069</t>
  </si>
  <si>
    <t>FO23050070</t>
  </si>
  <si>
    <t>FO23050071</t>
  </si>
  <si>
    <t>FO23050072</t>
  </si>
  <si>
    <t>FO23050073</t>
  </si>
  <si>
    <t>FO23050074</t>
  </si>
  <si>
    <t>FO23060001</t>
  </si>
  <si>
    <t>FO23060002</t>
  </si>
  <si>
    <t>FO23060003</t>
  </si>
  <si>
    <t>FO23060004</t>
  </si>
  <si>
    <t>FO23060005</t>
  </si>
  <si>
    <t>FO23060006</t>
  </si>
  <si>
    <t>FO23060007</t>
  </si>
  <si>
    <t>FO23060008</t>
  </si>
  <si>
    <t>FO23060009</t>
  </si>
  <si>
    <t>FO23060010</t>
  </si>
  <si>
    <t>FO23060011</t>
  </si>
  <si>
    <t>FO23060012</t>
  </si>
  <si>
    <t>FO23060013</t>
  </si>
  <si>
    <t>FO23060014</t>
  </si>
  <si>
    <t>FO23060015</t>
  </si>
  <si>
    <t>FO23060016</t>
  </si>
  <si>
    <t>FO23060017</t>
  </si>
  <si>
    <t>FO23060018</t>
  </si>
  <si>
    <t>FO23060019</t>
  </si>
  <si>
    <t>FO23060020</t>
  </si>
  <si>
    <t>FO23060021</t>
  </si>
  <si>
    <t>FO23060022</t>
  </si>
  <si>
    <t>FO23060023</t>
  </si>
  <si>
    <t>FO23060024</t>
  </si>
  <si>
    <t>FO23060025</t>
  </si>
  <si>
    <t>FO23060026</t>
  </si>
  <si>
    <t>AQABA PORT, JORDAN</t>
  </si>
  <si>
    <t>FO23060027</t>
  </si>
  <si>
    <t>FO23060028</t>
  </si>
  <si>
    <t>FO23060029</t>
  </si>
  <si>
    <t>FO23060030</t>
  </si>
  <si>
    <t>FO23060031</t>
  </si>
  <si>
    <t>FO23060032</t>
  </si>
  <si>
    <t>FO23060033</t>
  </si>
  <si>
    <t>FO23060034</t>
  </si>
  <si>
    <t>FO23060035</t>
  </si>
  <si>
    <t>FO23060036</t>
  </si>
  <si>
    <t>FO23060037</t>
  </si>
  <si>
    <t>FO23060038</t>
  </si>
  <si>
    <t>FO23060039</t>
  </si>
  <si>
    <t>FO23060040</t>
  </si>
  <si>
    <t>FO23060041</t>
  </si>
  <si>
    <t>FO23060042</t>
  </si>
  <si>
    <t>FO23060043</t>
  </si>
  <si>
    <t>FO23060044</t>
  </si>
  <si>
    <t>FO23060045</t>
  </si>
  <si>
    <t>FO23060046</t>
  </si>
  <si>
    <t>FO23060047</t>
  </si>
  <si>
    <t>FO23060048</t>
  </si>
  <si>
    <t>FO23060049</t>
  </si>
  <si>
    <t>FO23060050</t>
  </si>
  <si>
    <t>FO23060051</t>
  </si>
  <si>
    <t>FO23060052</t>
  </si>
  <si>
    <t>FO23060053</t>
  </si>
  <si>
    <t>FO23060055</t>
  </si>
  <si>
    <t>FO23060056</t>
  </si>
  <si>
    <t>FO23060057</t>
  </si>
  <si>
    <t>FO23060058</t>
  </si>
  <si>
    <t>FO23060059</t>
  </si>
  <si>
    <t>FO23060060</t>
  </si>
  <si>
    <t>FO23060061</t>
  </si>
  <si>
    <t>FO23060062</t>
  </si>
  <si>
    <t>FO23060063</t>
  </si>
  <si>
    <t>FO23060064</t>
  </si>
  <si>
    <t>FO23060065</t>
  </si>
  <si>
    <t>FO23060066</t>
  </si>
  <si>
    <t>FO23060067</t>
  </si>
  <si>
    <t>FO23060068</t>
  </si>
  <si>
    <t>FO23060069</t>
  </si>
  <si>
    <t>FO23060070</t>
  </si>
  <si>
    <t>FO23060071</t>
  </si>
  <si>
    <t>FO23060072</t>
  </si>
  <si>
    <t>FO23060073</t>
  </si>
  <si>
    <t>FO23060074</t>
  </si>
  <si>
    <t>FO23060075</t>
  </si>
  <si>
    <t>FO23060076</t>
  </si>
  <si>
    <t>FO23060077</t>
  </si>
  <si>
    <t>FO23060078</t>
  </si>
  <si>
    <t>FO23070001</t>
  </si>
  <si>
    <t>FO23070002</t>
  </si>
  <si>
    <t>FO23070003</t>
  </si>
  <si>
    <t>FO23070004</t>
  </si>
  <si>
    <t>FO23070005</t>
  </si>
  <si>
    <t>FO23070006</t>
  </si>
  <si>
    <t>FO23070007</t>
  </si>
  <si>
    <t>FO23070008</t>
  </si>
  <si>
    <t>FO23070009</t>
  </si>
  <si>
    <t>FO23070010</t>
  </si>
  <si>
    <t>FO23070011</t>
  </si>
  <si>
    <t>FO23070012</t>
  </si>
  <si>
    <t>FO23070013</t>
  </si>
  <si>
    <t>FO23070014</t>
  </si>
  <si>
    <t>FO23070015</t>
  </si>
  <si>
    <t>FO23070016</t>
  </si>
  <si>
    <t>FO23070017</t>
  </si>
  <si>
    <t>FO23070018</t>
  </si>
  <si>
    <t>FO23070019</t>
  </si>
  <si>
    <t>FO23070020</t>
  </si>
  <si>
    <t>FO23070021</t>
  </si>
  <si>
    <t>FO23070022</t>
  </si>
  <si>
    <t>FO23070023</t>
  </si>
  <si>
    <t>FO23070024</t>
  </si>
  <si>
    <t>FO23070025</t>
  </si>
  <si>
    <t>FO23070026</t>
  </si>
  <si>
    <t>FO23070027</t>
  </si>
  <si>
    <t>FO23070028</t>
  </si>
  <si>
    <t>FO23070029</t>
  </si>
  <si>
    <t>FO23070030</t>
  </si>
  <si>
    <t>FO23070031</t>
  </si>
  <si>
    <t>FO23070032</t>
  </si>
  <si>
    <t>FO23070033</t>
  </si>
  <si>
    <t>FO23070034</t>
  </si>
  <si>
    <t>FO23070035</t>
  </si>
  <si>
    <t>FO23070036</t>
  </si>
  <si>
    <t>FO23070037</t>
  </si>
  <si>
    <t>FO23070038</t>
  </si>
  <si>
    <t>FO23070039</t>
  </si>
  <si>
    <t>FO23070040</t>
  </si>
  <si>
    <t>FO23070041</t>
  </si>
  <si>
    <t>FO23070042</t>
  </si>
  <si>
    <t>FO23070048</t>
  </si>
  <si>
    <t>PORT CAUCEDO, DOMINICAN REPUBLIC</t>
  </si>
  <si>
    <t>FO23070049</t>
  </si>
  <si>
    <t>FO23070050</t>
  </si>
  <si>
    <t>FO23070051</t>
  </si>
  <si>
    <t>FO23070052</t>
  </si>
  <si>
    <t>FO23070053</t>
  </si>
  <si>
    <t>FO23070054</t>
  </si>
  <si>
    <t>FO23070055</t>
  </si>
  <si>
    <t>FO23070056</t>
  </si>
  <si>
    <t>FO23070057</t>
  </si>
  <si>
    <t>FO23070058</t>
  </si>
  <si>
    <t>FO23070059</t>
  </si>
  <si>
    <t>FO23070060</t>
  </si>
  <si>
    <t>FO23070061</t>
  </si>
  <si>
    <t>FO23070062</t>
  </si>
  <si>
    <t>FO23070063</t>
  </si>
  <si>
    <t>FO23070064</t>
  </si>
  <si>
    <t>FO23070065</t>
  </si>
  <si>
    <t>FO23070066</t>
  </si>
  <si>
    <t>FO23070067</t>
  </si>
  <si>
    <t>FO23070068</t>
  </si>
  <si>
    <t>FO23070069</t>
  </si>
  <si>
    <t>FO23070070</t>
  </si>
  <si>
    <t>FO23070071</t>
  </si>
  <si>
    <t>FO23070072</t>
  </si>
  <si>
    <t>FO23070073</t>
  </si>
  <si>
    <t>FO23070074</t>
  </si>
  <si>
    <t>FO23070075</t>
  </si>
  <si>
    <t>FO23070076</t>
  </si>
  <si>
    <t>FO23070077</t>
  </si>
  <si>
    <t>FO23070078</t>
  </si>
  <si>
    <t>FO23070079</t>
  </si>
  <si>
    <t>FO23080001</t>
  </si>
  <si>
    <t>FO23080002</t>
  </si>
  <si>
    <t>FO23080003</t>
  </si>
  <si>
    <t>FO23080004</t>
  </si>
  <si>
    <t>FO23080005</t>
  </si>
  <si>
    <t>FO23080006</t>
  </si>
  <si>
    <t>FO23080007</t>
  </si>
  <si>
    <t>FO23080008</t>
  </si>
  <si>
    <t>FO23080009</t>
  </si>
  <si>
    <t>FO23080010</t>
  </si>
  <si>
    <t>FO23080011</t>
  </si>
  <si>
    <t>FO23080012</t>
  </si>
  <si>
    <t>FO23080013</t>
  </si>
  <si>
    <t>FO23080014</t>
  </si>
  <si>
    <t>FO23080015</t>
  </si>
  <si>
    <t>FO23080016</t>
  </si>
  <si>
    <t>FO23080017</t>
  </si>
  <si>
    <t>FO23080018</t>
  </si>
  <si>
    <t>FO23080019</t>
  </si>
  <si>
    <t>FO23080020</t>
  </si>
  <si>
    <t>FO23080021</t>
  </si>
  <si>
    <t>FO23080022</t>
  </si>
  <si>
    <t>FO23080023</t>
  </si>
  <si>
    <t>FO23080024</t>
  </si>
  <si>
    <t>FO23080025</t>
  </si>
  <si>
    <t>FO23080026</t>
  </si>
  <si>
    <t>FO23080027</t>
  </si>
  <si>
    <t>FO23080028</t>
  </si>
  <si>
    <t>FO23080029</t>
  </si>
  <si>
    <t>FO23080030</t>
  </si>
  <si>
    <t>FO23080031</t>
  </si>
  <si>
    <t>FO23080032</t>
  </si>
  <si>
    <t>FO23080033</t>
  </si>
  <si>
    <t>FO23080034</t>
  </si>
  <si>
    <t>FO23080035</t>
  </si>
  <si>
    <t>FO23080036</t>
  </si>
  <si>
    <t>FO23080037</t>
  </si>
  <si>
    <t>FO23080038</t>
  </si>
  <si>
    <t>FO23080039</t>
  </si>
  <si>
    <t>FO23080040</t>
  </si>
  <si>
    <t>FO23080041</t>
  </si>
  <si>
    <t>FO23080042</t>
  </si>
  <si>
    <t>FO23080043</t>
  </si>
  <si>
    <t>FO23080044</t>
  </si>
  <si>
    <t>FO23080045</t>
  </si>
  <si>
    <t>FO23080046</t>
  </si>
  <si>
    <t>FO23080047</t>
  </si>
  <si>
    <t>FO23080048</t>
  </si>
  <si>
    <t>FO23080049</t>
  </si>
  <si>
    <t>FO23080050</t>
  </si>
  <si>
    <t>FO23080051</t>
  </si>
  <si>
    <t>FO23080052</t>
  </si>
  <si>
    <t>FO23080053</t>
  </si>
  <si>
    <t>FO23080055</t>
  </si>
  <si>
    <t>FO23080056</t>
  </si>
  <si>
    <t>FO23080057</t>
  </si>
  <si>
    <t>FO23080058</t>
  </si>
  <si>
    <t>FO23080059</t>
  </si>
  <si>
    <t>FO23080060</t>
  </si>
  <si>
    <t>FO23080061</t>
  </si>
  <si>
    <t>FO23080062</t>
  </si>
  <si>
    <t>FO23080063</t>
  </si>
  <si>
    <t>FO23080064</t>
  </si>
  <si>
    <t>FO23080065</t>
  </si>
  <si>
    <t>FO23080066</t>
  </si>
  <si>
    <t>FO23080067</t>
  </si>
  <si>
    <t>FO23080068</t>
  </si>
  <si>
    <t>FO23080069</t>
  </si>
  <si>
    <t>FO23080070</t>
  </si>
  <si>
    <t>FO23080071</t>
  </si>
  <si>
    <t>FO23080072</t>
  </si>
  <si>
    <t>FO23080073</t>
  </si>
  <si>
    <t>FO23080074</t>
  </si>
  <si>
    <t>FO23080075</t>
  </si>
  <si>
    <t>FO23080076</t>
  </si>
  <si>
    <t>FO23080077</t>
  </si>
  <si>
    <t>FO23080078</t>
  </si>
  <si>
    <t>FO23080079</t>
  </si>
  <si>
    <t>FO23090001</t>
  </si>
  <si>
    <t>FO23090002</t>
  </si>
  <si>
    <t>FO23090003</t>
  </si>
  <si>
    <t>FO23090004</t>
  </si>
  <si>
    <t>FO23090005</t>
  </si>
  <si>
    <t>FO23090006</t>
  </si>
  <si>
    <t>FO23090007</t>
  </si>
  <si>
    <t>FO23090008</t>
  </si>
  <si>
    <t>FO23090009</t>
  </si>
  <si>
    <t>FO23090010</t>
  </si>
  <si>
    <t>FO23090011</t>
  </si>
  <si>
    <t>FO23090012</t>
  </si>
  <si>
    <t>FO23090013</t>
  </si>
  <si>
    <t>FO23090014</t>
  </si>
  <si>
    <t>FO23090015</t>
  </si>
  <si>
    <t>FO23090016</t>
  </si>
  <si>
    <t>FO23090017</t>
  </si>
  <si>
    <t>FO23090018</t>
  </si>
  <si>
    <t>FO23090019</t>
  </si>
  <si>
    <t>FO23090020</t>
  </si>
  <si>
    <t>FO23090021</t>
  </si>
  <si>
    <t>FO23090022</t>
  </si>
  <si>
    <t>FO23090023</t>
  </si>
  <si>
    <t>FO23090024</t>
  </si>
  <si>
    <t>FO23090025</t>
  </si>
  <si>
    <t>FO23090026</t>
  </si>
  <si>
    <t>FO23090027</t>
  </si>
  <si>
    <t>FO23090028</t>
  </si>
  <si>
    <t>FO23090029</t>
  </si>
  <si>
    <t>FO23090030</t>
  </si>
  <si>
    <t>FO23090031</t>
  </si>
  <si>
    <t>FO23090032</t>
  </si>
  <si>
    <t>FO23090033</t>
  </si>
  <si>
    <t>FO23090034</t>
  </si>
  <si>
    <t>FO23090035</t>
  </si>
  <si>
    <t>FO23090036</t>
  </si>
  <si>
    <t>FO23090037</t>
  </si>
  <si>
    <t>FO23090038</t>
  </si>
  <si>
    <t>FO23090039</t>
  </si>
  <si>
    <t>FO23090040</t>
  </si>
  <si>
    <t>FO23090041</t>
  </si>
  <si>
    <t>FO23090042</t>
  </si>
  <si>
    <t>FO23090043</t>
  </si>
  <si>
    <t>FO23090044</t>
  </si>
  <si>
    <t>FO23090045</t>
  </si>
  <si>
    <t>FO23090046</t>
  </si>
  <si>
    <t>FO23090047</t>
  </si>
  <si>
    <t>FO23090048</t>
  </si>
  <si>
    <t>FO23090049</t>
  </si>
  <si>
    <t>FO23090050</t>
  </si>
  <si>
    <t>FO23090051</t>
  </si>
  <si>
    <t>FO23090052</t>
  </si>
  <si>
    <t>FO23090053</t>
  </si>
  <si>
    <t>FO23090054</t>
  </si>
  <si>
    <t>FO23090055</t>
  </si>
  <si>
    <t>FO23090056</t>
  </si>
  <si>
    <t>FO23090057</t>
  </si>
  <si>
    <t>FO23090058</t>
  </si>
  <si>
    <t>FO23090059</t>
  </si>
  <si>
    <t>FO23090060</t>
  </si>
  <si>
    <t>FO23090061</t>
  </si>
  <si>
    <t>FO23090063</t>
  </si>
  <si>
    <t>FO23090064</t>
  </si>
  <si>
    <t>FO23090065</t>
  </si>
  <si>
    <t>FO23090066</t>
  </si>
  <si>
    <t>FO23090067</t>
  </si>
  <si>
    <t>FO23090068</t>
  </si>
  <si>
    <t>FO23090069</t>
  </si>
  <si>
    <t>FO23090070</t>
  </si>
  <si>
    <t>FO23090071</t>
  </si>
  <si>
    <t>FO23090072</t>
  </si>
  <si>
    <t>FO23090073</t>
  </si>
  <si>
    <t>FO23090074</t>
  </si>
  <si>
    <t>FO23090075</t>
  </si>
  <si>
    <t>FO23100001</t>
  </si>
  <si>
    <t>FO23100002</t>
  </si>
  <si>
    <t>FO23100003</t>
  </si>
  <si>
    <t>FO23100004</t>
  </si>
  <si>
    <t>FO23100005</t>
  </si>
  <si>
    <t>FO23100006</t>
  </si>
  <si>
    <t>FO23100007</t>
  </si>
  <si>
    <t>FO23100008</t>
  </si>
  <si>
    <t>FO23100009</t>
  </si>
  <si>
    <t>FO23100010</t>
  </si>
  <si>
    <t>FO23100011</t>
  </si>
  <si>
    <t>FO23100012</t>
  </si>
  <si>
    <t>FO23100013</t>
  </si>
  <si>
    <t>FO23100014</t>
  </si>
  <si>
    <t>FO23100015</t>
  </si>
  <si>
    <t>FO23100016</t>
  </si>
  <si>
    <t>FO23100017</t>
  </si>
  <si>
    <t>FO23100018</t>
  </si>
  <si>
    <t>FO23100019</t>
  </si>
  <si>
    <t>FO23100044</t>
  </si>
  <si>
    <t>FO23100023</t>
  </si>
  <si>
    <t>FO23100046</t>
  </si>
  <si>
    <t>FO23100032</t>
  </si>
  <si>
    <t>FO23100026</t>
  </si>
  <si>
    <t>FO23100051</t>
  </si>
  <si>
    <t>FO23100028</t>
  </si>
  <si>
    <t>FO23100029</t>
  </si>
  <si>
    <t>FO23100052</t>
  </si>
  <si>
    <t>FO23100031</t>
  </si>
  <si>
    <t>FO23100054</t>
  </si>
  <si>
    <t>KARACHI PORT , PAKISTAN</t>
  </si>
  <si>
    <t>FO23100049</t>
  </si>
  <si>
    <t>FO23100034</t>
  </si>
  <si>
    <t>FO23100035</t>
  </si>
  <si>
    <t>FO23100036</t>
  </si>
  <si>
    <t>FO23100037</t>
  </si>
  <si>
    <t>FO23100024</t>
  </si>
  <si>
    <t>FO23100039</t>
  </si>
  <si>
    <t>FO23100040</t>
  </si>
  <si>
    <t>FO23100020</t>
  </si>
  <si>
    <t>FO23100025</t>
  </si>
  <si>
    <t>FO23100043</t>
  </si>
  <si>
    <t>FO23100030</t>
  </si>
  <si>
    <t>SHANGHAI, CHINA</t>
  </si>
  <si>
    <t>FO23100038</t>
  </si>
  <si>
    <t>FO23100041</t>
  </si>
  <si>
    <t>SHEKOU, CHINA</t>
  </si>
  <si>
    <t>FO23100047</t>
  </si>
  <si>
    <t>FO23100048</t>
  </si>
  <si>
    <t>FO23100053</t>
  </si>
  <si>
    <t>FO23100050</t>
  </si>
  <si>
    <t>FO23100045</t>
  </si>
  <si>
    <t>FO23100027</t>
  </si>
  <si>
    <t>FO23100033</t>
  </si>
  <si>
    <t>FO23100042</t>
  </si>
  <si>
    <t>XINGANG, CHINA</t>
  </si>
  <si>
    <t>FO23110001</t>
  </si>
  <si>
    <t>FO23110002</t>
  </si>
  <si>
    <t>FO23110003</t>
  </si>
  <si>
    <t>FO23110004</t>
  </si>
  <si>
    <t>FO23110005</t>
  </si>
  <si>
    <t>FO23110006</t>
  </si>
  <si>
    <t>FO23110007</t>
  </si>
  <si>
    <t>FO23110008</t>
  </si>
  <si>
    <t>FO23110009</t>
  </si>
  <si>
    <t>FO23110010</t>
  </si>
  <si>
    <t>FO23110011</t>
  </si>
  <si>
    <t>FO23110012</t>
  </si>
  <si>
    <t>FO23110013</t>
  </si>
  <si>
    <t>FO23110014</t>
  </si>
  <si>
    <t>FO23110015</t>
  </si>
  <si>
    <t>FO23110016</t>
  </si>
  <si>
    <t>FO23110017</t>
  </si>
  <si>
    <t>FO23110018</t>
  </si>
  <si>
    <t>FO23110019</t>
  </si>
  <si>
    <t>FO23110020</t>
  </si>
  <si>
    <t>FO23110021</t>
  </si>
  <si>
    <t>FO23110022</t>
  </si>
  <si>
    <t>FO23110023</t>
  </si>
  <si>
    <t>FO23110024</t>
  </si>
  <si>
    <t>FO23110025</t>
  </si>
  <si>
    <t>FO23110026</t>
  </si>
  <si>
    <t>FO23110027</t>
  </si>
  <si>
    <t>FO23110028</t>
  </si>
  <si>
    <t>FO23110029</t>
  </si>
  <si>
    <t>FO23110030</t>
  </si>
  <si>
    <t>FO23110031</t>
  </si>
  <si>
    <t>FO23110032</t>
  </si>
  <si>
    <t>FO23110033</t>
  </si>
  <si>
    <t>FO23110034</t>
  </si>
  <si>
    <t>FO23110035</t>
  </si>
  <si>
    <t>FO23110036</t>
  </si>
  <si>
    <t>FO23110037</t>
  </si>
  <si>
    <t>FO23110038</t>
  </si>
  <si>
    <t>FO23110039</t>
  </si>
  <si>
    <t>FO23110040</t>
  </si>
  <si>
    <t>FO23110041</t>
  </si>
  <si>
    <t>FO23110042</t>
  </si>
  <si>
    <t>FO23110043</t>
  </si>
  <si>
    <t>FO23110044</t>
  </si>
  <si>
    <t>FO23110045</t>
  </si>
  <si>
    <t>FO23110046</t>
  </si>
  <si>
    <t>FO23110047</t>
  </si>
  <si>
    <t>FO23110048</t>
  </si>
  <si>
    <t>FO23110049</t>
  </si>
  <si>
    <t>FO23110050</t>
  </si>
  <si>
    <t>FO23110051</t>
  </si>
  <si>
    <t>FO23110052</t>
  </si>
  <si>
    <t>FO23110053</t>
  </si>
  <si>
    <t>FO23110054</t>
  </si>
  <si>
    <t>FO23110055</t>
  </si>
  <si>
    <t>FO23110056</t>
  </si>
  <si>
    <t>FO23110057</t>
  </si>
  <si>
    <t>FO23110058</t>
  </si>
  <si>
    <t>FO23110059</t>
  </si>
  <si>
    <t>FO23110060</t>
  </si>
  <si>
    <t>FO23110061</t>
  </si>
  <si>
    <t>FO23110062</t>
  </si>
  <si>
    <t>FO23110063</t>
  </si>
  <si>
    <t>FO23110064</t>
  </si>
  <si>
    <t>FO23110065</t>
  </si>
  <si>
    <t>FO23110066</t>
  </si>
  <si>
    <t>FO23110067</t>
  </si>
  <si>
    <t>FO23110068</t>
  </si>
  <si>
    <t>FO23110069</t>
  </si>
  <si>
    <t>FO23110070</t>
  </si>
  <si>
    <t>FO23110071</t>
  </si>
  <si>
    <t>FO23110072</t>
  </si>
  <si>
    <t>FO23110073</t>
  </si>
  <si>
    <t>FO23110074</t>
  </si>
  <si>
    <t>FO23110075</t>
  </si>
  <si>
    <t>FO23110076</t>
  </si>
  <si>
    <t>FO23110077</t>
  </si>
  <si>
    <t>FO23110078</t>
  </si>
  <si>
    <t>FO23110079</t>
  </si>
  <si>
    <t>FO23110080</t>
  </si>
  <si>
    <t>FO23110081</t>
  </si>
  <si>
    <t>FO23110082</t>
  </si>
  <si>
    <t>FO23110083</t>
  </si>
  <si>
    <t>FO23110084</t>
  </si>
  <si>
    <t>FO23110085</t>
  </si>
  <si>
    <t>FO23110086</t>
  </si>
  <si>
    <t>FO23110087</t>
  </si>
  <si>
    <t>FO23110088</t>
  </si>
  <si>
    <t>FO23110089</t>
  </si>
  <si>
    <t>FO23120001</t>
  </si>
  <si>
    <t>FO23120002</t>
  </si>
  <si>
    <t>FO23120003</t>
  </si>
  <si>
    <t>FO23120004</t>
  </si>
  <si>
    <t>FO23120005</t>
  </si>
  <si>
    <t>FO23120006</t>
  </si>
  <si>
    <t>FO23120007</t>
  </si>
  <si>
    <t>FO23120008</t>
  </si>
  <si>
    <t>FO23120009</t>
  </si>
  <si>
    <t>FO23120010</t>
  </si>
  <si>
    <t>FO23120011</t>
  </si>
  <si>
    <t>FO23120012</t>
  </si>
  <si>
    <t>FO23120013</t>
  </si>
  <si>
    <t>FO23120014</t>
  </si>
  <si>
    <t>FO23120015</t>
  </si>
  <si>
    <t>FO23120016</t>
  </si>
  <si>
    <t>FO23120017</t>
  </si>
  <si>
    <t>FO23120018</t>
  </si>
  <si>
    <t>FO23120019</t>
  </si>
  <si>
    <t>FO23120020</t>
  </si>
  <si>
    <t>FO23120021</t>
  </si>
  <si>
    <t>FO23120022</t>
  </si>
  <si>
    <t>FO23120023</t>
  </si>
  <si>
    <t>FO23120024</t>
  </si>
  <si>
    <t>FO23120025</t>
  </si>
  <si>
    <t>FO23120026</t>
  </si>
  <si>
    <t>FO23120027</t>
  </si>
  <si>
    <t>FO23120028</t>
  </si>
  <si>
    <t>FO23120029</t>
  </si>
  <si>
    <t>FO23120030</t>
  </si>
  <si>
    <t>FO23120031</t>
  </si>
  <si>
    <t>FO23120032</t>
  </si>
  <si>
    <t>FO23120033</t>
  </si>
  <si>
    <t>FO23120034</t>
  </si>
  <si>
    <t>FO23120035</t>
  </si>
  <si>
    <t>FO23120036</t>
  </si>
  <si>
    <t>FO23120037</t>
  </si>
  <si>
    <t>FO23120038</t>
  </si>
  <si>
    <t>FO23120039</t>
  </si>
  <si>
    <t>FO23120040</t>
  </si>
  <si>
    <t>FO23120041</t>
  </si>
  <si>
    <t>FO23120042</t>
  </si>
  <si>
    <t>FO23120044</t>
  </si>
  <si>
    <t>FO23120045</t>
  </si>
  <si>
    <t>FO23120046</t>
  </si>
  <si>
    <t>FO23120047</t>
  </si>
  <si>
    <t>FO23120048</t>
  </si>
  <si>
    <t>FO23120049</t>
  </si>
  <si>
    <t>FO23120050</t>
  </si>
  <si>
    <t>FO23120051</t>
  </si>
  <si>
    <t>FO23120052</t>
  </si>
  <si>
    <t>FO23120053</t>
  </si>
  <si>
    <t>FO23120054</t>
  </si>
  <si>
    <t>FO23120055</t>
  </si>
  <si>
    <t>FO23120056</t>
  </si>
  <si>
    <t>FO23120057</t>
  </si>
  <si>
    <t>FO23120058</t>
  </si>
  <si>
    <t>FO23120059</t>
  </si>
  <si>
    <t>FO23120060</t>
  </si>
  <si>
    <t>FO23120061</t>
  </si>
  <si>
    <t>FO23120062</t>
  </si>
  <si>
    <t>FO23120063</t>
  </si>
  <si>
    <t>FO23120064</t>
  </si>
  <si>
    <t>FO23120065</t>
  </si>
  <si>
    <t>FO23120066</t>
  </si>
  <si>
    <t>FO23120067</t>
  </si>
  <si>
    <t>FO23120068</t>
  </si>
  <si>
    <t>FO23120069</t>
  </si>
  <si>
    <t>FO23120070</t>
  </si>
  <si>
    <t>FO23120071</t>
  </si>
  <si>
    <t>FO23120072</t>
  </si>
  <si>
    <t>FO23120073</t>
  </si>
  <si>
    <t>FO23120074</t>
  </si>
  <si>
    <t>FO23120075</t>
  </si>
  <si>
    <t>FO23120076</t>
  </si>
  <si>
    <t>การฝังกลบถุงขยะ</t>
  </si>
  <si>
    <t>น้ำหนักสินค้าอย่างเดียว(N.W.) (kg)</t>
  </si>
  <si>
    <t>รถตู้บรรทุกพ่วง 18 ล้อ วิ่งปกติ</t>
  </si>
  <si>
    <t>รถตู้บรรทุกพ่วง 18 ล้อ วิ่งปกติ 100% loading</t>
  </si>
  <si>
    <t>รถตู้บรรทุกพ่วง 18 ล้อ วิ่งปกติ 0% loading</t>
  </si>
  <si>
    <t>Invoice , google map และ เว็ปไซต์ searate</t>
  </si>
  <si>
    <t>TGO-CFP-EF-(ก.ค. 65)-เรือบรรทุก container</t>
  </si>
  <si>
    <t>TGO-CFP-EF-(ก.ค. 65)-รถตู้บรรทุกพ่วง 18 ล้อ วิ่งปกติ 0% loading</t>
  </si>
  <si>
    <t>TGO-CFP-EF-(ก.ค. 65)-รถตู้บรรทุกพ่วง 18 ล้อ วิ่งปกติ 100% loading</t>
  </si>
  <si>
    <t>Invoice</t>
  </si>
  <si>
    <t>กระดาษกล่องแป้งหลังเทา (EF597)</t>
  </si>
  <si>
    <t xml:space="preserve">กระดาษกล่องแป้งหลังเทา </t>
  </si>
  <si>
    <t xml:space="preserve">กระดาษคราฟท์ ชนิดทาลอน </t>
  </si>
  <si>
    <t>TGO-CFP-EF-(ก.ค. 65)-596 กระดาษคราฟท์ ชนิดท าลอน</t>
  </si>
  <si>
    <t>TGO-CFP-EF-(ก.ค. 65)-597 กระดาษกล่องขาวเคลือบแป้ง/กระดาษกล่องแป้งหลังเทา</t>
  </si>
  <si>
    <t>/</t>
  </si>
  <si>
    <t xml:space="preserve">น้ำมัน Diesel B7 (Fire Pump) </t>
  </si>
  <si>
    <t>13. รถบรรทุก ทะเบียน 84-1022</t>
  </si>
  <si>
    <t>14. รถบรรทุก ทะเบียน 86-8438</t>
  </si>
  <si>
    <t>B7</t>
  </si>
  <si>
    <t>B10</t>
  </si>
  <si>
    <t>91/95</t>
  </si>
  <si>
    <t>E20</t>
  </si>
  <si>
    <t>&gt;5 - 7 คะแนน เป็นแหล่งปล่อยที่มีนัยสำคัญ นับรวมในขอบเขตการประเมิน</t>
  </si>
  <si>
    <t>0 - &lt;=5 คะแนน เป็นแหล่งปล่อยที่ไม่มีนัยสำคัญ ไม่นับรวมในขอบเขตการประเมิน</t>
  </si>
  <si>
    <t>น้ำมัน Diesel B10  ที่ใช้ในรถยนต์ขององค์กร</t>
  </si>
  <si>
    <t>น้ำมัน Diesel B7  ที่ใช้ในรถยนต์ขององค์กร</t>
  </si>
  <si>
    <t>น้ำมัน Diesel B7 ที่ใช้ใน Forklift</t>
  </si>
  <si>
    <t>น้ำมัน Diesel B7 รถรับส่งพนักงาน</t>
  </si>
  <si>
    <t>น้ำมัน Diesel B7 FL/รถใช้ขนส่งภายในองค์กร (off-road)</t>
  </si>
  <si>
    <t>Biodiesel</t>
  </si>
  <si>
    <t>Biogenic CO2</t>
  </si>
  <si>
    <t>https://www.ipcc-nggip.iges.or.jp/public/2006gl/pdf/2_Volume2/V2_2_Ch2_Stationary_Combustion.pdf</t>
  </si>
  <si>
    <t>IPCC, 2006, Volume 2, Chapter 3 Table 3.2.2</t>
  </si>
  <si>
    <t>IPCC, 2006, Volume 2, Chapter 2 Table 2.2</t>
  </si>
  <si>
    <t>NCV (TJ/kg)</t>
  </si>
  <si>
    <t>Biogasoline (Ethanol)</t>
  </si>
  <si>
    <t>น้ำมัน Gasohol 91/95 (เครื่องตัดหญ้า)</t>
  </si>
  <si>
    <t xml:space="preserve">น้ำมัน Gasohol 91/95 ที่ใช้ในรถยนต์ขององค์กร </t>
  </si>
  <si>
    <t xml:space="preserve">น้ำมัน Gasohol E20 ที่ใช้ในรถยนต์ขององค์กร </t>
  </si>
  <si>
    <t>การเผาไหม้</t>
  </si>
  <si>
    <t>https://www.ipcc-nggip.iges.or.jp/public/2006gl/pdf/2_Volume2/V2_3_Ch3_Mobile_Combustion.pdf</t>
  </si>
  <si>
    <t>Biodiesel (Stationary combustion)</t>
  </si>
  <si>
    <t>Biogasoline (Ethanol) (Stationary combustion)</t>
  </si>
  <si>
    <t>Biogasoline (Ethanol) (Mobile combustion)</t>
  </si>
  <si>
    <t>EF of Ethanol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</si>
  <si>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  <r>
      <rPr>
        <vertAlign val="subscript"/>
        <sz val="12"/>
        <color theme="1"/>
        <rFont val="Tahoma"/>
        <family val="2"/>
      </rPr>
      <t xml:space="preserve">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</si>
  <si>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</si>
  <si>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</si>
  <si>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t>Ethanol =</t>
  </si>
  <si>
    <t>IPCC, 2006</t>
  </si>
  <si>
    <t>https://www.ipcc-nggip.iges.or.jp/public/2006gl/pdf/2_Volume2/V2_1_Ch1_Introduction.pdf</t>
  </si>
  <si>
    <r>
      <t>GHG emission (kg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>/TJ)</t>
    </r>
  </si>
  <si>
    <t>EF (1) สมการเคมี</t>
  </si>
  <si>
    <t>บริษัท มัลติแบกซ์ จำกัด (มหาชน)</t>
  </si>
  <si>
    <t>ผลิตสินค้าเม็ดพลาสติก</t>
  </si>
  <si>
    <t>ผลิตสินค้าถุงพลาสติก</t>
  </si>
  <si>
    <t>บริษัท อีโค เซ็นทริก คอร์ปอเรชั่น จำกัด</t>
  </si>
  <si>
    <t>ตัน</t>
  </si>
  <si>
    <t>ใบ manifest</t>
  </si>
  <si>
    <t>ใบกำกับภาษี/ระบบ ERP</t>
  </si>
  <si>
    <t xml:space="preserve">Ethanol </t>
  </si>
  <si>
    <t>สรุปรายการน้ำมัน</t>
  </si>
  <si>
    <t>ชนิด</t>
  </si>
  <si>
    <t>ปริมาณน้ำมัน</t>
  </si>
  <si>
    <t>Fleet card</t>
  </si>
  <si>
    <t>Ethanol</t>
  </si>
  <si>
    <t>น้ำมัน Gasohol 91/95  รถยนต์องค์กร</t>
  </si>
  <si>
    <t>น้ำมัน Gasohol E20 รถยนต์องค์กร</t>
  </si>
  <si>
    <t>Mobile combustion (on road)</t>
  </si>
  <si>
    <t>Mobile combustion (off road)</t>
  </si>
  <si>
    <t>IPCC, 2006, Volume 2, Chapter 3 Table 3.3.1</t>
  </si>
  <si>
    <t>Biodiesel (Mobile combustion-on road)</t>
  </si>
  <si>
    <t>Biodiesel (Mobile combustion-off road)</t>
  </si>
  <si>
    <t>CO2 -Biodiesel (Stationary combustion)</t>
  </si>
  <si>
    <t>CO2-Biogasoline (Ethanol) (Stationary combustion)</t>
  </si>
  <si>
    <t>CO2-Biodiesel (Mobile combustion-on road)</t>
  </si>
  <si>
    <t>CO2-Biodiesel (Mobile combustion-off road)</t>
  </si>
  <si>
    <t>CO2-Biogasoline (Ethanol) (Mobile combustion)</t>
  </si>
  <si>
    <t>LCB/BKK</t>
  </si>
  <si>
    <t>ใบกำกับภาษี/เอกสาร PM</t>
  </si>
  <si>
    <t>สารทำความเย็น R-22  Chiller/เครื่องปรับอากาศ/Air dryer</t>
  </si>
  <si>
    <t>BKK มีเครื่องปรับอากาศไม่ได้ใช้งาน  นานหรือยัง</t>
  </si>
  <si>
    <t>Chiller โรงงาน 1 -หายไป 1 ตัว</t>
  </si>
  <si>
    <t>ใบกำกับภาษี/ใบส่งซ่อม</t>
  </si>
  <si>
    <t>ไม่เห็น PM ของ Cooling โรง 3</t>
  </si>
  <si>
    <t>สารทำความเย็น R-410a - เครื่องปรับอากาศ</t>
  </si>
  <si>
    <t>สารทำความเย็น R-134a - ตู้แอร์ระบายความร้อน</t>
  </si>
  <si>
    <t>AC -LCB ไม่มีการะบุชนิดสารทำความเย็น</t>
  </si>
  <si>
    <t>บิลเงินสด/ใบกำกับภาษี</t>
  </si>
  <si>
    <t>โรงงาน 1,2,3,5</t>
  </si>
  <si>
    <t>ระยะทาง(กม.)
เที่ยวเดียว</t>
  </si>
  <si>
    <t>สารทำความเย็น R-407c - Air dryer/Chiller</t>
  </si>
  <si>
    <t>สารดับเพลิง HCFC-123</t>
  </si>
  <si>
    <t>จำนวน รปภ ตามสัญญาจ้าง
(1)</t>
  </si>
  <si>
    <t>1 มกราคม - 31 ธันวาคม 2566</t>
  </si>
  <si>
    <t>211 หมู่ที่ 3 ต.ทุ่งสุขลา อ.ศรีราชา จ.ชลบุรี</t>
  </si>
  <si>
    <t>LCB/BKK (ห้อง Server)</t>
  </si>
  <si>
    <t>กระดาษคราฟท์ ชนิดทำลอน (EF596)</t>
  </si>
  <si>
    <t>kg N2O</t>
  </si>
  <si>
    <t>Kg CO2</t>
  </si>
  <si>
    <t>TGO guildline</t>
  </si>
  <si>
    <t>No. TGO</t>
  </si>
  <si>
    <t>Scope in ISO 14064-1</t>
  </si>
  <si>
    <t>TGO-CFO-EF: sheet ET TGO AR5</t>
  </si>
  <si>
    <r>
      <t>CO2 emission (kgCO</t>
    </r>
    <r>
      <rPr>
        <b/>
        <vertAlign val="subscript"/>
        <sz val="9"/>
        <color theme="1"/>
        <rFont val="Tahoma"/>
        <family val="2"/>
      </rPr>
      <t>2</t>
    </r>
    <r>
      <rPr>
        <b/>
        <sz val="9"/>
        <color theme="1"/>
        <rFont val="Tahoma"/>
        <family val="2"/>
      </rPr>
      <t>/kg)</t>
    </r>
  </si>
  <si>
    <t>https://www.epa.gov/system/files/documents/2024-02/ghg-emission-factors-hub-2024.pdf</t>
  </si>
  <si>
    <t>น้ำมัน Diesel B7   รถยนต์องค์กร</t>
  </si>
  <si>
    <t>น้ำมัน Diesel B10   รถยนต์องค์กร</t>
  </si>
  <si>
    <t>รายงานแยก</t>
  </si>
  <si>
    <t>Scope 3.1</t>
  </si>
  <si>
    <t>Scope 4.1 in ISO 14064-1</t>
  </si>
  <si>
    <t>Purchased Goods &amp; Services</t>
  </si>
  <si>
    <t>*3.10</t>
  </si>
  <si>
    <t>Scope 3.3</t>
  </si>
  <si>
    <t>Scope 3.4</t>
  </si>
  <si>
    <t>Scope 3.5</t>
  </si>
  <si>
    <t>Scope 3.7</t>
  </si>
  <si>
    <t>Scope 3.9</t>
  </si>
  <si>
    <t>Scope 3.12</t>
  </si>
  <si>
    <t>Scope 2.2 in ISO 14064-1</t>
  </si>
  <si>
    <t>Scope 3.1 in ISO 14064-1</t>
  </si>
  <si>
    <t>Scope 4.3 in ISO 14064-1</t>
  </si>
  <si>
    <t>Scope 3.3 in ISO 14064-1</t>
  </si>
  <si>
    <t>Scope 3.2 in ISO 14064-1</t>
  </si>
  <si>
    <t>Scope 5 in ISO 14064-1</t>
  </si>
  <si>
    <t>HFC-32</t>
  </si>
  <si>
    <t>HFC-125</t>
  </si>
  <si>
    <t>HFC-32 (50%)/HFC-125 (50%)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</si>
</sst>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87" formatCode="&quot;$&quot;#,##0.00_);[Red]\(&quot;$&quot;#,##0.00\)"/>
    <numFmt numFmtId="188" formatCode="_(&quot;$&quot;* #,##0_);_(&quot;$&quot;* \(#,##0\);_(&quot;$&quot;* &quot;-&quot;_);_(@_)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* #,##0.00_);_(* \(#,##0.00\);_(* &quot;-&quot;??_);_(@_)"/>
    <numFmt numFmtId="192" formatCode="_(* #,##0.0000_);_(* \(#,##0.0000\);_(* &quot;-&quot;??_);_(@_)"/>
    <numFmt numFmtId="193" formatCode="&quot;True&quot;;&quot;True&quot;;&quot;False&quot;"/>
    <numFmt numFmtId="194" formatCode="_(* #,##0_);_(* \(#,##0\);_(* &quot;-&quot;??_);_(@_)"/>
    <numFmt numFmtId="195" formatCode="\t&quot;฿&quot;#,##0_);[Red]\(\t&quot;฿&quot;#,##0\)"/>
    <numFmt numFmtId="196" formatCode="\t&quot;$&quot;#,##0.00_);[Red]\(\t&quot;$&quot;#,##0.00\)"/>
    <numFmt numFmtId="197" formatCode="_-* #,##0.0000_-;\-* #,##0.0000_-;_-* &quot;-&quot;??_-;_-@_-"/>
    <numFmt numFmtId="198" formatCode="0.000000"/>
    <numFmt numFmtId="199" formatCode="_-* #,##0.00\ &quot;F&quot;_-;\-* #,##0.00\ &quot;F&quot;_-;_-* &quot;-&quot;??\ &quot;F&quot;_-;_-@_-"/>
    <numFmt numFmtId="200" formatCode="0.00_)"/>
    <numFmt numFmtId="201" formatCode="#,##0\ &quot;F&quot;;[Red]\-#,##0\ &quot;F&quot;"/>
    <numFmt numFmtId="202" formatCode="#,##0\ &quot;FB&quot;;\-#,##0\ &quot;FB&quot;"/>
    <numFmt numFmtId="203" formatCode="0.0000000000000000"/>
    <numFmt numFmtId="204" formatCode="0.0000"/>
    <numFmt numFmtId="205" formatCode="_(* #,##0.000000_);_(* \(#,##0.000000\);_(* &quot;-&quot;??_);_(@_)"/>
    <numFmt numFmtId="206" formatCode="_-* #,##0.00_-;\-* #,##0.00_-;_-* &quot;-&quot;??_-;_-@"/>
    <numFmt numFmtId="207" formatCode="0.000"/>
    <numFmt numFmtId="208" formatCode="_-* #,##0.0_-;\-* #,##0.0_-;_-* &quot;-&quot;??_-;_-@"/>
    <numFmt numFmtId="209" formatCode="_-* #,##0_-;\-* #,##0_-;_-* &quot;-&quot;??_-;_-@_-"/>
    <numFmt numFmtId="210" formatCode="_-* #,##0.0_-;\-* #,##0.0_-;_-* &quot;-&quot;??_-;_-@_-"/>
    <numFmt numFmtId="211" formatCode="_-* #,##0_-;\-* #,##0_-;_-* &quot;-&quot;??_-;_-@"/>
    <numFmt numFmtId="212" formatCode="[$-1070000]d/mm/yyyy;@"/>
  </numFmts>
  <fonts count="14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0"/>
      <name val="Tahoma"/>
      <family val="2"/>
    </font>
    <font>
      <b/>
      <vertAlign val="subscript"/>
      <sz val="11"/>
      <color theme="0"/>
      <name val="Tahoma"/>
      <family val="2"/>
      <scheme val="minor"/>
    </font>
    <font>
      <b/>
      <vertAlign val="subscript"/>
      <sz val="8"/>
      <color theme="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rgb="FFFF0000"/>
      <name val="Tahoma"/>
      <family val="2"/>
    </font>
    <font>
      <sz val="8"/>
      <color theme="0"/>
      <name val="Tahoma"/>
      <family val="2"/>
    </font>
    <font>
      <sz val="8"/>
      <color theme="1"/>
      <name val="Tahoma"/>
      <family val="2"/>
    </font>
    <font>
      <sz val="8"/>
      <color theme="1"/>
      <name val="Tahoma"/>
      <family val="2"/>
      <scheme val="minor"/>
    </font>
    <font>
      <sz val="9"/>
      <name val="Tahoma"/>
      <family val="2"/>
    </font>
    <font>
      <b/>
      <u/>
      <sz val="8"/>
      <name val="Tahoma"/>
      <family val="2"/>
    </font>
    <font>
      <sz val="14"/>
      <color theme="1"/>
      <name val="FreesiaUPC"/>
      <family val="2"/>
    </font>
    <font>
      <sz val="12"/>
      <color indexed="8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sz val="14"/>
      <name val="Cordia New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theme="1"/>
      <name val="Tahoma"/>
      <family val="2"/>
      <charset val="222"/>
      <scheme val="minor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Tahoma"/>
      <family val="2"/>
      <charset val="222"/>
      <scheme val="minor"/>
    </font>
    <font>
      <sz val="11"/>
      <color indexed="62"/>
      <name val="Calibri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color indexed="8"/>
      <name val="Tahoma"/>
      <family val="2"/>
      <charset val="222"/>
    </font>
    <font>
      <sz val="14"/>
      <name val="CordiaUPC"/>
      <family val="2"/>
    </font>
    <font>
      <b/>
      <sz val="12"/>
      <color indexed="63"/>
      <name val="Arial"/>
      <family val="2"/>
    </font>
    <font>
      <sz val="8"/>
      <name val="Arial"/>
      <family val="2"/>
    </font>
    <font>
      <sz val="10"/>
      <name val="MS Sans Serif"/>
      <family val="2"/>
      <charset val="222"/>
    </font>
    <font>
      <b/>
      <sz val="18"/>
      <color indexed="56"/>
      <name val="Cambria"/>
      <family val="2"/>
    </font>
    <font>
      <b/>
      <sz val="12"/>
      <color indexed="8"/>
      <name val="Arial"/>
      <family val="2"/>
    </font>
    <font>
      <sz val="12"/>
      <color indexed="10"/>
      <name val="Arial"/>
      <family val="2"/>
    </font>
    <font>
      <b/>
      <sz val="12"/>
      <color indexed="12"/>
      <name val="Arial"/>
      <family val="2"/>
    </font>
    <font>
      <sz val="11"/>
      <color theme="1"/>
      <name val="Calibri"/>
      <family val="2"/>
      <charset val="222"/>
    </font>
    <font>
      <sz val="11"/>
      <color indexed="62"/>
      <name val="Tahoma"/>
      <family val="2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b/>
      <sz val="10"/>
      <name val="Arial"/>
      <family val="2"/>
    </font>
    <font>
      <b/>
      <i/>
      <sz val="10"/>
      <color indexed="12"/>
      <name val="Tahoma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  <font>
      <b/>
      <sz val="9"/>
      <name val="Tahoma"/>
      <family val="2"/>
    </font>
    <font>
      <i/>
      <sz val="9"/>
      <color indexed="12"/>
      <name val="Tahoma"/>
      <family val="2"/>
    </font>
    <font>
      <b/>
      <sz val="9"/>
      <color theme="0"/>
      <name val="Tahoma"/>
      <family val="2"/>
    </font>
    <font>
      <b/>
      <i/>
      <sz val="9"/>
      <color theme="0"/>
      <name val="Tahoma"/>
      <family val="2"/>
    </font>
    <font>
      <sz val="11"/>
      <color theme="0"/>
      <name val="Tahoma"/>
      <family val="2"/>
      <charset val="222"/>
      <scheme val="minor"/>
    </font>
    <font>
      <sz val="11"/>
      <name val="Tahoma"/>
      <family val="2"/>
      <charset val="222"/>
      <scheme val="minor"/>
    </font>
    <font>
      <b/>
      <vertAlign val="subscript"/>
      <sz val="10"/>
      <color theme="0"/>
      <name val="Arial"/>
      <family val="2"/>
    </font>
    <font>
      <b/>
      <sz val="11"/>
      <name val="Tahoma"/>
      <family val="2"/>
      <scheme val="minor"/>
    </font>
    <font>
      <sz val="10"/>
      <name val="Letter Gothic"/>
      <family val="3"/>
    </font>
    <font>
      <sz val="14"/>
      <name val="AngsanaUPC"/>
      <family val="1"/>
    </font>
    <font>
      <b/>
      <sz val="11"/>
      <color indexed="16"/>
      <name val="Arial Narrow"/>
      <family val="2"/>
    </font>
    <font>
      <b/>
      <sz val="10"/>
      <color indexed="18"/>
      <name val="Arial"/>
      <family val="2"/>
      <charset val="222"/>
    </font>
    <font>
      <sz val="7"/>
      <name val="Small Fonts"/>
      <family val="2"/>
    </font>
    <font>
      <sz val="10"/>
      <name val="Arial"/>
      <family val="2"/>
    </font>
    <font>
      <b/>
      <sz val="10"/>
      <color rgb="FFFFFF00"/>
      <name val="Tahoma"/>
      <family val="2"/>
    </font>
    <font>
      <b/>
      <sz val="10"/>
      <color rgb="FFFFFF00"/>
      <name val="Arial"/>
      <family val="2"/>
    </font>
    <font>
      <sz val="10"/>
      <color theme="0" tint="-0.14999847407452621"/>
      <name val="Tahoma"/>
      <family val="2"/>
    </font>
    <font>
      <b/>
      <sz val="10"/>
      <color rgb="FF3333FF"/>
      <name val="Tahoma"/>
      <family val="2"/>
    </font>
    <font>
      <sz val="11"/>
      <name val="Tahoma"/>
      <family val="2"/>
    </font>
    <font>
      <sz val="8"/>
      <name val="Tahoma"/>
      <family val="2"/>
      <scheme val="minor"/>
    </font>
    <font>
      <b/>
      <i/>
      <sz val="8"/>
      <color rgb="FF3333FF"/>
      <name val="Tahoma"/>
      <family val="2"/>
    </font>
    <font>
      <u/>
      <sz val="11"/>
      <color theme="10"/>
      <name val="Tahoma"/>
      <family val="2"/>
      <scheme val="minor"/>
    </font>
    <font>
      <vertAlign val="superscript"/>
      <sz val="11"/>
      <name val="Tahoma"/>
      <family val="2"/>
      <scheme val="minor"/>
    </font>
    <font>
      <b/>
      <sz val="18"/>
      <name val="Tahoma"/>
      <family val="2"/>
    </font>
    <font>
      <b/>
      <sz val="12"/>
      <name val="Tahoma"/>
      <family val="2"/>
    </font>
    <font>
      <b/>
      <sz val="10"/>
      <color rgb="FF0070C0"/>
      <name val="Tahoma"/>
      <family val="2"/>
    </font>
    <font>
      <sz val="10"/>
      <color rgb="FF0070C0"/>
      <name val="Tahoma"/>
      <family val="2"/>
    </font>
    <font>
      <sz val="18"/>
      <name val="Tahoma"/>
      <family val="2"/>
    </font>
    <font>
      <b/>
      <sz val="16"/>
      <name val="Tahoma"/>
      <family val="2"/>
    </font>
    <font>
      <b/>
      <sz val="14"/>
      <name val="Tahoma"/>
      <family val="2"/>
    </font>
    <font>
      <i/>
      <sz val="10"/>
      <color rgb="FF0000FF"/>
      <name val="Tahoma"/>
      <family val="2"/>
    </font>
    <font>
      <sz val="11"/>
      <color theme="1"/>
      <name val="Tahoma"/>
      <family val="2"/>
    </font>
    <font>
      <b/>
      <i/>
      <sz val="10"/>
      <color theme="3" tint="0.39997558519241921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u/>
      <sz val="10"/>
      <color theme="1"/>
      <name val="Tahoma"/>
      <family val="2"/>
    </font>
    <font>
      <b/>
      <u val="singleAccounting"/>
      <sz val="10"/>
      <color theme="1"/>
      <name val="Tahoma"/>
      <family val="2"/>
    </font>
    <font>
      <sz val="10"/>
      <color rgb="FFFF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Tahoma"/>
      <family val="2"/>
    </font>
    <font>
      <b/>
      <u/>
      <sz val="12"/>
      <color theme="1"/>
      <name val="Tahoma"/>
      <family val="2"/>
    </font>
    <font>
      <b/>
      <vertAlign val="subscript"/>
      <sz val="10"/>
      <color theme="1"/>
      <name val="Tahoma"/>
      <family val="2"/>
    </font>
    <font>
      <b/>
      <sz val="8"/>
      <color theme="1"/>
      <name val="Tahoma"/>
      <family val="2"/>
    </font>
    <font>
      <vertAlign val="subscript"/>
      <sz val="10"/>
      <color theme="1"/>
      <name val="Tahoma"/>
      <family val="2"/>
    </font>
    <font>
      <b/>
      <u val="singleAccounting"/>
      <sz val="10"/>
      <name val="Tahoma"/>
      <family val="2"/>
    </font>
    <font>
      <b/>
      <vertAlign val="superscript"/>
      <sz val="10"/>
      <color theme="1"/>
      <name val="Tahoma"/>
      <family val="2"/>
    </font>
    <font>
      <b/>
      <u/>
      <sz val="11"/>
      <color theme="1"/>
      <name val="Tahoma"/>
      <family val="2"/>
    </font>
    <font>
      <b/>
      <sz val="9"/>
      <color theme="1"/>
      <name val="Tahoma"/>
      <family val="2"/>
    </font>
    <font>
      <b/>
      <u/>
      <sz val="16"/>
      <color theme="1"/>
      <name val="Tahoma"/>
      <family val="2"/>
    </font>
    <font>
      <b/>
      <sz val="10"/>
      <color rgb="FFFF0000"/>
      <name val="Tahoma"/>
      <family val="2"/>
    </font>
    <font>
      <u/>
      <sz val="10"/>
      <color theme="10"/>
      <name val="Tahoma"/>
      <family val="2"/>
    </font>
    <font>
      <sz val="10"/>
      <color rgb="FF414042"/>
      <name val="Tahoma"/>
      <family val="2"/>
    </font>
    <font>
      <sz val="10"/>
      <color rgb="FF0000FF"/>
      <name val="Tahoma"/>
      <family val="2"/>
    </font>
    <font>
      <u/>
      <sz val="10"/>
      <name val="Tahoma"/>
      <family val="2"/>
    </font>
    <font>
      <b/>
      <sz val="11"/>
      <color theme="1"/>
      <name val="Tahoma"/>
      <family val="2"/>
    </font>
    <font>
      <sz val="12"/>
      <color theme="1"/>
      <name val="Wingdings 3"/>
      <family val="1"/>
      <charset val="2"/>
    </font>
    <font>
      <vertAlign val="subscript"/>
      <sz val="12"/>
      <color theme="1"/>
      <name val="Tahoma"/>
      <family val="2"/>
    </font>
    <font>
      <b/>
      <sz val="12"/>
      <color rgb="FF0000FF"/>
      <name val="Tahoma"/>
      <family val="2"/>
    </font>
    <font>
      <u/>
      <sz val="12"/>
      <color theme="1"/>
      <name val="Tahoma"/>
      <family val="2"/>
    </font>
    <font>
      <sz val="11"/>
      <color theme="0"/>
      <name val="Tahoma"/>
      <family val="2"/>
      <scheme val="minor"/>
    </font>
    <font>
      <vertAlign val="subscript"/>
      <sz val="8"/>
      <name val="Tahoma"/>
      <family val="2"/>
    </font>
    <font>
      <u val="singleAccounting"/>
      <sz val="10"/>
      <color theme="1"/>
      <name val="Tahoma"/>
      <family val="2"/>
    </font>
    <font>
      <vertAlign val="superscript"/>
      <sz val="10"/>
      <color theme="1"/>
      <name val="Tahoma"/>
      <family val="2"/>
    </font>
    <font>
      <sz val="11"/>
      <name val="Tahoma"/>
      <family val="2"/>
      <scheme val="minor"/>
    </font>
    <font>
      <sz val="11"/>
      <color theme="1"/>
      <name val="Calibri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5"/>
      <color rgb="FF212529"/>
      <name val="Segoe UI"/>
      <family val="2"/>
    </font>
    <font>
      <b/>
      <sz val="8"/>
      <color rgb="FF0000FF"/>
      <name val="Tahoma"/>
      <family val="2"/>
    </font>
    <font>
      <sz val="14"/>
      <color theme="1"/>
      <name val="Tahoma"/>
      <family val="2"/>
      <scheme val="minor"/>
    </font>
    <font>
      <b/>
      <sz val="11"/>
      <name val="Tahoma"/>
      <family val="2"/>
    </font>
    <font>
      <sz val="11"/>
      <color rgb="FF000000"/>
      <name val="Tahoma"/>
      <family val="2"/>
    </font>
    <font>
      <b/>
      <u val="singleAccounting"/>
      <sz val="11"/>
      <color theme="1"/>
      <name val="Tahoma"/>
      <family val="2"/>
    </font>
    <font>
      <sz val="10"/>
      <name val="MS Sans Serif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vertAlign val="subscript"/>
      <sz val="9"/>
      <color theme="1"/>
      <name val="Tahoma"/>
      <family val="2"/>
    </font>
  </fonts>
  <fills count="9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 tint="-0.14999847407452621"/>
        <bgColor rgb="FFFEF2CB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FBFBF"/>
        <bgColor rgb="FFBFBFBF"/>
      </patternFill>
    </fill>
    <fill>
      <patternFill patternType="solid">
        <fgColor rgb="FFE7E6E6"/>
        <bgColor rgb="FFE7E6E6"/>
      </patternFill>
    </fill>
    <fill>
      <patternFill patternType="solid">
        <fgColor rgb="FFC5E0B3"/>
        <bgColor rgb="FFC5E0B3"/>
      </patternFill>
    </fill>
    <fill>
      <patternFill patternType="solid">
        <fgColor rgb="FFE7E6E6"/>
        <bgColor indexed="64"/>
      </patternFill>
    </fill>
    <fill>
      <patternFill patternType="solid">
        <fgColor rgb="FFBDD6EE"/>
        <bgColor rgb="FFBDD6E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39997558519241921"/>
        <bgColor rgb="FF9CC2E5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8" tint="0.59999389629810485"/>
        <bgColor rgb="FFE2EF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59999389629810485"/>
        <bgColor rgb="FFD8D8D8"/>
      </patternFill>
    </fill>
    <fill>
      <patternFill patternType="solid">
        <fgColor rgb="FFCCA677"/>
        <bgColor rgb="FFCCA677"/>
      </patternFill>
    </fill>
    <fill>
      <patternFill patternType="solid">
        <fgColor rgb="FFF8F2EB"/>
        <bgColor rgb="FFF8F2E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8F2EB"/>
      </patternFill>
    </fill>
    <fill>
      <patternFill patternType="solid">
        <fgColor theme="8" tint="0.59999389629810485"/>
        <bgColor rgb="FFCCA677"/>
      </patternFill>
    </fill>
    <fill>
      <patternFill patternType="solid">
        <fgColor theme="4" tint="0.39997558519241921"/>
        <bgColor rgb="FFCCA67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rgb="FFF8F2EB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</borders>
  <cellStyleXfs count="196">
    <xf numFmtId="0" fontId="0" fillId="0" borderId="0"/>
    <xf numFmtId="191" fontId="3" fillId="0" borderId="0" applyFont="0" applyFill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19" borderId="0" applyNumberFormat="0" applyBorder="0" applyAlignment="0" applyProtection="0"/>
    <xf numFmtId="0" fontId="23" fillId="22" borderId="0" applyNumberFormat="0" applyBorder="0" applyAlignment="0" applyProtection="0"/>
    <xf numFmtId="0" fontId="23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3" borderId="0" applyNumberFormat="0" applyBorder="0" applyAlignment="0" applyProtection="0"/>
    <xf numFmtId="0" fontId="25" fillId="17" borderId="0" applyNumberFormat="0" applyBorder="0" applyAlignment="0" applyProtection="0"/>
    <xf numFmtId="0" fontId="26" fillId="34" borderId="39" applyNumberFormat="0" applyAlignment="0" applyProtection="0"/>
    <xf numFmtId="0" fontId="27" fillId="35" borderId="40" applyNumberFormat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3" fontId="28" fillId="0" borderId="0" applyFont="0" applyFill="0" applyBorder="0" applyAlignment="0" applyProtection="0"/>
    <xf numFmtId="43" fontId="30" fillId="0" borderId="0" applyFont="0" applyFill="0" applyBorder="0" applyAlignment="0" applyProtection="0"/>
    <xf numFmtId="193" fontId="28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91" fontId="29" fillId="0" borderId="0" applyFont="0" applyFill="0" applyBorder="0" applyAlignment="0" applyProtection="0"/>
    <xf numFmtId="191" fontId="31" fillId="0" borderId="0" applyFont="0" applyFill="0" applyBorder="0" applyAlignment="0" applyProtection="0"/>
    <xf numFmtId="191" fontId="31" fillId="0" borderId="0" applyFont="0" applyFill="0" applyBorder="0" applyAlignment="0" applyProtection="0"/>
    <xf numFmtId="0" fontId="29" fillId="36" borderId="0" applyNumberFormat="0" applyFont="0" applyBorder="0" applyAlignment="0"/>
    <xf numFmtId="0" fontId="28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0" borderId="41" applyNumberFormat="0" applyFill="0" applyAlignment="0" applyProtection="0"/>
    <xf numFmtId="0" fontId="35" fillId="0" borderId="42" applyNumberFormat="0" applyFill="0" applyAlignment="0" applyProtection="0"/>
    <xf numFmtId="0" fontId="36" fillId="0" borderId="43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9" fillId="21" borderId="39" applyNumberFormat="0" applyAlignment="0" applyProtection="0"/>
    <xf numFmtId="0" fontId="40" fillId="21" borderId="39" applyNumberFormat="0" applyAlignment="0" applyProtection="0"/>
    <xf numFmtId="0" fontId="41" fillId="0" borderId="44" applyNumberFormat="0" applyFill="0" applyAlignment="0" applyProtection="0"/>
    <xf numFmtId="0" fontId="29" fillId="37" borderId="0" applyNumberFormat="0" applyFont="0" applyBorder="0" applyAlignment="0"/>
    <xf numFmtId="0" fontId="42" fillId="38" borderId="0" applyNumberFormat="0" applyBorder="0" applyAlignment="0" applyProtection="0"/>
    <xf numFmtId="0" fontId="43" fillId="0" borderId="0"/>
    <xf numFmtId="0" fontId="29" fillId="0" borderId="0"/>
    <xf numFmtId="0" fontId="44" fillId="0" borderId="0"/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28" fillId="0" borderId="0"/>
    <xf numFmtId="0" fontId="29" fillId="0" borderId="0"/>
    <xf numFmtId="0" fontId="29" fillId="0" borderId="0"/>
    <xf numFmtId="0" fontId="31" fillId="0" borderId="0"/>
    <xf numFmtId="0" fontId="46" fillId="0" borderId="0"/>
    <xf numFmtId="0" fontId="31" fillId="0" borderId="0"/>
    <xf numFmtId="0" fontId="30" fillId="0" borderId="0"/>
    <xf numFmtId="0" fontId="31" fillId="0" borderId="0"/>
    <xf numFmtId="0" fontId="28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23" fillId="39" borderId="45" applyNumberFormat="0" applyFont="0" applyAlignment="0" applyProtection="0"/>
    <xf numFmtId="0" fontId="47" fillId="34" borderId="46" applyNumberFormat="0" applyAlignment="0" applyProtection="0"/>
    <xf numFmtId="9" fontId="29" fillId="0" borderId="0" applyFont="0" applyFill="0" applyBorder="0" applyAlignment="0" applyProtection="0"/>
    <xf numFmtId="4" fontId="48" fillId="38" borderId="47" applyNumberFormat="0" applyProtection="0">
      <alignment vertical="center"/>
    </xf>
    <xf numFmtId="4" fontId="48" fillId="36" borderId="47" applyNumberFormat="0" applyProtection="0">
      <alignment horizontal="left" vertical="center" indent="1"/>
    </xf>
    <xf numFmtId="4" fontId="48" fillId="28" borderId="47" applyNumberFormat="0" applyProtection="0">
      <alignment horizontal="left" vertical="center" indent="1"/>
    </xf>
    <xf numFmtId="4" fontId="48" fillId="40" borderId="47" applyNumberFormat="0" applyProtection="0">
      <alignment horizontal="right" vertical="center"/>
    </xf>
    <xf numFmtId="4" fontId="48" fillId="0" borderId="47" applyNumberFormat="0" applyProtection="0">
      <alignment horizontal="right" vertical="center"/>
    </xf>
    <xf numFmtId="4" fontId="48" fillId="28" borderId="47" applyNumberFormat="0" applyProtection="0">
      <alignment horizontal="left" vertical="center" indent="1"/>
    </xf>
    <xf numFmtId="0" fontId="49" fillId="0" borderId="0"/>
    <xf numFmtId="0" fontId="50" fillId="0" borderId="0" applyNumberFormat="0" applyFill="0" applyBorder="0" applyAlignment="0" applyProtection="0"/>
    <xf numFmtId="0" fontId="51" fillId="0" borderId="48" applyNumberFormat="0" applyFill="0" applyAlignment="0" applyProtection="0"/>
    <xf numFmtId="0" fontId="52" fillId="0" borderId="0" applyNumberFormat="0" applyFill="0" applyBorder="0" applyAlignment="0" applyProtection="0"/>
    <xf numFmtId="0" fontId="53" fillId="36" borderId="0">
      <alignment horizontal="left" vertical="center" indent="1"/>
    </xf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30" fillId="0" borderId="0" applyFont="0" applyFill="0" applyBorder="0" applyAlignment="0" applyProtection="0"/>
    <xf numFmtId="0" fontId="29" fillId="0" borderId="0"/>
    <xf numFmtId="0" fontId="28" fillId="0" borderId="0"/>
    <xf numFmtId="0" fontId="29" fillId="0" borderId="0"/>
    <xf numFmtId="0" fontId="54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55" fillId="21" borderId="39" applyNumberFormat="0" applyAlignment="0" applyProtection="0"/>
    <xf numFmtId="40" fontId="56" fillId="0" borderId="0" applyFont="0" applyFill="0" applyBorder="0" applyAlignment="0" applyProtection="0"/>
    <xf numFmtId="38" fontId="56" fillId="0" borderId="0" applyFont="0" applyFill="0" applyBorder="0" applyAlignment="0" applyProtection="0"/>
    <xf numFmtId="0" fontId="57" fillId="0" borderId="0"/>
    <xf numFmtId="195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9" fontId="71" fillId="0" borderId="0"/>
    <xf numFmtId="200" fontId="72" fillId="0" borderId="0"/>
    <xf numFmtId="201" fontId="72" fillId="0" borderId="0"/>
    <xf numFmtId="38" fontId="48" fillId="46" borderId="0" applyNumberFormat="0" applyBorder="0" applyAlignment="0" applyProtection="0"/>
    <xf numFmtId="0" fontId="73" fillId="0" borderId="0"/>
    <xf numFmtId="0" fontId="74" fillId="0" borderId="0"/>
    <xf numFmtId="10" fontId="48" fillId="47" borderId="2" applyNumberFormat="0" applyBorder="0" applyAlignment="0" applyProtection="0"/>
    <xf numFmtId="189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37" fontId="75" fillId="0" borderId="0"/>
    <xf numFmtId="202" fontId="72" fillId="0" borderId="0"/>
    <xf numFmtId="0" fontId="29" fillId="0" borderId="0"/>
    <xf numFmtId="10" fontId="29" fillId="0" borderId="0" applyFont="0" applyFill="0" applyBorder="0" applyAlignment="0" applyProtection="0"/>
    <xf numFmtId="1" fontId="29" fillId="0" borderId="7" applyNumberFormat="0" applyFill="0" applyAlignment="0" applyProtection="0">
      <alignment horizontal="center" vertical="center"/>
    </xf>
    <xf numFmtId="203" fontId="72" fillId="0" borderId="4"/>
    <xf numFmtId="187" fontId="49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7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84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43" fontId="29" fillId="0" borderId="0" applyFont="0" applyFill="0" applyBorder="0" applyAlignment="0" applyProtection="0"/>
    <xf numFmtId="0" fontId="137" fillId="0" borderId="0"/>
  </cellStyleXfs>
  <cellXfs count="1410">
    <xf numFmtId="0" fontId="0" fillId="0" borderId="0" xfId="0"/>
    <xf numFmtId="192" fontId="7" fillId="0" borderId="0" xfId="0" applyNumberFormat="1" applyFont="1" applyAlignment="1">
      <alignment horizontal="center"/>
    </xf>
    <xf numFmtId="0" fontId="0" fillId="0" borderId="2" xfId="0" applyBorder="1"/>
    <xf numFmtId="0" fontId="11" fillId="10" borderId="2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191" fontId="11" fillId="8" borderId="4" xfId="1" applyFont="1" applyFill="1" applyBorder="1" applyAlignment="1">
      <alignment horizontal="center" vertical="center"/>
    </xf>
    <xf numFmtId="0" fontId="11" fillId="9" borderId="30" xfId="0" applyFont="1" applyFill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1" fillId="10" borderId="34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30" xfId="0" applyFont="1" applyFill="1" applyBorder="1" applyAlignment="1">
      <alignment horizontal="center" vertical="center"/>
    </xf>
    <xf numFmtId="0" fontId="11" fillId="10" borderId="31" xfId="0" applyFont="1" applyFill="1" applyBorder="1" applyAlignment="1">
      <alignment horizontal="center" vertical="center"/>
    </xf>
    <xf numFmtId="0" fontId="11" fillId="10" borderId="32" xfId="0" applyFont="1" applyFill="1" applyBorder="1" applyAlignment="1">
      <alignment vertical="center" wrapText="1"/>
    </xf>
    <xf numFmtId="0" fontId="14" fillId="0" borderId="11" xfId="0" applyFont="1" applyBorder="1"/>
    <xf numFmtId="0" fontId="15" fillId="0" borderId="11" xfId="0" applyFont="1" applyBorder="1" applyAlignment="1">
      <alignment horizontal="center"/>
    </xf>
    <xf numFmtId="191" fontId="15" fillId="0" borderId="1" xfId="1" applyFont="1" applyBorder="1"/>
    <xf numFmtId="192" fontId="15" fillId="0" borderId="1" xfId="1" applyNumberFormat="1" applyFont="1" applyBorder="1"/>
    <xf numFmtId="192" fontId="15" fillId="0" borderId="0" xfId="1" applyNumberFormat="1" applyFont="1"/>
    <xf numFmtId="192" fontId="15" fillId="0" borderId="11" xfId="1" applyNumberFormat="1" applyFont="1" applyBorder="1"/>
    <xf numFmtId="192" fontId="15" fillId="12" borderId="1" xfId="1" applyNumberFormat="1" applyFont="1" applyFill="1" applyBorder="1"/>
    <xf numFmtId="192" fontId="15" fillId="12" borderId="0" xfId="1" applyNumberFormat="1" applyFont="1" applyFill="1"/>
    <xf numFmtId="192" fontId="15" fillId="13" borderId="2" xfId="1" applyNumberFormat="1" applyFont="1" applyFill="1" applyBorder="1"/>
    <xf numFmtId="191" fontId="15" fillId="13" borderId="1" xfId="1" applyFont="1" applyFill="1" applyBorder="1"/>
    <xf numFmtId="191" fontId="15" fillId="12" borderId="1" xfId="1" applyFont="1" applyFill="1" applyBorder="1"/>
    <xf numFmtId="0" fontId="15" fillId="0" borderId="2" xfId="0" applyFont="1" applyBorder="1"/>
    <xf numFmtId="0" fontId="15" fillId="0" borderId="11" xfId="0" applyFont="1" applyBorder="1"/>
    <xf numFmtId="191" fontId="15" fillId="0" borderId="7" xfId="1" applyFont="1" applyBorder="1"/>
    <xf numFmtId="192" fontId="15" fillId="0" borderId="7" xfId="1" applyNumberFormat="1" applyFont="1" applyBorder="1"/>
    <xf numFmtId="192" fontId="15" fillId="12" borderId="7" xfId="1" applyNumberFormat="1" applyFont="1" applyFill="1" applyBorder="1"/>
    <xf numFmtId="191" fontId="16" fillId="0" borderId="2" xfId="0" applyNumberFormat="1" applyFont="1" applyBorder="1"/>
    <xf numFmtId="192" fontId="8" fillId="0" borderId="0" xfId="0" applyNumberFormat="1" applyFont="1"/>
    <xf numFmtId="191" fontId="16" fillId="0" borderId="2" xfId="1" applyFont="1" applyBorder="1"/>
    <xf numFmtId="191" fontId="15" fillId="0" borderId="7" xfId="1" applyFont="1" applyBorder="1" applyAlignment="1">
      <alignment vertical="center" wrapText="1"/>
    </xf>
    <xf numFmtId="192" fontId="15" fillId="12" borderId="11" xfId="1" applyNumberFormat="1" applyFont="1" applyFill="1" applyBorder="1"/>
    <xf numFmtId="0" fontId="16" fillId="0" borderId="2" xfId="0" applyFont="1" applyBorder="1"/>
    <xf numFmtId="191" fontId="15" fillId="0" borderId="8" xfId="1" applyFont="1" applyBorder="1" applyAlignment="1">
      <alignment vertical="center" wrapText="1"/>
    </xf>
    <xf numFmtId="192" fontId="15" fillId="0" borderId="8" xfId="1" applyNumberFormat="1" applyFont="1" applyBorder="1"/>
    <xf numFmtId="192" fontId="15" fillId="0" borderId="23" xfId="1" applyNumberFormat="1" applyFont="1" applyBorder="1"/>
    <xf numFmtId="0" fontId="15" fillId="14" borderId="3" xfId="0" applyFont="1" applyFill="1" applyBorder="1"/>
    <xf numFmtId="0" fontId="14" fillId="14" borderId="2" xfId="0" applyFont="1" applyFill="1" applyBorder="1" applyAlignment="1">
      <alignment horizontal="center"/>
    </xf>
    <xf numFmtId="191" fontId="15" fillId="14" borderId="10" xfId="1" applyFont="1" applyFill="1" applyBorder="1"/>
    <xf numFmtId="191" fontId="11" fillId="14" borderId="1" xfId="1" applyFont="1" applyFill="1" applyBorder="1"/>
    <xf numFmtId="191" fontId="17" fillId="14" borderId="2" xfId="0" applyNumberFormat="1" applyFont="1" applyFill="1" applyBorder="1"/>
    <xf numFmtId="0" fontId="15" fillId="0" borderId="1" xfId="0" applyFont="1" applyBorder="1"/>
    <xf numFmtId="0" fontId="18" fillId="0" borderId="1" xfId="0" applyFont="1" applyBorder="1" applyAlignment="1">
      <alignment horizontal="center"/>
    </xf>
    <xf numFmtId="191" fontId="19" fillId="0" borderId="1" xfId="1" applyFont="1" applyBorder="1"/>
    <xf numFmtId="192" fontId="15" fillId="12" borderId="6" xfId="1" applyNumberFormat="1" applyFont="1" applyFill="1" applyBorder="1"/>
    <xf numFmtId="192" fontId="15" fillId="12" borderId="9" xfId="1" applyNumberFormat="1" applyFont="1" applyFill="1" applyBorder="1"/>
    <xf numFmtId="192" fontId="15" fillId="12" borderId="10" xfId="1" applyNumberFormat="1" applyFont="1" applyFill="1" applyBorder="1"/>
    <xf numFmtId="191" fontId="15" fillId="12" borderId="6" xfId="1" applyFont="1" applyFill="1" applyBorder="1"/>
    <xf numFmtId="191" fontId="15" fillId="12" borderId="9" xfId="1" applyFont="1" applyFill="1" applyBorder="1"/>
    <xf numFmtId="0" fontId="15" fillId="0" borderId="7" xfId="0" applyFont="1" applyBorder="1"/>
    <xf numFmtId="0" fontId="18" fillId="0" borderId="7" xfId="0" applyFont="1" applyBorder="1" applyAlignment="1">
      <alignment horizontal="center"/>
    </xf>
    <xf numFmtId="191" fontId="19" fillId="0" borderId="7" xfId="1" applyFont="1" applyBorder="1"/>
    <xf numFmtId="192" fontId="15" fillId="12" borderId="35" xfId="1" applyNumberFormat="1" applyFont="1" applyFill="1" applyBorder="1"/>
    <xf numFmtId="191" fontId="15" fillId="12" borderId="11" xfId="1" applyFont="1" applyFill="1" applyBorder="1"/>
    <xf numFmtId="191" fontId="15" fillId="12" borderId="0" xfId="1" applyFont="1" applyFill="1"/>
    <xf numFmtId="191" fontId="16" fillId="0" borderId="5" xfId="0" applyNumberFormat="1" applyFont="1" applyBorder="1"/>
    <xf numFmtId="191" fontId="19" fillId="12" borderId="0" xfId="1" applyFont="1" applyFill="1"/>
    <xf numFmtId="0" fontId="15" fillId="0" borderId="5" xfId="0" applyFont="1" applyBorder="1"/>
    <xf numFmtId="192" fontId="8" fillId="0" borderId="0" xfId="1" applyNumberFormat="1" applyFont="1"/>
    <xf numFmtId="192" fontId="15" fillId="12" borderId="23" xfId="1" applyNumberFormat="1" applyFont="1" applyFill="1" applyBorder="1"/>
    <xf numFmtId="192" fontId="15" fillId="12" borderId="12" xfId="1" applyNumberFormat="1" applyFont="1" applyFill="1" applyBorder="1"/>
    <xf numFmtId="191" fontId="19" fillId="12" borderId="12" xfId="1" applyFont="1" applyFill="1" applyBorder="1"/>
    <xf numFmtId="192" fontId="15" fillId="12" borderId="13" xfId="1" applyNumberFormat="1" applyFont="1" applyFill="1" applyBorder="1"/>
    <xf numFmtId="191" fontId="15" fillId="12" borderId="23" xfId="1" applyFont="1" applyFill="1" applyBorder="1"/>
    <xf numFmtId="191" fontId="15" fillId="12" borderId="12" xfId="1" applyFont="1" applyFill="1" applyBorder="1"/>
    <xf numFmtId="191" fontId="11" fillId="14" borderId="2" xfId="1" applyFont="1" applyFill="1" applyBorder="1"/>
    <xf numFmtId="191" fontId="11" fillId="14" borderId="8" xfId="1" applyFont="1" applyFill="1" applyBorder="1"/>
    <xf numFmtId="0" fontId="17" fillId="14" borderId="5" xfId="0" applyFont="1" applyFill="1" applyBorder="1"/>
    <xf numFmtId="0" fontId="15" fillId="0" borderId="0" xfId="0" applyFont="1"/>
    <xf numFmtId="191" fontId="18" fillId="0" borderId="1" xfId="1" applyFont="1" applyBorder="1"/>
    <xf numFmtId="192" fontId="15" fillId="0" borderId="36" xfId="0" applyNumberFormat="1" applyFont="1" applyBorder="1"/>
    <xf numFmtId="0" fontId="8" fillId="0" borderId="0" xfId="0" applyFont="1" applyAlignment="1">
      <alignment vertical="center" wrapText="1"/>
    </xf>
    <xf numFmtId="192" fontId="15" fillId="0" borderId="37" xfId="1" applyNumberFormat="1" applyFont="1" applyBorder="1"/>
    <xf numFmtId="191" fontId="8" fillId="0" borderId="0" xfId="0" applyNumberFormat="1" applyFont="1"/>
    <xf numFmtId="191" fontId="15" fillId="0" borderId="8" xfId="1" applyFont="1" applyBorder="1"/>
    <xf numFmtId="192" fontId="15" fillId="0" borderId="38" xfId="0" applyNumberFormat="1" applyFont="1" applyBorder="1"/>
    <xf numFmtId="0" fontId="7" fillId="0" borderId="0" xfId="0" applyFont="1" applyAlignment="1">
      <alignment horizontal="center" vertical="center"/>
    </xf>
    <xf numFmtId="0" fontId="17" fillId="14" borderId="2" xfId="0" applyFont="1" applyFill="1" applyBorder="1"/>
    <xf numFmtId="0" fontId="15" fillId="0" borderId="1" xfId="0" applyFont="1" applyBorder="1" applyAlignment="1">
      <alignment horizontal="center"/>
    </xf>
    <xf numFmtId="191" fontId="15" fillId="0" borderId="9" xfId="1" applyFont="1" applyBorder="1"/>
    <xf numFmtId="0" fontId="15" fillId="0" borderId="7" xfId="0" applyFont="1" applyBorder="1" applyAlignment="1">
      <alignment horizontal="center"/>
    </xf>
    <xf numFmtId="191" fontId="15" fillId="0" borderId="0" xfId="1" applyFont="1"/>
    <xf numFmtId="0" fontId="8" fillId="0" borderId="0" xfId="0" applyFont="1"/>
    <xf numFmtId="0" fontId="15" fillId="0" borderId="8" xfId="0" applyFont="1" applyBorder="1"/>
    <xf numFmtId="0" fontId="14" fillId="0" borderId="11" xfId="0" applyFont="1" applyBorder="1" applyAlignment="1">
      <alignment horizontal="center" vertical="center" textRotation="90"/>
    </xf>
    <xf numFmtId="0" fontId="15" fillId="0" borderId="0" xfId="0" applyFont="1" applyAlignment="1">
      <alignment horizontal="center"/>
    </xf>
    <xf numFmtId="191" fontId="21" fillId="3" borderId="5" xfId="1" applyFont="1" applyFill="1" applyBorder="1" applyAlignment="1">
      <alignment horizontal="right" vertical="center"/>
    </xf>
    <xf numFmtId="0" fontId="14" fillId="0" borderId="5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8" fillId="0" borderId="0" xfId="0" applyFont="1" applyAlignment="1">
      <alignment horizontal="center"/>
    </xf>
    <xf numFmtId="191" fontId="8" fillId="0" borderId="0" xfId="1" applyFont="1"/>
    <xf numFmtId="192" fontId="8" fillId="0" borderId="0" xfId="0" applyNumberFormat="1" applyFont="1" applyAlignment="1">
      <alignment horizontal="center" vertical="center"/>
    </xf>
    <xf numFmtId="0" fontId="2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7" fillId="0" borderId="0" xfId="0" applyFont="1"/>
    <xf numFmtId="0" fontId="63" fillId="43" borderId="3" xfId="0" applyFont="1" applyFill="1" applyBorder="1" applyAlignment="1">
      <alignment horizontal="center" vertical="center" wrapText="1"/>
    </xf>
    <xf numFmtId="191" fontId="64" fillId="0" borderId="5" xfId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63" fillId="43" borderId="2" xfId="0" applyFont="1" applyFill="1" applyBorder="1" applyAlignment="1">
      <alignment horizontal="center" vertical="center"/>
    </xf>
    <xf numFmtId="191" fontId="64" fillId="0" borderId="2" xfId="1" applyFont="1" applyBorder="1" applyAlignment="1">
      <alignment horizontal="center" vertical="center"/>
    </xf>
    <xf numFmtId="191" fontId="66" fillId="14" borderId="2" xfId="1" applyFont="1" applyFill="1" applyBorder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15" fillId="14" borderId="10" xfId="0" applyFont="1" applyFill="1" applyBorder="1"/>
    <xf numFmtId="0" fontId="15" fillId="14" borderId="13" xfId="0" applyFont="1" applyFill="1" applyBorder="1"/>
    <xf numFmtId="0" fontId="6" fillId="15" borderId="4" xfId="0" applyFont="1" applyFill="1" applyBorder="1" applyAlignment="1">
      <alignment horizontal="center" vertical="center"/>
    </xf>
    <xf numFmtId="0" fontId="15" fillId="14" borderId="5" xfId="0" applyFont="1" applyFill="1" applyBorder="1"/>
    <xf numFmtId="192" fontId="15" fillId="0" borderId="49" xfId="1" applyNumberFormat="1" applyFont="1" applyBorder="1"/>
    <xf numFmtId="192" fontId="15" fillId="0" borderId="50" xfId="1" applyNumberFormat="1" applyFont="1" applyBorder="1"/>
    <xf numFmtId="0" fontId="29" fillId="0" borderId="0" xfId="161"/>
    <xf numFmtId="0" fontId="8" fillId="0" borderId="0" xfId="161" applyFont="1"/>
    <xf numFmtId="0" fontId="8" fillId="0" borderId="0" xfId="161" applyFont="1" applyAlignment="1">
      <alignment vertical="center"/>
    </xf>
    <xf numFmtId="0" fontId="8" fillId="0" borderId="0" xfId="161" applyFont="1" applyAlignment="1">
      <alignment horizontal="left" vertical="center"/>
    </xf>
    <xf numFmtId="0" fontId="8" fillId="5" borderId="11" xfId="161" applyFont="1" applyFill="1" applyBorder="1"/>
    <xf numFmtId="0" fontId="8" fillId="5" borderId="35" xfId="161" applyFont="1" applyFill="1" applyBorder="1"/>
    <xf numFmtId="0" fontId="8" fillId="5" borderId="11" xfId="161" applyFont="1" applyFill="1" applyBorder="1" applyAlignment="1">
      <alignment vertical="center"/>
    </xf>
    <xf numFmtId="0" fontId="8" fillId="5" borderId="35" xfId="161" applyFont="1" applyFill="1" applyBorder="1" applyAlignment="1">
      <alignment vertical="center"/>
    </xf>
    <xf numFmtId="0" fontId="8" fillId="13" borderId="2" xfId="161" applyFont="1" applyFill="1" applyBorder="1" applyAlignment="1">
      <alignment horizontal="center"/>
    </xf>
    <xf numFmtId="0" fontId="8" fillId="5" borderId="3" xfId="169" applyFont="1" applyFill="1" applyBorder="1"/>
    <xf numFmtId="0" fontId="8" fillId="5" borderId="4" xfId="169" applyFont="1" applyFill="1" applyBorder="1"/>
    <xf numFmtId="0" fontId="8" fillId="5" borderId="5" xfId="169" applyFont="1" applyFill="1" applyBorder="1"/>
    <xf numFmtId="0" fontId="81" fillId="0" borderId="0" xfId="175" applyFont="1"/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62" fillId="2" borderId="23" xfId="0" applyFont="1" applyFill="1" applyBorder="1" applyAlignment="1">
      <alignment horizontal="center" vertical="center"/>
    </xf>
    <xf numFmtId="194" fontId="66" fillId="14" borderId="2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8" fillId="45" borderId="0" xfId="0" applyFont="1" applyFill="1"/>
    <xf numFmtId="0" fontId="68" fillId="45" borderId="2" xfId="0" applyFont="1" applyFill="1" applyBorder="1"/>
    <xf numFmtId="0" fontId="68" fillId="45" borderId="2" xfId="0" applyFont="1" applyFill="1" applyBorder="1" applyAlignment="1">
      <alignment horizontal="center" vertical="top"/>
    </xf>
    <xf numFmtId="0" fontId="68" fillId="45" borderId="2" xfId="0" applyFont="1" applyFill="1" applyBorder="1" applyAlignment="1">
      <alignment vertical="top"/>
    </xf>
    <xf numFmtId="0" fontId="68" fillId="45" borderId="2" xfId="0" applyFont="1" applyFill="1" applyBorder="1" applyAlignment="1">
      <alignment horizontal="center" vertical="center"/>
    </xf>
    <xf numFmtId="0" fontId="68" fillId="45" borderId="2" xfId="0" applyFont="1" applyFill="1" applyBorder="1" applyAlignment="1">
      <alignment horizontal="center"/>
    </xf>
    <xf numFmtId="0" fontId="70" fillId="45" borderId="2" xfId="0" applyFont="1" applyFill="1" applyBorder="1" applyAlignment="1">
      <alignment vertical="top"/>
    </xf>
    <xf numFmtId="49" fontId="68" fillId="45" borderId="2" xfId="0" applyNumberFormat="1" applyFont="1" applyFill="1" applyBorder="1" applyAlignment="1">
      <alignment vertical="top"/>
    </xf>
    <xf numFmtId="0" fontId="4" fillId="4" borderId="0" xfId="0" applyFont="1" applyFill="1"/>
    <xf numFmtId="0" fontId="68" fillId="4" borderId="0" xfId="0" applyFont="1" applyFill="1"/>
    <xf numFmtId="197" fontId="68" fillId="45" borderId="0" xfId="1" applyNumberFormat="1" applyFont="1" applyFill="1"/>
    <xf numFmtId="197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 applyAlignment="1">
      <alignment horizontal="center"/>
    </xf>
    <xf numFmtId="0" fontId="68" fillId="45" borderId="2" xfId="1" applyNumberFormat="1" applyFont="1" applyFill="1" applyBorder="1" applyAlignment="1">
      <alignment horizontal="center" vertical="top"/>
    </xf>
    <xf numFmtId="0" fontId="68" fillId="45" borderId="2" xfId="1" applyNumberFormat="1" applyFont="1" applyFill="1" applyBorder="1" applyAlignment="1">
      <alignment horizontal="center"/>
    </xf>
    <xf numFmtId="0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/>
    <xf numFmtId="191" fontId="15" fillId="13" borderId="10" xfId="1" applyFont="1" applyFill="1" applyBorder="1"/>
    <xf numFmtId="191" fontId="11" fillId="14" borderId="5" xfId="1" applyFont="1" applyFill="1" applyBorder="1"/>
    <xf numFmtId="198" fontId="68" fillId="45" borderId="2" xfId="1" applyNumberFormat="1" applyFont="1" applyFill="1" applyBorder="1" applyAlignment="1">
      <alignment horizontal="center" vertical="top"/>
    </xf>
    <xf numFmtId="0" fontId="9" fillId="44" borderId="2" xfId="0" applyFont="1" applyFill="1" applyBorder="1" applyAlignment="1">
      <alignment horizontal="center" vertical="center"/>
    </xf>
    <xf numFmtId="0" fontId="59" fillId="45" borderId="2" xfId="0" applyFont="1" applyFill="1" applyBorder="1" applyAlignment="1">
      <alignment horizontal="left" vertical="center"/>
    </xf>
    <xf numFmtId="0" fontId="59" fillId="45" borderId="2" xfId="0" applyFont="1" applyFill="1" applyBorder="1" applyAlignment="1">
      <alignment horizontal="center" vertical="center"/>
    </xf>
    <xf numFmtId="11" fontId="59" fillId="45" borderId="2" xfId="0" applyNumberFormat="1" applyFont="1" applyFill="1" applyBorder="1" applyAlignment="1">
      <alignment horizontal="center" vertical="center"/>
    </xf>
    <xf numFmtId="204" fontId="59" fillId="45" borderId="2" xfId="0" applyNumberFormat="1" applyFont="1" applyFill="1" applyBorder="1" applyAlignment="1">
      <alignment horizontal="center" vertical="center"/>
    </xf>
    <xf numFmtId="0" fontId="68" fillId="45" borderId="0" xfId="0" applyFont="1" applyFill="1" applyAlignment="1">
      <alignment horizontal="left" vertical="top"/>
    </xf>
    <xf numFmtId="197" fontId="68" fillId="45" borderId="0" xfId="1" applyNumberFormat="1" applyFont="1" applyFill="1" applyAlignment="1">
      <alignment horizontal="left" vertical="top"/>
    </xf>
    <xf numFmtId="0" fontId="68" fillId="4" borderId="0" xfId="0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 wrapText="1"/>
    </xf>
    <xf numFmtId="197" fontId="68" fillId="4" borderId="0" xfId="1" applyNumberFormat="1" applyFont="1" applyFill="1"/>
    <xf numFmtId="192" fontId="68" fillId="45" borderId="0" xfId="1" applyNumberFormat="1" applyFont="1" applyFill="1"/>
    <xf numFmtId="191" fontId="68" fillId="45" borderId="0" xfId="1" applyFont="1" applyFill="1"/>
    <xf numFmtId="204" fontId="68" fillId="45" borderId="0" xfId="0" applyNumberFormat="1" applyFont="1" applyFill="1"/>
    <xf numFmtId="0" fontId="68" fillId="45" borderId="0" xfId="0" applyFont="1" applyFill="1" applyAlignment="1">
      <alignment horizontal="center"/>
    </xf>
    <xf numFmtId="2" fontId="68" fillId="45" borderId="2" xfId="1" applyNumberFormat="1" applyFont="1" applyFill="1" applyBorder="1" applyAlignment="1">
      <alignment horizontal="center"/>
    </xf>
    <xf numFmtId="194" fontId="0" fillId="0" borderId="2" xfId="1" applyNumberFormat="1" applyFont="1" applyBorder="1"/>
    <xf numFmtId="191" fontId="64" fillId="0" borderId="2" xfId="0" applyNumberFormat="1" applyFont="1" applyBorder="1" applyAlignment="1">
      <alignment horizontal="center" vertical="center"/>
    </xf>
    <xf numFmtId="0" fontId="10" fillId="8" borderId="4" xfId="161" applyFont="1" applyFill="1" applyBorder="1" applyAlignment="1">
      <alignment horizontal="left" vertical="center"/>
    </xf>
    <xf numFmtId="0" fontId="68" fillId="45" borderId="2" xfId="0" applyFont="1" applyFill="1" applyBorder="1" applyAlignment="1">
      <alignment horizontal="center" vertical="center" wrapText="1"/>
    </xf>
    <xf numFmtId="0" fontId="68" fillId="45" borderId="2" xfId="0" applyFont="1" applyFill="1" applyBorder="1" applyAlignment="1">
      <alignment vertical="center"/>
    </xf>
    <xf numFmtId="0" fontId="68" fillId="45" borderId="2" xfId="0" applyFont="1" applyFill="1" applyBorder="1" applyAlignment="1">
      <alignment vertical="center" wrapText="1"/>
    </xf>
    <xf numFmtId="192" fontId="9" fillId="44" borderId="2" xfId="1" applyNumberFormat="1" applyFont="1" applyFill="1" applyBorder="1" applyAlignment="1">
      <alignment horizontal="center" vertical="center"/>
    </xf>
    <xf numFmtId="192" fontId="59" fillId="45" borderId="2" xfId="1" applyNumberFormat="1" applyFont="1" applyFill="1" applyBorder="1" applyAlignment="1">
      <alignment horizontal="center" vertical="center"/>
    </xf>
    <xf numFmtId="192" fontId="59" fillId="45" borderId="0" xfId="1" applyNumberFormat="1" applyFont="1" applyFill="1" applyBorder="1" applyAlignment="1">
      <alignment horizontal="center" vertical="center"/>
    </xf>
    <xf numFmtId="192" fontId="68" fillId="4" borderId="0" xfId="1" applyNumberFormat="1" applyFont="1" applyFill="1"/>
    <xf numFmtId="192" fontId="68" fillId="45" borderId="0" xfId="1" applyNumberFormat="1" applyFont="1" applyFill="1" applyAlignment="1">
      <alignment horizontal="center"/>
    </xf>
    <xf numFmtId="192" fontId="68" fillId="45" borderId="2" xfId="1" applyNumberFormat="1" applyFont="1" applyFill="1" applyBorder="1" applyAlignment="1">
      <alignment horizontal="center"/>
    </xf>
    <xf numFmtId="192" fontId="68" fillId="45" borderId="2" xfId="1" applyNumberFormat="1" applyFont="1" applyFill="1" applyBorder="1"/>
    <xf numFmtId="0" fontId="70" fillId="45" borderId="2" xfId="0" applyFont="1" applyFill="1" applyBorder="1" applyAlignment="1">
      <alignment vertical="center"/>
    </xf>
    <xf numFmtId="0" fontId="8" fillId="45" borderId="23" xfId="0" applyFont="1" applyFill="1" applyBorder="1"/>
    <xf numFmtId="0" fontId="8" fillId="45" borderId="12" xfId="0" applyFont="1" applyFill="1" applyBorder="1"/>
    <xf numFmtId="0" fontId="8" fillId="45" borderId="13" xfId="0" applyFont="1" applyFill="1" applyBorder="1"/>
    <xf numFmtId="0" fontId="8" fillId="45" borderId="0" xfId="0" applyFont="1" applyFill="1"/>
    <xf numFmtId="0" fontId="65" fillId="42" borderId="2" xfId="0" applyFont="1" applyFill="1" applyBorder="1" applyAlignment="1">
      <alignment horizontal="center" vertical="center" wrapText="1"/>
    </xf>
    <xf numFmtId="0" fontId="8" fillId="45" borderId="11" xfId="0" applyFont="1" applyFill="1" applyBorder="1"/>
    <xf numFmtId="0" fontId="8" fillId="45" borderId="35" xfId="0" applyFont="1" applyFill="1" applyBorder="1"/>
    <xf numFmtId="0" fontId="8" fillId="5" borderId="0" xfId="161" applyFont="1" applyFill="1"/>
    <xf numFmtId="0" fontId="83" fillId="13" borderId="2" xfId="161" applyFont="1" applyFill="1" applyBorder="1" applyAlignment="1">
      <alignment horizontal="center" vertical="center"/>
    </xf>
    <xf numFmtId="0" fontId="8" fillId="13" borderId="3" xfId="0" applyFont="1" applyFill="1" applyBorder="1"/>
    <xf numFmtId="0" fontId="8" fillId="13" borderId="2" xfId="0" applyFont="1" applyFill="1" applyBorder="1"/>
    <xf numFmtId="0" fontId="8" fillId="13" borderId="3" xfId="0" applyFont="1" applyFill="1" applyBorder="1" applyAlignment="1">
      <alignment horizontal="right"/>
    </xf>
    <xf numFmtId="0" fontId="8" fillId="13" borderId="5" xfId="0" applyFont="1" applyFill="1" applyBorder="1"/>
    <xf numFmtId="0" fontId="61" fillId="13" borderId="3" xfId="161" applyFont="1" applyFill="1" applyBorder="1" applyAlignment="1">
      <alignment horizontal="center"/>
    </xf>
    <xf numFmtId="0" fontId="61" fillId="13" borderId="4" xfId="161" applyFont="1" applyFill="1" applyBorder="1" applyAlignment="1">
      <alignment horizontal="center"/>
    </xf>
    <xf numFmtId="0" fontId="61" fillId="13" borderId="5" xfId="161" applyFont="1" applyFill="1" applyBorder="1" applyAlignment="1">
      <alignment horizontal="center"/>
    </xf>
    <xf numFmtId="0" fontId="68" fillId="45" borderId="0" xfId="0" applyFont="1" applyFill="1" applyAlignment="1">
      <alignment vertical="center"/>
    </xf>
    <xf numFmtId="0" fontId="68" fillId="45" borderId="0" xfId="0" applyFont="1" applyFill="1" applyAlignment="1">
      <alignment vertical="center" wrapText="1"/>
    </xf>
    <xf numFmtId="0" fontId="68" fillId="45" borderId="0" xfId="0" applyFont="1" applyFill="1" applyAlignment="1">
      <alignment horizontal="center" vertical="center"/>
    </xf>
    <xf numFmtId="11" fontId="59" fillId="45" borderId="0" xfId="0" applyNumberFormat="1" applyFont="1" applyFill="1" applyAlignment="1">
      <alignment horizontal="center" vertical="center"/>
    </xf>
    <xf numFmtId="0" fontId="68" fillId="45" borderId="0" xfId="0" applyFont="1" applyFill="1" applyAlignment="1">
      <alignment horizontal="center" vertical="center" wrapText="1"/>
    </xf>
    <xf numFmtId="49" fontId="68" fillId="45" borderId="0" xfId="0" applyNumberFormat="1" applyFont="1" applyFill="1" applyAlignment="1">
      <alignment vertical="top"/>
    </xf>
    <xf numFmtId="11" fontId="84" fillId="45" borderId="0" xfId="176" applyNumberFormat="1" applyFill="1" applyBorder="1" applyAlignment="1">
      <alignment horizontal="left" vertical="center"/>
    </xf>
    <xf numFmtId="0" fontId="68" fillId="0" borderId="2" xfId="1" applyNumberFormat="1" applyFont="1" applyFill="1" applyBorder="1" applyAlignment="1">
      <alignment horizontal="center" vertical="top"/>
    </xf>
    <xf numFmtId="0" fontId="68" fillId="0" borderId="2" xfId="0" applyFont="1" applyBorder="1" applyAlignment="1">
      <alignment horizontal="center" vertical="top"/>
    </xf>
    <xf numFmtId="0" fontId="68" fillId="0" borderId="2" xfId="0" applyFont="1" applyBorder="1" applyAlignment="1">
      <alignment vertical="top"/>
    </xf>
    <xf numFmtId="192" fontId="68" fillId="45" borderId="0" xfId="0" applyNumberFormat="1" applyFont="1" applyFill="1"/>
    <xf numFmtId="0" fontId="0" fillId="0" borderId="2" xfId="0" applyBorder="1" applyAlignment="1">
      <alignment horizontal="center" vertical="center"/>
    </xf>
    <xf numFmtId="0" fontId="8" fillId="45" borderId="0" xfId="0" applyFont="1" applyFill="1" applyAlignment="1">
      <alignment horizontal="center"/>
    </xf>
    <xf numFmtId="0" fontId="8" fillId="45" borderId="35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left"/>
    </xf>
    <xf numFmtId="205" fontId="15" fillId="0" borderId="1" xfId="1" applyNumberFormat="1" applyFont="1" applyBorder="1"/>
    <xf numFmtId="192" fontId="15" fillId="12" borderId="0" xfId="1" applyNumberFormat="1" applyFont="1" applyFill="1" applyBorder="1"/>
    <xf numFmtId="191" fontId="15" fillId="12" borderId="0" xfId="1" applyFont="1" applyFill="1" applyBorder="1"/>
    <xf numFmtId="0" fontId="7" fillId="0" borderId="2" xfId="161" applyFont="1" applyBorder="1" applyAlignment="1">
      <alignment horizontal="left" vertical="center"/>
    </xf>
    <xf numFmtId="0" fontId="7" fillId="0" borderId="2" xfId="161" applyFont="1" applyBorder="1" applyAlignment="1">
      <alignment horizontal="center" vertical="center"/>
    </xf>
    <xf numFmtId="0" fontId="89" fillId="0" borderId="2" xfId="161" applyFont="1" applyBorder="1" applyAlignment="1">
      <alignment horizontal="center" vertical="center"/>
    </xf>
    <xf numFmtId="0" fontId="7" fillId="0" borderId="2" xfId="175" applyFont="1" applyBorder="1" applyAlignment="1">
      <alignment horizontal="left" vertical="center"/>
    </xf>
    <xf numFmtId="0" fontId="7" fillId="0" borderId="2" xfId="175" applyFont="1" applyBorder="1" applyAlignment="1">
      <alignment horizontal="center" vertical="center"/>
    </xf>
    <xf numFmtId="0" fontId="89" fillId="0" borderId="2" xfId="175" applyFont="1" applyBorder="1" applyAlignment="1">
      <alignment horizontal="center" vertical="center"/>
    </xf>
    <xf numFmtId="0" fontId="6" fillId="15" borderId="2" xfId="0" applyFont="1" applyFill="1" applyBorder="1" applyAlignment="1">
      <alignment horizontal="center"/>
    </xf>
    <xf numFmtId="0" fontId="93" fillId="15" borderId="4" xfId="0" applyFont="1" applyFill="1" applyBorder="1"/>
    <xf numFmtId="0" fontId="94" fillId="0" borderId="0" xfId="0" applyFont="1"/>
    <xf numFmtId="0" fontId="61" fillId="15" borderId="4" xfId="0" applyFont="1" applyFill="1" applyBorder="1"/>
    <xf numFmtId="0" fontId="61" fillId="15" borderId="5" xfId="0" applyFont="1" applyFill="1" applyBorder="1"/>
    <xf numFmtId="0" fontId="61" fillId="0" borderId="0" xfId="0" applyFont="1"/>
    <xf numFmtId="0" fontId="8" fillId="0" borderId="0" xfId="175" applyFont="1"/>
    <xf numFmtId="0" fontId="94" fillId="45" borderId="11" xfId="0" applyFont="1" applyFill="1" applyBorder="1"/>
    <xf numFmtId="0" fontId="94" fillId="45" borderId="0" xfId="0" applyFont="1" applyFill="1"/>
    <xf numFmtId="0" fontId="94" fillId="45" borderId="35" xfId="0" applyFont="1" applyFill="1" applyBorder="1"/>
    <xf numFmtId="0" fontId="94" fillId="45" borderId="23" xfId="0" applyFont="1" applyFill="1" applyBorder="1"/>
    <xf numFmtId="0" fontId="94" fillId="45" borderId="12" xfId="0" applyFont="1" applyFill="1" applyBorder="1"/>
    <xf numFmtId="0" fontId="94" fillId="45" borderId="13" xfId="0" applyFont="1" applyFill="1" applyBorder="1"/>
    <xf numFmtId="0" fontId="8" fillId="0" borderId="0" xfId="174" applyFont="1"/>
    <xf numFmtId="0" fontId="7" fillId="0" borderId="2" xfId="174" applyFont="1" applyBorder="1" applyAlignment="1">
      <alignment horizontal="left" vertical="center"/>
    </xf>
    <xf numFmtId="0" fontId="7" fillId="0" borderId="2" xfId="174" applyFont="1" applyBorder="1" applyAlignment="1">
      <alignment horizontal="center" vertical="center"/>
    </xf>
    <xf numFmtId="0" fontId="88" fillId="45" borderId="3" xfId="174" applyFont="1" applyFill="1" applyBorder="1" applyAlignment="1">
      <alignment vertical="center"/>
    </xf>
    <xf numFmtId="0" fontId="88" fillId="45" borderId="5" xfId="174" applyFont="1" applyFill="1" applyBorder="1" applyAlignment="1">
      <alignment vertical="center"/>
    </xf>
    <xf numFmtId="0" fontId="88" fillId="45" borderId="4" xfId="174" applyFont="1" applyFill="1" applyBorder="1" applyAlignment="1">
      <alignment vertical="center"/>
    </xf>
    <xf numFmtId="0" fontId="88" fillId="0" borderId="5" xfId="174" applyFont="1" applyBorder="1" applyAlignment="1">
      <alignment horizontal="left" vertical="center"/>
    </xf>
    <xf numFmtId="0" fontId="7" fillId="0" borderId="2" xfId="169" applyFont="1" applyBorder="1" applyAlignment="1">
      <alignment horizontal="left" vertical="center"/>
    </xf>
    <xf numFmtId="0" fontId="7" fillId="0" borderId="2" xfId="169" applyFont="1" applyBorder="1" applyAlignment="1">
      <alignment vertical="center"/>
    </xf>
    <xf numFmtId="0" fontId="7" fillId="0" borderId="2" xfId="169" applyFont="1" applyBorder="1" applyAlignment="1">
      <alignment horizontal="center" vertical="center"/>
    </xf>
    <xf numFmtId="0" fontId="89" fillId="0" borderId="2" xfId="169" applyFont="1" applyBorder="1" applyAlignment="1">
      <alignment horizontal="center" vertical="center"/>
    </xf>
    <xf numFmtId="0" fontId="7" fillId="0" borderId="2" xfId="173" applyFont="1" applyBorder="1" applyAlignment="1">
      <alignment horizontal="center" vertical="center"/>
    </xf>
    <xf numFmtId="0" fontId="7" fillId="0" borderId="2" xfId="173" applyFont="1" applyBorder="1" applyAlignment="1">
      <alignment vertical="center"/>
    </xf>
    <xf numFmtId="0" fontId="89" fillId="0" borderId="2" xfId="173" applyFont="1" applyBorder="1" applyAlignment="1">
      <alignment horizontal="center" vertical="center"/>
    </xf>
    <xf numFmtId="0" fontId="7" fillId="49" borderId="6" xfId="173" applyFont="1" applyFill="1" applyBorder="1" applyAlignment="1">
      <alignment horizontal="center"/>
    </xf>
    <xf numFmtId="0" fontId="61" fillId="45" borderId="11" xfId="0" applyFont="1" applyFill="1" applyBorder="1"/>
    <xf numFmtId="0" fontId="61" fillId="45" borderId="0" xfId="0" applyFont="1" applyFill="1"/>
    <xf numFmtId="0" fontId="6" fillId="12" borderId="2" xfId="0" applyFont="1" applyFill="1" applyBorder="1" applyAlignment="1">
      <alignment horizontal="center" vertical="center" wrapText="1"/>
    </xf>
    <xf numFmtId="0" fontId="6" fillId="51" borderId="2" xfId="0" applyFont="1" applyFill="1" applyBorder="1" applyAlignment="1">
      <alignment horizontal="center" vertical="center" wrapText="1"/>
    </xf>
    <xf numFmtId="0" fontId="97" fillId="52" borderId="2" xfId="0" applyFont="1" applyFill="1" applyBorder="1" applyAlignment="1">
      <alignment horizontal="center" vertical="center" wrapText="1"/>
    </xf>
    <xf numFmtId="0" fontId="97" fillId="53" borderId="2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center"/>
    </xf>
    <xf numFmtId="0" fontId="61" fillId="0" borderId="2" xfId="0" applyFont="1" applyBorder="1"/>
    <xf numFmtId="0" fontId="98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6" fillId="56" borderId="56" xfId="0" applyFont="1" applyFill="1" applyBorder="1" applyAlignment="1">
      <alignment horizontal="center" vertical="center"/>
    </xf>
    <xf numFmtId="0" fontId="6" fillId="57" borderId="56" xfId="0" applyFont="1" applyFill="1" applyBorder="1" applyAlignment="1">
      <alignment vertical="center"/>
    </xf>
    <xf numFmtId="0" fontId="6" fillId="57" borderId="56" xfId="0" applyFont="1" applyFill="1" applyBorder="1" applyAlignment="1">
      <alignment horizontal="center" vertical="center"/>
    </xf>
    <xf numFmtId="43" fontId="99" fillId="58" borderId="56" xfId="0" applyNumberFormat="1" applyFont="1" applyFill="1" applyBorder="1" applyAlignment="1">
      <alignment horizontal="center" vertical="center"/>
    </xf>
    <xf numFmtId="191" fontId="61" fillId="0" borderId="56" xfId="1" applyFont="1" applyBorder="1" applyAlignment="1">
      <alignment horizontal="center" vertical="center"/>
    </xf>
    <xf numFmtId="191" fontId="61" fillId="59" borderId="56" xfId="1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vertical="center"/>
    </xf>
    <xf numFmtId="0" fontId="61" fillId="0" borderId="6" xfId="0" applyFont="1" applyBorder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1" fillId="0" borderId="54" xfId="0" applyFont="1" applyBorder="1" applyAlignment="1">
      <alignment horizontal="center" vertical="center"/>
    </xf>
    <xf numFmtId="43" fontId="61" fillId="0" borderId="56" xfId="0" applyNumberFormat="1" applyFont="1" applyBorder="1" applyAlignment="1">
      <alignment horizontal="center" vertical="center"/>
    </xf>
    <xf numFmtId="0" fontId="61" fillId="0" borderId="11" xfId="0" applyFont="1" applyBorder="1" applyAlignment="1">
      <alignment vertical="center"/>
    </xf>
    <xf numFmtId="0" fontId="61" fillId="0" borderId="7" xfId="0" applyFont="1" applyBorder="1" applyAlignment="1">
      <alignment horizontal="center" vertical="center"/>
    </xf>
    <xf numFmtId="0" fontId="61" fillId="59" borderId="54" xfId="0" applyFont="1" applyFill="1" applyBorder="1" applyAlignment="1">
      <alignment horizontal="center" vertical="center"/>
    </xf>
    <xf numFmtId="0" fontId="61" fillId="0" borderId="23" xfId="0" applyFont="1" applyBorder="1" applyAlignment="1">
      <alignment horizontal="left" vertical="center" shrinkToFit="1"/>
    </xf>
    <xf numFmtId="0" fontId="61" fillId="0" borderId="8" xfId="0" applyFont="1" applyBorder="1" applyAlignment="1">
      <alignment horizontal="center" vertical="center"/>
    </xf>
    <xf numFmtId="206" fontId="61" fillId="0" borderId="56" xfId="0" applyNumberFormat="1" applyFont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vertical="center"/>
    </xf>
    <xf numFmtId="0" fontId="6" fillId="57" borderId="2" xfId="0" applyFont="1" applyFill="1" applyBorder="1" applyAlignment="1">
      <alignment vertical="center" wrapText="1"/>
    </xf>
    <xf numFmtId="0" fontId="6" fillId="57" borderId="2" xfId="0" applyFont="1" applyFill="1" applyBorder="1" applyAlignment="1">
      <alignment horizontal="center" vertical="center"/>
    </xf>
    <xf numFmtId="206" fontId="99" fillId="58" borderId="2" xfId="0" applyNumberFormat="1" applyFont="1" applyFill="1" applyBorder="1" applyAlignment="1">
      <alignment horizontal="center" vertical="center"/>
    </xf>
    <xf numFmtId="206" fontId="6" fillId="0" borderId="2" xfId="0" applyNumberFormat="1" applyFont="1" applyBorder="1" applyAlignment="1">
      <alignment horizontal="right" vertical="center"/>
    </xf>
    <xf numFmtId="206" fontId="6" fillId="0" borderId="3" xfId="0" applyNumberFormat="1" applyFont="1" applyBorder="1" applyAlignment="1">
      <alignment horizontal="right" vertical="center"/>
    </xf>
    <xf numFmtId="0" fontId="61" fillId="0" borderId="2" xfId="0" applyFont="1" applyBorder="1" applyAlignment="1">
      <alignment vertical="center"/>
    </xf>
    <xf numFmtId="0" fontId="61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center" vertical="center" wrapText="1"/>
    </xf>
    <xf numFmtId="0" fontId="61" fillId="0" borderId="2" xfId="0" applyFont="1" applyBorder="1" applyAlignment="1">
      <alignment horizontal="center" vertical="center"/>
    </xf>
    <xf numFmtId="206" fontId="61" fillId="0" borderId="2" xfId="0" applyNumberFormat="1" applyFont="1" applyBorder="1" applyAlignment="1">
      <alignment horizontal="center" vertical="center"/>
    </xf>
    <xf numFmtId="206" fontId="61" fillId="0" borderId="2" xfId="0" applyNumberFormat="1" applyFont="1" applyBorder="1" applyAlignment="1">
      <alignment vertical="center"/>
    </xf>
    <xf numFmtId="206" fontId="61" fillId="0" borderId="3" xfId="0" applyNumberFormat="1" applyFont="1" applyBorder="1" applyAlignment="1">
      <alignment vertical="center"/>
    </xf>
    <xf numFmtId="206" fontId="6" fillId="0" borderId="2" xfId="0" applyNumberFormat="1" applyFont="1" applyBorder="1" applyAlignment="1">
      <alignment vertical="center"/>
    </xf>
    <xf numFmtId="0" fontId="61" fillId="57" borderId="2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206" fontId="61" fillId="59" borderId="2" xfId="0" applyNumberFormat="1" applyFont="1" applyFill="1" applyBorder="1" applyAlignment="1">
      <alignment horizontal="left" vertical="center"/>
    </xf>
    <xf numFmtId="206" fontId="61" fillId="59" borderId="2" xfId="0" applyNumberFormat="1" applyFont="1" applyFill="1" applyBorder="1" applyAlignment="1">
      <alignment horizontal="center" vertical="center"/>
    </xf>
    <xf numFmtId="206" fontId="61" fillId="59" borderId="3" xfId="0" applyNumberFormat="1" applyFont="1" applyFill="1" applyBorder="1" applyAlignment="1">
      <alignment horizontal="left" vertical="center"/>
    </xf>
    <xf numFmtId="207" fontId="61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" fillId="0" borderId="56" xfId="0" applyFont="1" applyBorder="1" applyAlignment="1">
      <alignment horizontal="center" vertical="center"/>
    </xf>
    <xf numFmtId="0" fontId="6" fillId="0" borderId="5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55" xfId="0" applyFont="1" applyBorder="1" applyAlignment="1">
      <alignment horizontal="center" vertical="center"/>
    </xf>
    <xf numFmtId="0" fontId="6" fillId="0" borderId="56" xfId="0" applyFont="1" applyBorder="1" applyAlignment="1">
      <alignment horizontal="center"/>
    </xf>
    <xf numFmtId="0" fontId="61" fillId="0" borderId="56" xfId="0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56" xfId="0" applyFont="1" applyBorder="1" applyAlignment="1">
      <alignment horizontal="center" vertical="center" wrapText="1"/>
    </xf>
    <xf numFmtId="0" fontId="104" fillId="0" borderId="0" xfId="0" applyFont="1" applyAlignment="1">
      <alignment vertical="center"/>
    </xf>
    <xf numFmtId="0" fontId="61" fillId="65" borderId="56" xfId="0" applyFont="1" applyFill="1" applyBorder="1"/>
    <xf numFmtId="0" fontId="61" fillId="65" borderId="56" xfId="0" applyFont="1" applyFill="1" applyBorder="1" applyAlignment="1">
      <alignment horizontal="center" vertical="center"/>
    </xf>
    <xf numFmtId="0" fontId="106" fillId="65" borderId="54" xfId="0" applyFont="1" applyFill="1" applyBorder="1" applyAlignment="1">
      <alignment horizontal="center" vertical="center" wrapText="1"/>
    </xf>
    <xf numFmtId="0" fontId="106" fillId="65" borderId="56" xfId="0" applyFont="1" applyFill="1" applyBorder="1" applyAlignment="1">
      <alignment horizontal="center" vertical="center" wrapText="1"/>
    </xf>
    <xf numFmtId="0" fontId="106" fillId="65" borderId="52" xfId="0" applyFont="1" applyFill="1" applyBorder="1" applyAlignment="1">
      <alignment horizontal="center" vertical="center" wrapText="1"/>
    </xf>
    <xf numFmtId="208" fontId="6" fillId="0" borderId="56" xfId="0" applyNumberFormat="1" applyFont="1" applyBorder="1" applyAlignment="1">
      <alignment horizontal="center"/>
    </xf>
    <xf numFmtId="0" fontId="61" fillId="64" borderId="56" xfId="0" applyFont="1" applyFill="1" applyBorder="1" applyAlignment="1">
      <alignment horizontal="center" vertical="center" wrapText="1"/>
    </xf>
    <xf numFmtId="194" fontId="61" fillId="64" borderId="52" xfId="0" applyNumberFormat="1" applyFont="1" applyFill="1" applyBorder="1" applyAlignment="1">
      <alignment horizontal="center" vertical="center" wrapText="1"/>
    </xf>
    <xf numFmtId="191" fontId="61" fillId="66" borderId="2" xfId="1" applyFont="1" applyFill="1" applyBorder="1" applyAlignment="1">
      <alignment vertical="center"/>
    </xf>
    <xf numFmtId="0" fontId="61" fillId="59" borderId="56" xfId="0" applyFont="1" applyFill="1" applyBorder="1" applyAlignment="1">
      <alignment horizontal="center" vertical="center" wrapText="1"/>
    </xf>
    <xf numFmtId="194" fontId="61" fillId="0" borderId="52" xfId="0" applyNumberFormat="1" applyFont="1" applyBorder="1" applyAlignment="1">
      <alignment horizontal="center" vertical="center" wrapText="1"/>
    </xf>
    <xf numFmtId="191" fontId="61" fillId="0" borderId="2" xfId="1" applyFont="1" applyBorder="1" applyAlignment="1">
      <alignment vertical="center"/>
    </xf>
    <xf numFmtId="0" fontId="61" fillId="0" borderId="0" xfId="0" applyFont="1" applyAlignment="1">
      <alignment horizontal="center" vertical="center" wrapText="1"/>
    </xf>
    <xf numFmtId="0" fontId="98" fillId="67" borderId="56" xfId="0" applyFont="1" applyFill="1" applyBorder="1" applyAlignment="1">
      <alignment horizontal="center" vertical="center" wrapText="1"/>
    </xf>
    <xf numFmtId="194" fontId="98" fillId="67" borderId="56" xfId="0" applyNumberFormat="1" applyFont="1" applyFill="1" applyBorder="1" applyAlignment="1">
      <alignment horizontal="center" vertical="center" wrapText="1"/>
    </xf>
    <xf numFmtId="43" fontId="99" fillId="58" borderId="2" xfId="0" applyNumberFormat="1" applyFont="1" applyFill="1" applyBorder="1" applyAlignment="1">
      <alignment vertical="center"/>
    </xf>
    <xf numFmtId="194" fontId="61" fillId="64" borderId="56" xfId="0" applyNumberFormat="1" applyFont="1" applyFill="1" applyBorder="1" applyAlignment="1">
      <alignment horizontal="center" vertical="center" wrapText="1"/>
    </xf>
    <xf numFmtId="194" fontId="61" fillId="0" borderId="56" xfId="0" applyNumberFormat="1" applyFont="1" applyBorder="1" applyAlignment="1">
      <alignment horizontal="center" vertical="center" wrapText="1"/>
    </xf>
    <xf numFmtId="0" fontId="6" fillId="68" borderId="3" xfId="0" applyFont="1" applyFill="1" applyBorder="1" applyAlignment="1">
      <alignment vertical="center"/>
    </xf>
    <xf numFmtId="0" fontId="61" fillId="68" borderId="4" xfId="0" applyFont="1" applyFill="1" applyBorder="1" applyAlignment="1">
      <alignment horizontal="center" vertical="center" wrapText="1"/>
    </xf>
    <xf numFmtId="0" fontId="61" fillId="68" borderId="4" xfId="0" applyFont="1" applyFill="1" applyBorder="1"/>
    <xf numFmtId="0" fontId="61" fillId="68" borderId="5" xfId="0" applyFont="1" applyFill="1" applyBorder="1"/>
    <xf numFmtId="0" fontId="61" fillId="5" borderId="2" xfId="0" applyFont="1" applyFill="1" applyBorder="1" applyAlignment="1">
      <alignment vertical="top" wrapText="1"/>
    </xf>
    <xf numFmtId="191" fontId="61" fillId="5" borderId="2" xfId="1" applyFont="1" applyFill="1" applyBorder="1" applyAlignment="1">
      <alignment vertical="top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209" fontId="61" fillId="5" borderId="2" xfId="1" applyNumberFormat="1" applyFont="1" applyFill="1" applyBorder="1" applyAlignment="1">
      <alignment vertical="top" wrapText="1"/>
    </xf>
    <xf numFmtId="0" fontId="61" fillId="5" borderId="8" xfId="0" applyFont="1" applyFill="1" applyBorder="1" applyAlignment="1">
      <alignment vertical="top" wrapText="1"/>
    </xf>
    <xf numFmtId="1" fontId="61" fillId="5" borderId="2" xfId="0" applyNumberFormat="1" applyFont="1" applyFill="1" applyBorder="1" applyAlignment="1">
      <alignment vertical="top" wrapText="1"/>
    </xf>
    <xf numFmtId="0" fontId="61" fillId="57" borderId="56" xfId="0" applyFont="1" applyFill="1" applyBorder="1" applyAlignment="1">
      <alignment vertical="center" wrapText="1"/>
    </xf>
    <xf numFmtId="0" fontId="61" fillId="57" borderId="56" xfId="0" applyFont="1" applyFill="1" applyBorder="1" applyAlignment="1">
      <alignment horizontal="center" vertical="center"/>
    </xf>
    <xf numFmtId="206" fontId="99" fillId="58" borderId="56" xfId="0" applyNumberFormat="1" applyFont="1" applyFill="1" applyBorder="1" applyAlignment="1">
      <alignment horizontal="center" vertical="center"/>
    </xf>
    <xf numFmtId="0" fontId="7" fillId="57" borderId="55" xfId="0" applyFont="1" applyFill="1" applyBorder="1" applyAlignment="1">
      <alignment vertical="center"/>
    </xf>
    <xf numFmtId="0" fontId="8" fillId="57" borderId="55" xfId="0" applyFont="1" applyFill="1" applyBorder="1"/>
    <xf numFmtId="0" fontId="7" fillId="57" borderId="56" xfId="0" applyFont="1" applyFill="1" applyBorder="1" applyAlignment="1">
      <alignment horizontal="center" vertical="center"/>
    </xf>
    <xf numFmtId="43" fontId="108" fillId="58" borderId="55" xfId="0" applyNumberFormat="1" applyFont="1" applyFill="1" applyBorder="1" applyAlignment="1">
      <alignment vertical="center"/>
    </xf>
    <xf numFmtId="0" fontId="61" fillId="0" borderId="56" xfId="0" applyFont="1" applyBorder="1" applyAlignment="1">
      <alignment vertical="center"/>
    </xf>
    <xf numFmtId="0" fontId="61" fillId="59" borderId="56" xfId="0" applyFont="1" applyFill="1" applyBorder="1" applyAlignment="1">
      <alignment vertical="center"/>
    </xf>
    <xf numFmtId="0" fontId="8" fillId="0" borderId="56" xfId="0" applyFont="1" applyBorder="1" applyAlignment="1">
      <alignment horizontal="center" vertical="center"/>
    </xf>
    <xf numFmtId="43" fontId="8" fillId="0" borderId="56" xfId="0" applyNumberFormat="1" applyFont="1" applyBorder="1" applyAlignment="1">
      <alignment horizontal="center"/>
    </xf>
    <xf numFmtId="191" fontId="61" fillId="0" borderId="56" xfId="1" applyFont="1" applyBorder="1" applyAlignment="1">
      <alignment vertical="center"/>
    </xf>
    <xf numFmtId="206" fontId="61" fillId="0" borderId="0" xfId="0" applyNumberFormat="1" applyFont="1"/>
    <xf numFmtId="0" fontId="61" fillId="69" borderId="56" xfId="0" applyFont="1" applyFill="1" applyBorder="1" applyAlignment="1">
      <alignment vertical="center"/>
    </xf>
    <xf numFmtId="43" fontId="108" fillId="58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center" vertical="center"/>
    </xf>
    <xf numFmtId="0" fontId="61" fillId="0" borderId="56" xfId="0" applyFont="1" applyBorder="1" applyAlignment="1">
      <alignment horizontal="left" vertical="center"/>
    </xf>
    <xf numFmtId="191" fontId="61" fillId="0" borderId="56" xfId="1" applyFont="1" applyFill="1" applyBorder="1" applyAlignment="1">
      <alignment vertical="center" wrapText="1"/>
    </xf>
    <xf numFmtId="191" fontId="61" fillId="0" borderId="56" xfId="1" applyFont="1" applyFill="1" applyBorder="1" applyAlignment="1">
      <alignment vertical="center"/>
    </xf>
    <xf numFmtId="191" fontId="61" fillId="63" borderId="56" xfId="1" applyFont="1" applyFill="1" applyBorder="1" applyAlignment="1">
      <alignment vertical="center"/>
    </xf>
    <xf numFmtId="0" fontId="61" fillId="69" borderId="56" xfId="0" applyFont="1" applyFill="1" applyBorder="1" applyAlignment="1">
      <alignment horizontal="center" vertical="center"/>
    </xf>
    <xf numFmtId="191" fontId="61" fillId="59" borderId="56" xfId="1" applyFont="1" applyFill="1" applyBorder="1" applyAlignment="1">
      <alignment vertical="center"/>
    </xf>
    <xf numFmtId="0" fontId="6" fillId="72" borderId="56" xfId="0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center" vertical="center" wrapText="1"/>
    </xf>
    <xf numFmtId="0" fontId="6" fillId="57" borderId="56" xfId="0" applyFont="1" applyFill="1" applyBorder="1" applyAlignment="1">
      <alignment horizontal="left" vertical="center"/>
    </xf>
    <xf numFmtId="0" fontId="61" fillId="0" borderId="56" xfId="0" applyFont="1" applyBorder="1" applyAlignment="1">
      <alignment horizontal="left"/>
    </xf>
    <xf numFmtId="206" fontId="61" fillId="0" borderId="56" xfId="0" applyNumberFormat="1" applyFont="1" applyBorder="1"/>
    <xf numFmtId="0" fontId="61" fillId="0" borderId="56" xfId="0" applyFont="1" applyBorder="1"/>
    <xf numFmtId="0" fontId="6" fillId="61" borderId="2" xfId="0" applyFont="1" applyFill="1" applyBorder="1" applyAlignment="1">
      <alignment horizontal="center" vertical="center"/>
    </xf>
    <xf numFmtId="0" fontId="61" fillId="0" borderId="55" xfId="0" applyFont="1" applyBorder="1" applyAlignment="1">
      <alignment horizontal="left" vertical="center"/>
    </xf>
    <xf numFmtId="0" fontId="61" fillId="62" borderId="61" xfId="0" applyFont="1" applyFill="1" applyBorder="1" applyAlignment="1">
      <alignment horizontal="center" vertical="center"/>
    </xf>
    <xf numFmtId="206" fontId="61" fillId="62" borderId="2" xfId="0" applyNumberFormat="1" applyFont="1" applyFill="1" applyBorder="1"/>
    <xf numFmtId="2" fontId="6" fillId="0" borderId="0" xfId="0" applyNumberFormat="1" applyFont="1" applyAlignment="1">
      <alignment vertical="center"/>
    </xf>
    <xf numFmtId="2" fontId="61" fillId="0" borderId="0" xfId="0" applyNumberFormat="1" applyFont="1"/>
    <xf numFmtId="0" fontId="61" fillId="62" borderId="52" xfId="0" applyFont="1" applyFill="1" applyBorder="1" applyAlignment="1">
      <alignment horizontal="center" vertical="center"/>
    </xf>
    <xf numFmtId="0" fontId="61" fillId="0" borderId="52" xfId="0" applyFont="1" applyBorder="1" applyAlignment="1">
      <alignment horizontal="center" vertical="center"/>
    </xf>
    <xf numFmtId="206" fontId="61" fillId="0" borderId="2" xfId="0" applyNumberFormat="1" applyFont="1" applyBorder="1"/>
    <xf numFmtId="0" fontId="61" fillId="15" borderId="56" xfId="0" applyFont="1" applyFill="1" applyBorder="1" applyAlignment="1">
      <alignment horizontal="left" vertical="center"/>
    </xf>
    <xf numFmtId="0" fontId="61" fillId="15" borderId="56" xfId="0" applyFont="1" applyFill="1" applyBorder="1" applyAlignment="1">
      <alignment horizontal="center" vertical="center"/>
    </xf>
    <xf numFmtId="206" fontId="61" fillId="15" borderId="56" xfId="0" applyNumberFormat="1" applyFont="1" applyFill="1" applyBorder="1" applyAlignment="1">
      <alignment horizontal="center" vertical="center"/>
    </xf>
    <xf numFmtId="0" fontId="61" fillId="15" borderId="56" xfId="0" applyFont="1" applyFill="1" applyBorder="1" applyAlignment="1">
      <alignment horizontal="left"/>
    </xf>
    <xf numFmtId="0" fontId="61" fillId="15" borderId="56" xfId="0" applyFont="1" applyFill="1" applyBorder="1"/>
    <xf numFmtId="206" fontId="61" fillId="15" borderId="56" xfId="0" applyNumberFormat="1" applyFont="1" applyFill="1" applyBorder="1"/>
    <xf numFmtId="0" fontId="61" fillId="0" borderId="0" xfId="0" applyFont="1" applyAlignment="1">
      <alignment horizontal="center"/>
    </xf>
    <xf numFmtId="0" fontId="6" fillId="67" borderId="56" xfId="0" applyFont="1" applyFill="1" applyBorder="1" applyAlignment="1">
      <alignment horizontal="center" vertical="center"/>
    </xf>
    <xf numFmtId="0" fontId="6" fillId="67" borderId="56" xfId="0" applyFont="1" applyFill="1" applyBorder="1" applyAlignment="1">
      <alignment horizontal="center" vertical="center" wrapText="1"/>
    </xf>
    <xf numFmtId="0" fontId="6" fillId="74" borderId="56" xfId="0" applyFont="1" applyFill="1" applyBorder="1" applyAlignment="1">
      <alignment horizontal="center" vertical="center"/>
    </xf>
    <xf numFmtId="17" fontId="6" fillId="67" borderId="56" xfId="0" applyNumberFormat="1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left" vertical="center"/>
    </xf>
    <xf numFmtId="0" fontId="61" fillId="57" borderId="56" xfId="0" applyFont="1" applyFill="1" applyBorder="1" applyAlignment="1">
      <alignment horizontal="center" vertical="center" wrapText="1"/>
    </xf>
    <xf numFmtId="0" fontId="61" fillId="57" borderId="62" xfId="0" applyFont="1" applyFill="1" applyBorder="1" applyAlignment="1">
      <alignment vertical="center"/>
    </xf>
    <xf numFmtId="0" fontId="61" fillId="57" borderId="61" xfId="0" applyFont="1" applyFill="1" applyBorder="1" applyAlignment="1">
      <alignment horizontal="center" vertical="center"/>
    </xf>
    <xf numFmtId="17" fontId="61" fillId="0" borderId="56" xfId="0" applyNumberFormat="1" applyFont="1" applyBorder="1" applyAlignment="1">
      <alignment horizontal="center" vertical="center"/>
    </xf>
    <xf numFmtId="0" fontId="61" fillId="0" borderId="55" xfId="0" applyFont="1" applyBorder="1" applyAlignment="1">
      <alignment horizontal="left"/>
    </xf>
    <xf numFmtId="0" fontId="61" fillId="0" borderId="56" xfId="0" applyFont="1" applyBorder="1" applyAlignment="1">
      <alignment horizontal="center"/>
    </xf>
    <xf numFmtId="0" fontId="61" fillId="0" borderId="62" xfId="0" applyFont="1" applyBorder="1" applyAlignment="1">
      <alignment vertical="center"/>
    </xf>
    <xf numFmtId="0" fontId="61" fillId="0" borderId="61" xfId="0" applyFont="1" applyBorder="1" applyAlignment="1">
      <alignment horizontal="center"/>
    </xf>
    <xf numFmtId="206" fontId="99" fillId="58" borderId="56" xfId="0" applyNumberFormat="1" applyFont="1" applyFill="1" applyBorder="1" applyAlignment="1">
      <alignment vertical="center"/>
    </xf>
    <xf numFmtId="206" fontId="61" fillId="0" borderId="56" xfId="0" applyNumberFormat="1" applyFont="1" applyBorder="1" applyAlignment="1">
      <alignment horizontal="center"/>
    </xf>
    <xf numFmtId="0" fontId="61" fillId="0" borderId="0" xfId="0" applyFont="1" applyAlignment="1">
      <alignment horizontal="left"/>
    </xf>
    <xf numFmtId="0" fontId="6" fillId="75" borderId="2" xfId="0" applyFont="1" applyFill="1" applyBorder="1" applyAlignment="1">
      <alignment horizontal="center" vertical="center"/>
    </xf>
    <xf numFmtId="43" fontId="99" fillId="58" borderId="0" xfId="0" applyNumberFormat="1" applyFont="1" applyFill="1" applyAlignment="1">
      <alignment vertical="center"/>
    </xf>
    <xf numFmtId="0" fontId="61" fillId="0" borderId="52" xfId="0" applyFont="1" applyBorder="1" applyAlignment="1">
      <alignment horizontal="left" vertical="center"/>
    </xf>
    <xf numFmtId="209" fontId="61" fillId="0" borderId="2" xfId="1" applyNumberFormat="1" applyFont="1" applyBorder="1" applyAlignment="1">
      <alignment vertical="center"/>
    </xf>
    <xf numFmtId="191" fontId="61" fillId="0" borderId="2" xfId="1" applyFont="1" applyBorder="1"/>
    <xf numFmtId="43" fontId="61" fillId="0" borderId="2" xfId="0" applyNumberFormat="1" applyFont="1" applyBorder="1"/>
    <xf numFmtId="0" fontId="61" fillId="0" borderId="52" xfId="0" applyFont="1" applyBorder="1" applyAlignment="1">
      <alignment horizontal="left"/>
    </xf>
    <xf numFmtId="49" fontId="61" fillId="0" borderId="2" xfId="1" applyNumberFormat="1" applyFont="1" applyBorder="1" applyAlignment="1">
      <alignment horizontal="right" vertical="center"/>
    </xf>
    <xf numFmtId="0" fontId="61" fillId="0" borderId="52" xfId="0" applyFont="1" applyBorder="1"/>
    <xf numFmtId="209" fontId="61" fillId="0" borderId="2" xfId="1" applyNumberFormat="1" applyFont="1" applyBorder="1"/>
    <xf numFmtId="210" fontId="61" fillId="0" borderId="2" xfId="1" applyNumberFormat="1" applyFont="1" applyBorder="1" applyAlignment="1">
      <alignment horizontal="right" vertical="center"/>
    </xf>
    <xf numFmtId="191" fontId="61" fillId="0" borderId="2" xfId="1" applyFont="1" applyBorder="1" applyAlignment="1">
      <alignment horizontal="right" vertical="center"/>
    </xf>
    <xf numFmtId="209" fontId="61" fillId="0" borderId="2" xfId="1" applyNumberFormat="1" applyFont="1" applyBorder="1" applyAlignment="1">
      <alignment horizontal="right" vertical="center"/>
    </xf>
    <xf numFmtId="0" fontId="110" fillId="0" borderId="0" xfId="0" applyFont="1" applyAlignment="1">
      <alignment vertical="center"/>
    </xf>
    <xf numFmtId="0" fontId="61" fillId="0" borderId="0" xfId="0" applyFont="1" applyAlignment="1">
      <alignment wrapText="1"/>
    </xf>
    <xf numFmtId="49" fontId="61" fillId="0" borderId="56" xfId="0" applyNumberFormat="1" applyFont="1" applyBorder="1" applyAlignment="1">
      <alignment vertical="center"/>
    </xf>
    <xf numFmtId="49" fontId="61" fillId="0" borderId="56" xfId="0" applyNumberFormat="1" applyFont="1" applyBorder="1" applyAlignment="1">
      <alignment horizontal="center" vertical="center"/>
    </xf>
    <xf numFmtId="9" fontId="61" fillId="0" borderId="56" xfId="0" applyNumberFormat="1" applyFont="1" applyBorder="1" applyAlignment="1">
      <alignment horizontal="center" vertical="center"/>
    </xf>
    <xf numFmtId="0" fontId="61" fillId="0" borderId="51" xfId="0" applyFont="1" applyBorder="1" applyAlignment="1">
      <alignment vertical="center"/>
    </xf>
    <xf numFmtId="0" fontId="61" fillId="0" borderId="52" xfId="0" applyFont="1" applyBorder="1" applyAlignment="1">
      <alignment vertical="center"/>
    </xf>
    <xf numFmtId="191" fontId="61" fillId="0" borderId="0" xfId="1" applyFont="1"/>
    <xf numFmtId="191" fontId="61" fillId="0" borderId="2" xfId="1" applyFont="1" applyBorder="1" applyAlignment="1">
      <alignment horizontal="left" vertical="center"/>
    </xf>
    <xf numFmtId="191" fontId="61" fillId="0" borderId="0" xfId="1" applyFont="1" applyAlignment="1">
      <alignment horizontal="left" vertical="center"/>
    </xf>
    <xf numFmtId="191" fontId="61" fillId="0" borderId="0" xfId="1" applyFont="1" applyAlignment="1">
      <alignment vertical="center"/>
    </xf>
    <xf numFmtId="0" fontId="6" fillId="56" borderId="2" xfId="0" applyFont="1" applyFill="1" applyBorder="1" applyAlignment="1">
      <alignment horizontal="center" vertical="center"/>
    </xf>
    <xf numFmtId="0" fontId="61" fillId="69" borderId="2" xfId="0" applyFont="1" applyFill="1" applyBorder="1" applyAlignment="1">
      <alignment vertical="center"/>
    </xf>
    <xf numFmtId="1" fontId="61" fillId="69" borderId="2" xfId="0" applyNumberFormat="1" applyFont="1" applyFill="1" applyBorder="1" applyAlignment="1">
      <alignment horizontal="left" vertical="center"/>
    </xf>
    <xf numFmtId="0" fontId="6" fillId="69" borderId="2" xfId="0" applyFont="1" applyFill="1" applyBorder="1" applyAlignment="1">
      <alignment horizontal="center" vertical="center"/>
    </xf>
    <xf numFmtId="211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vertical="center"/>
    </xf>
    <xf numFmtId="43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horizontal="left" vertical="center"/>
    </xf>
    <xf numFmtId="0" fontId="61" fillId="59" borderId="55" xfId="0" applyFont="1" applyFill="1" applyBorder="1" applyAlignment="1">
      <alignment vertical="center" wrapText="1"/>
    </xf>
    <xf numFmtId="0" fontId="61" fillId="59" borderId="55" xfId="0" applyFont="1" applyFill="1" applyBorder="1" applyAlignment="1">
      <alignment vertical="center"/>
    </xf>
    <xf numFmtId="1" fontId="61" fillId="59" borderId="55" xfId="0" quotePrefix="1" applyNumberFormat="1" applyFont="1" applyFill="1" applyBorder="1" applyAlignment="1">
      <alignment horizontal="center" vertical="center"/>
    </xf>
    <xf numFmtId="0" fontId="61" fillId="59" borderId="55" xfId="0" applyFont="1" applyFill="1" applyBorder="1" applyAlignment="1">
      <alignment horizontal="center" vertical="center"/>
    </xf>
    <xf numFmtId="191" fontId="61" fillId="59" borderId="55" xfId="1" applyFont="1" applyFill="1" applyBorder="1" applyAlignment="1">
      <alignment horizontal="center" vertical="center"/>
    </xf>
    <xf numFmtId="206" fontId="61" fillId="59" borderId="55" xfId="0" applyNumberFormat="1" applyFont="1" applyFill="1" applyBorder="1" applyAlignment="1">
      <alignment horizontal="center" vertical="center"/>
    </xf>
    <xf numFmtId="0" fontId="61" fillId="59" borderId="0" xfId="0" applyFont="1" applyFill="1" applyAlignment="1">
      <alignment vertical="center"/>
    </xf>
    <xf numFmtId="206" fontId="61" fillId="59" borderId="0" xfId="0" applyNumberFormat="1" applyFont="1" applyFill="1" applyAlignment="1">
      <alignment vertical="center"/>
    </xf>
    <xf numFmtId="0" fontId="61" fillId="59" borderId="56" xfId="0" applyFont="1" applyFill="1" applyBorder="1" applyAlignment="1">
      <alignment vertical="center" wrapText="1"/>
    </xf>
    <xf numFmtId="1" fontId="61" fillId="59" borderId="56" xfId="0" quotePrefix="1" applyNumberFormat="1" applyFont="1" applyFill="1" applyBorder="1" applyAlignment="1">
      <alignment horizontal="center" vertical="center"/>
    </xf>
    <xf numFmtId="206" fontId="61" fillId="59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left" vertical="center"/>
    </xf>
    <xf numFmtId="206" fontId="61" fillId="59" borderId="56" xfId="0" applyNumberFormat="1" applyFont="1" applyFill="1" applyBorder="1" applyAlignment="1">
      <alignment vertical="center"/>
    </xf>
    <xf numFmtId="0" fontId="112" fillId="0" borderId="0" xfId="0" applyFont="1" applyAlignment="1">
      <alignment vertical="center"/>
    </xf>
    <xf numFmtId="0" fontId="113" fillId="0" borderId="0" xfId="0" applyFont="1"/>
    <xf numFmtId="0" fontId="6" fillId="43" borderId="2" xfId="0" applyFont="1" applyFill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left" vertical="center"/>
    </xf>
    <xf numFmtId="0" fontId="98" fillId="0" borderId="0" xfId="0" applyFont="1" applyAlignment="1">
      <alignment horizontal="center" vertical="center" wrapText="1"/>
    </xf>
    <xf numFmtId="194" fontId="98" fillId="0" borderId="0" xfId="0" applyNumberFormat="1" applyFont="1" applyAlignment="1">
      <alignment horizontal="center" vertical="center" wrapText="1"/>
    </xf>
    <xf numFmtId="43" fontId="99" fillId="0" borderId="0" xfId="0" applyNumberFormat="1" applyFont="1" applyAlignment="1">
      <alignment vertical="center"/>
    </xf>
    <xf numFmtId="0" fontId="6" fillId="0" borderId="8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horizontal="center" vertical="center"/>
    </xf>
    <xf numFmtId="191" fontId="61" fillId="0" borderId="2" xfId="1" applyFont="1" applyBorder="1" applyAlignment="1">
      <alignment horizontal="center" vertical="center"/>
    </xf>
    <xf numFmtId="17" fontId="61" fillId="76" borderId="57" xfId="0" applyNumberFormat="1" applyFont="1" applyFill="1" applyBorder="1" applyAlignment="1">
      <alignment horizontal="center" vertical="center"/>
    </xf>
    <xf numFmtId="17" fontId="61" fillId="76" borderId="51" xfId="0" applyNumberFormat="1" applyFont="1" applyFill="1" applyBorder="1" applyAlignment="1">
      <alignment horizontal="center" vertical="center"/>
    </xf>
    <xf numFmtId="0" fontId="61" fillId="12" borderId="2" xfId="0" applyFont="1" applyFill="1" applyBorder="1" applyAlignment="1">
      <alignment horizontal="center"/>
    </xf>
    <xf numFmtId="191" fontId="99" fillId="80" borderId="8" xfId="0" applyNumberFormat="1" applyFont="1" applyFill="1" applyBorder="1" applyAlignment="1">
      <alignment horizontal="center" vertical="center"/>
    </xf>
    <xf numFmtId="0" fontId="100" fillId="0" borderId="0" xfId="0" applyFont="1"/>
    <xf numFmtId="0" fontId="61" fillId="45" borderId="2" xfId="0" applyFont="1" applyFill="1" applyBorder="1" applyAlignment="1">
      <alignment horizontal="left" vertical="top"/>
    </xf>
    <xf numFmtId="0" fontId="61" fillId="45" borderId="2" xfId="0" applyFont="1" applyFill="1" applyBorder="1" applyAlignment="1">
      <alignment horizontal="left" vertical="center"/>
    </xf>
    <xf numFmtId="49" fontId="61" fillId="45" borderId="2" xfId="0" applyNumberFormat="1" applyFont="1" applyFill="1" applyBorder="1" applyAlignment="1">
      <alignment horizontal="center" vertical="center"/>
    </xf>
    <xf numFmtId="0" fontId="18" fillId="45" borderId="2" xfId="0" applyFont="1" applyFill="1" applyBorder="1" applyAlignment="1">
      <alignment horizontal="left" vertical="center"/>
    </xf>
    <xf numFmtId="0" fontId="61" fillId="45" borderId="2" xfId="0" applyFont="1" applyFill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191" fontId="94" fillId="0" borderId="2" xfId="1" applyFont="1" applyBorder="1" applyAlignment="1">
      <alignment horizontal="right" vertical="center"/>
    </xf>
    <xf numFmtId="0" fontId="61" fillId="0" borderId="7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/>
    </xf>
    <xf numFmtId="191" fontId="61" fillId="0" borderId="2" xfId="0" applyNumberFormat="1" applyFont="1" applyBorder="1" applyAlignment="1">
      <alignment vertical="center"/>
    </xf>
    <xf numFmtId="191" fontId="6" fillId="45" borderId="2" xfId="1" applyFont="1" applyFill="1" applyBorder="1" applyAlignment="1">
      <alignment horizontal="center" vertical="center"/>
    </xf>
    <xf numFmtId="0" fontId="8" fillId="0" borderId="2" xfId="0" applyFont="1" applyBorder="1"/>
    <xf numFmtId="191" fontId="99" fillId="0" borderId="8" xfId="0" applyNumberFormat="1" applyFont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 wrapText="1"/>
    </xf>
    <xf numFmtId="0" fontId="8" fillId="45" borderId="2" xfId="0" applyFont="1" applyFill="1" applyBorder="1" applyAlignment="1">
      <alignment horizontal="center"/>
    </xf>
    <xf numFmtId="0" fontId="5" fillId="81" borderId="2" xfId="0" applyFont="1" applyFill="1" applyBorder="1" applyAlignment="1">
      <alignment horizontal="center" vertical="center" wrapText="1"/>
    </xf>
    <xf numFmtId="9" fontId="5" fillId="4" borderId="2" xfId="177" applyFont="1" applyFill="1" applyBorder="1" applyAlignment="1">
      <alignment horizontal="center" vertical="center"/>
    </xf>
    <xf numFmtId="0" fontId="7" fillId="82" borderId="2" xfId="0" applyFont="1" applyFill="1" applyBorder="1" applyAlignment="1">
      <alignment horizontal="center" vertical="center" wrapText="1"/>
    </xf>
    <xf numFmtId="0" fontId="7" fillId="82" borderId="3" xfId="0" applyFont="1" applyFill="1" applyBorder="1" applyAlignment="1">
      <alignment horizontal="center" vertical="center" wrapText="1"/>
    </xf>
    <xf numFmtId="0" fontId="97" fillId="58" borderId="2" xfId="0" applyFont="1" applyFill="1" applyBorder="1" applyAlignment="1">
      <alignment horizontal="center" vertical="center" wrapText="1"/>
    </xf>
    <xf numFmtId="0" fontId="7" fillId="80" borderId="3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7" fillId="0" borderId="2" xfId="0" applyFont="1" applyBorder="1"/>
    <xf numFmtId="0" fontId="100" fillId="54" borderId="2" xfId="0" applyFont="1" applyFill="1" applyBorder="1" applyAlignment="1">
      <alignment horizontal="center"/>
    </xf>
    <xf numFmtId="0" fontId="96" fillId="55" borderId="8" xfId="177" applyNumberFormat="1" applyFont="1" applyFill="1" applyBorder="1" applyAlignment="1">
      <alignment horizontal="center"/>
    </xf>
    <xf numFmtId="0" fontId="96" fillId="82" borderId="8" xfId="177" applyNumberFormat="1" applyFont="1" applyFill="1" applyBorder="1" applyAlignment="1">
      <alignment horizontal="center"/>
    </xf>
    <xf numFmtId="2" fontId="96" fillId="75" borderId="3" xfId="177" applyNumberFormat="1" applyFont="1" applyFill="1" applyBorder="1" applyAlignment="1"/>
    <xf numFmtId="10" fontId="96" fillId="49" borderId="3" xfId="177" applyNumberFormat="1" applyFont="1" applyFill="1" applyBorder="1" applyAlignment="1"/>
    <xf numFmtId="43" fontId="96" fillId="43" borderId="2" xfId="32" applyFont="1" applyFill="1" applyBorder="1" applyAlignment="1"/>
    <xf numFmtId="10" fontId="96" fillId="43" borderId="2" xfId="177" applyNumberFormat="1" applyFont="1" applyFill="1" applyBorder="1" applyAlignment="1"/>
    <xf numFmtId="0" fontId="8" fillId="84" borderId="2" xfId="0" applyFont="1" applyFill="1" applyBorder="1"/>
    <xf numFmtId="2" fontId="96" fillId="43" borderId="2" xfId="177" applyNumberFormat="1" applyFont="1" applyFill="1" applyBorder="1" applyAlignment="1"/>
    <xf numFmtId="10" fontId="116" fillId="49" borderId="3" xfId="177" applyNumberFormat="1" applyFont="1" applyFill="1" applyBorder="1" applyAlignment="1"/>
    <xf numFmtId="0" fontId="6" fillId="0" borderId="2" xfId="0" applyFont="1" applyBorder="1"/>
    <xf numFmtId="0" fontId="96" fillId="85" borderId="2" xfId="177" applyNumberFormat="1" applyFont="1" applyFill="1" applyBorder="1" applyAlignment="1">
      <alignment horizontal="center"/>
    </xf>
    <xf numFmtId="10" fontId="96" fillId="85" borderId="2" xfId="177" applyNumberFormat="1" applyFont="1" applyFill="1" applyBorder="1" applyAlignment="1">
      <alignment horizontal="center"/>
    </xf>
    <xf numFmtId="2" fontId="96" fillId="85" borderId="3" xfId="177" applyNumberFormat="1" applyFont="1" applyFill="1" applyBorder="1" applyAlignment="1"/>
    <xf numFmtId="10" fontId="96" fillId="85" borderId="3" xfId="177" applyNumberFormat="1" applyFont="1" applyFill="1" applyBorder="1" applyAlignment="1"/>
    <xf numFmtId="43" fontId="96" fillId="85" borderId="2" xfId="32" applyFont="1" applyFill="1" applyBorder="1" applyAlignment="1"/>
    <xf numFmtId="10" fontId="96" fillId="85" borderId="2" xfId="177" applyNumberFormat="1" applyFont="1" applyFill="1" applyBorder="1" applyAlignment="1"/>
    <xf numFmtId="0" fontId="96" fillId="55" borderId="2" xfId="177" applyNumberFormat="1" applyFont="1" applyFill="1" applyBorder="1" applyAlignment="1">
      <alignment horizontal="center"/>
    </xf>
    <xf numFmtId="0" fontId="96" fillId="43" borderId="2" xfId="177" applyNumberFormat="1" applyFont="1" applyFill="1" applyBorder="1" applyAlignment="1"/>
    <xf numFmtId="0" fontId="117" fillId="0" borderId="2" xfId="0" applyFont="1" applyBorder="1"/>
    <xf numFmtId="0" fontId="100" fillId="85" borderId="2" xfId="0" applyFont="1" applyFill="1" applyBorder="1" applyAlignment="1">
      <alignment horizontal="center"/>
    </xf>
    <xf numFmtId="0" fontId="118" fillId="0" borderId="0" xfId="0" applyFont="1"/>
    <xf numFmtId="0" fontId="118" fillId="0" borderId="0" xfId="0" applyFont="1" applyAlignment="1">
      <alignment horizontal="center"/>
    </xf>
    <xf numFmtId="0" fontId="6" fillId="86" borderId="2" xfId="114" applyFont="1" applyFill="1" applyBorder="1" applyAlignment="1">
      <alignment horizontal="center" vertical="center"/>
    </xf>
    <xf numFmtId="0" fontId="61" fillId="43" borderId="2" xfId="114" applyFont="1" applyFill="1" applyBorder="1" applyAlignment="1">
      <alignment horizontal="center" vertical="center"/>
    </xf>
    <xf numFmtId="0" fontId="8" fillId="12" borderId="0" xfId="0" applyFont="1" applyFill="1"/>
    <xf numFmtId="0" fontId="61" fillId="43" borderId="3" xfId="114" applyFont="1" applyFill="1" applyBorder="1" applyAlignment="1">
      <alignment horizontal="center" vertical="center"/>
    </xf>
    <xf numFmtId="9" fontId="8" fillId="86" borderId="56" xfId="0" applyNumberFormat="1" applyFont="1" applyFill="1" applyBorder="1" applyAlignment="1">
      <alignment horizontal="center"/>
    </xf>
    <xf numFmtId="0" fontId="61" fillId="43" borderId="2" xfId="114" applyFont="1" applyFill="1" applyBorder="1" applyAlignment="1">
      <alignment horizontal="center" vertical="center" wrapText="1"/>
    </xf>
    <xf numFmtId="0" fontId="61" fillId="43" borderId="3" xfId="114" applyFont="1" applyFill="1" applyBorder="1" applyAlignment="1">
      <alignment horizontal="center" vertical="center" wrapText="1"/>
    </xf>
    <xf numFmtId="0" fontId="61" fillId="45" borderId="0" xfId="114" applyFont="1" applyFill="1"/>
    <xf numFmtId="0" fontId="103" fillId="0" borderId="0" xfId="0" applyFont="1"/>
    <xf numFmtId="0" fontId="103" fillId="0" borderId="0" xfId="0" applyFont="1" applyAlignment="1">
      <alignment horizontal="center" vertical="center"/>
    </xf>
    <xf numFmtId="0" fontId="103" fillId="15" borderId="0" xfId="0" applyFont="1" applyFill="1"/>
    <xf numFmtId="0" fontId="104" fillId="0" borderId="0" xfId="0" applyFont="1"/>
    <xf numFmtId="0" fontId="6" fillId="86" borderId="2" xfId="0" applyFont="1" applyFill="1" applyBorder="1" applyAlignment="1">
      <alignment vertical="center"/>
    </xf>
    <xf numFmtId="0" fontId="6" fillId="86" borderId="2" xfId="0" applyFont="1" applyFill="1" applyBorder="1" applyAlignment="1">
      <alignment vertical="center" wrapText="1"/>
    </xf>
    <xf numFmtId="0" fontId="6" fillId="86" borderId="2" xfId="0" applyFont="1" applyFill="1" applyBorder="1" applyAlignment="1">
      <alignment horizontal="left" vertical="center"/>
    </xf>
    <xf numFmtId="0" fontId="6" fillId="86" borderId="2" xfId="0" applyFont="1" applyFill="1" applyBorder="1" applyAlignment="1">
      <alignment horizontal="center" vertical="center"/>
    </xf>
    <xf numFmtId="206" fontId="99" fillId="80" borderId="2" xfId="0" applyNumberFormat="1" applyFont="1" applyFill="1" applyBorder="1" applyAlignment="1">
      <alignment horizontal="center" vertical="center"/>
    </xf>
    <xf numFmtId="0" fontId="6" fillId="86" borderId="8" xfId="0" applyFont="1" applyFill="1" applyBorder="1" applyAlignment="1">
      <alignment horizontal="left" vertical="center"/>
    </xf>
    <xf numFmtId="0" fontId="61" fillId="86" borderId="8" xfId="0" applyFont="1" applyFill="1" applyBorder="1" applyAlignment="1">
      <alignment horizontal="center" vertical="center" wrapText="1"/>
    </xf>
    <xf numFmtId="0" fontId="61" fillId="86" borderId="7" xfId="0" applyFont="1" applyFill="1" applyBorder="1" applyAlignment="1">
      <alignment horizontal="center" vertical="center" wrapText="1"/>
    </xf>
    <xf numFmtId="0" fontId="61" fillId="86" borderId="2" xfId="0" applyFont="1" applyFill="1" applyBorder="1" applyAlignment="1">
      <alignment horizontal="center" vertical="center" wrapText="1"/>
    </xf>
    <xf numFmtId="191" fontId="99" fillId="80" borderId="7" xfId="0" applyNumberFormat="1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/>
    </xf>
    <xf numFmtId="0" fontId="6" fillId="43" borderId="2" xfId="0" applyFont="1" applyFill="1" applyBorder="1" applyAlignment="1">
      <alignment vertical="center"/>
    </xf>
    <xf numFmtId="0" fontId="6" fillId="43" borderId="2" xfId="0" applyFont="1" applyFill="1" applyBorder="1" applyAlignment="1">
      <alignment vertical="center" wrapText="1"/>
    </xf>
    <xf numFmtId="0" fontId="6" fillId="43" borderId="2" xfId="0" applyFont="1" applyFill="1" applyBorder="1" applyAlignment="1">
      <alignment horizontal="left" vertical="center"/>
    </xf>
    <xf numFmtId="206" fontId="99" fillId="68" borderId="2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123" fillId="2" borderId="4" xfId="0" applyFont="1" applyFill="1" applyBorder="1"/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194" fontId="0" fillId="0" borderId="2" xfId="32" applyNumberFormat="1" applyFont="1" applyBorder="1" applyAlignment="1">
      <alignment horizontal="right" vertical="center"/>
    </xf>
    <xf numFmtId="192" fontId="81" fillId="0" borderId="2" xfId="178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84" fillId="0" borderId="0" xfId="176"/>
    <xf numFmtId="191" fontId="15" fillId="0" borderId="11" xfId="1" applyFont="1" applyBorder="1" applyAlignment="1">
      <alignment horizontal="center"/>
    </xf>
    <xf numFmtId="206" fontId="61" fillId="0" borderId="52" xfId="0" applyNumberFormat="1" applyFont="1" applyBorder="1" applyAlignment="1">
      <alignment horizontal="center" vertical="center"/>
    </xf>
    <xf numFmtId="0" fontId="98" fillId="49" borderId="2" xfId="0" applyFont="1" applyFill="1" applyBorder="1"/>
    <xf numFmtId="0" fontId="7" fillId="43" borderId="55" xfId="0" applyFont="1" applyFill="1" applyBorder="1" applyAlignment="1">
      <alignment vertical="center"/>
    </xf>
    <xf numFmtId="0" fontId="61" fillId="88" borderId="56" xfId="0" applyFont="1" applyFill="1" applyBorder="1" applyAlignment="1">
      <alignment vertical="center"/>
    </xf>
    <xf numFmtId="0" fontId="6" fillId="43" borderId="56" xfId="0" applyFont="1" applyFill="1" applyBorder="1" applyAlignment="1">
      <alignment horizontal="center" vertical="center"/>
    </xf>
    <xf numFmtId="0" fontId="7" fillId="43" borderId="56" xfId="0" applyFont="1" applyFill="1" applyBorder="1" applyAlignment="1">
      <alignment horizontal="center" vertical="center"/>
    </xf>
    <xf numFmtId="43" fontId="108" fillId="68" borderId="56" xfId="0" applyNumberFormat="1" applyFont="1" applyFill="1" applyBorder="1" applyAlignment="1">
      <alignment horizontal="center"/>
    </xf>
    <xf numFmtId="192" fontId="15" fillId="0" borderId="7" xfId="32" applyNumberFormat="1" applyFont="1" applyBorder="1"/>
    <xf numFmtId="0" fontId="0" fillId="0" borderId="0" xfId="0" applyAlignment="1">
      <alignment horizontal="center"/>
    </xf>
    <xf numFmtId="0" fontId="122" fillId="0" borderId="0" xfId="0" applyFont="1"/>
    <xf numFmtId="0" fontId="61" fillId="43" borderId="2" xfId="0" applyFont="1" applyFill="1" applyBorder="1" applyAlignment="1">
      <alignment horizontal="center" vertical="center"/>
    </xf>
    <xf numFmtId="0" fontId="104" fillId="0" borderId="2" xfId="0" applyFont="1" applyBorder="1" applyAlignment="1">
      <alignment vertical="center"/>
    </xf>
    <xf numFmtId="0" fontId="81" fillId="43" borderId="2" xfId="0" applyFont="1" applyFill="1" applyBorder="1" applyAlignment="1">
      <alignment vertical="center"/>
    </xf>
    <xf numFmtId="209" fontId="61" fillId="43" borderId="2" xfId="1" applyNumberFormat="1" applyFont="1" applyFill="1" applyBorder="1" applyAlignment="1">
      <alignment horizontal="center" vertical="center"/>
    </xf>
    <xf numFmtId="0" fontId="81" fillId="0" borderId="2" xfId="0" applyFont="1" applyBorder="1" applyAlignment="1">
      <alignment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/>
    <xf numFmtId="0" fontId="61" fillId="89" borderId="2" xfId="179" applyFont="1" applyFill="1" applyBorder="1" applyAlignment="1">
      <alignment horizontal="center" vertical="center" wrapText="1"/>
    </xf>
    <xf numFmtId="0" fontId="61" fillId="89" borderId="2" xfId="179" applyFont="1" applyFill="1" applyBorder="1" applyAlignment="1">
      <alignment horizontal="center" vertical="center"/>
    </xf>
    <xf numFmtId="17" fontId="61" fillId="89" borderId="2" xfId="179" applyNumberFormat="1" applyFont="1" applyFill="1" applyBorder="1" applyAlignment="1">
      <alignment horizontal="center" vertical="center"/>
    </xf>
    <xf numFmtId="0" fontId="61" fillId="0" borderId="2" xfId="179" applyFont="1" applyBorder="1" applyAlignment="1">
      <alignment horizontal="left" indent="4"/>
    </xf>
    <xf numFmtId="0" fontId="61" fillId="0" borderId="62" xfId="179" applyFont="1" applyBorder="1" applyAlignment="1">
      <alignment vertical="center"/>
    </xf>
    <xf numFmtId="0" fontId="61" fillId="0" borderId="61" xfId="179" applyFont="1" applyBorder="1" applyAlignment="1">
      <alignment horizontal="center"/>
    </xf>
    <xf numFmtId="43" fontId="125" fillId="49" borderId="2" xfId="179" applyNumberFormat="1" applyFont="1" applyFill="1" applyBorder="1"/>
    <xf numFmtId="43" fontId="81" fillId="0" borderId="2" xfId="18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 wrapText="1"/>
    </xf>
    <xf numFmtId="191" fontId="61" fillId="0" borderId="2" xfId="1" applyFont="1" applyBorder="1" applyAlignment="1">
      <alignment horizontal="center" vertical="center" wrapText="1"/>
    </xf>
    <xf numFmtId="191" fontId="61" fillId="79" borderId="2" xfId="1" applyFont="1" applyFill="1" applyBorder="1" applyAlignment="1">
      <alignment horizontal="center" vertical="center"/>
    </xf>
    <xf numFmtId="191" fontId="99" fillId="80" borderId="2" xfId="1" applyFont="1" applyFill="1" applyBorder="1" applyAlignment="1">
      <alignment vertical="center" wrapText="1"/>
    </xf>
    <xf numFmtId="191" fontId="99" fillId="80" borderId="2" xfId="1" applyFont="1" applyFill="1" applyBorder="1" applyAlignment="1">
      <alignment horizontal="left" vertical="center" wrapText="1"/>
    </xf>
    <xf numFmtId="0" fontId="61" fillId="15" borderId="2" xfId="0" applyFont="1" applyFill="1" applyBorder="1" applyAlignment="1">
      <alignment horizontal="center" vertical="center"/>
    </xf>
    <xf numFmtId="191" fontId="125" fillId="0" borderId="2" xfId="0" applyNumberFormat="1" applyFont="1" applyBorder="1" applyAlignment="1">
      <alignment horizontal="left" vertical="center" wrapText="1"/>
    </xf>
    <xf numFmtId="0" fontId="61" fillId="0" borderId="51" xfId="0" applyFont="1" applyBorder="1" applyAlignment="1">
      <alignment horizontal="center"/>
    </xf>
    <xf numFmtId="0" fontId="61" fillId="0" borderId="55" xfId="0" applyFont="1" applyBorder="1" applyAlignment="1">
      <alignment horizontal="center"/>
    </xf>
    <xf numFmtId="0" fontId="61" fillId="0" borderId="55" xfId="0" applyFont="1" applyBorder="1"/>
    <xf numFmtId="0" fontId="61" fillId="0" borderId="55" xfId="0" quotePrefix="1" applyFont="1" applyBorder="1"/>
    <xf numFmtId="0" fontId="114" fillId="0" borderId="55" xfId="0" applyFont="1" applyBorder="1"/>
    <xf numFmtId="0" fontId="61" fillId="0" borderId="61" xfId="0" applyFont="1" applyBorder="1"/>
    <xf numFmtId="191" fontId="61" fillId="0" borderId="2" xfId="1" applyFont="1" applyFill="1" applyBorder="1"/>
    <xf numFmtId="0" fontId="61" fillId="0" borderId="56" xfId="0" quotePrefix="1" applyFont="1" applyBorder="1"/>
    <xf numFmtId="0" fontId="61" fillId="0" borderId="52" xfId="0" applyFont="1" applyBorder="1" applyAlignment="1">
      <alignment horizontal="center"/>
    </xf>
    <xf numFmtId="0" fontId="61" fillId="0" borderId="0" xfId="0" quotePrefix="1" applyFont="1"/>
    <xf numFmtId="0" fontId="61" fillId="0" borderId="56" xfId="0" quotePrefix="1" applyFont="1" applyBorder="1" applyAlignment="1">
      <alignment wrapText="1"/>
    </xf>
    <xf numFmtId="207" fontId="61" fillId="0" borderId="2" xfId="0" applyNumberFormat="1" applyFont="1" applyBorder="1" applyAlignment="1">
      <alignment horizontal="center"/>
    </xf>
    <xf numFmtId="0" fontId="61" fillId="0" borderId="56" xfId="0" applyFont="1" applyBorder="1" applyAlignment="1">
      <alignment wrapText="1"/>
    </xf>
    <xf numFmtId="0" fontId="61" fillId="0" borderId="59" xfId="0" applyFont="1" applyBorder="1"/>
    <xf numFmtId="0" fontId="61" fillId="0" borderId="59" xfId="0" applyFont="1" applyBorder="1" applyAlignment="1">
      <alignment horizontal="center"/>
    </xf>
    <xf numFmtId="0" fontId="61" fillId="0" borderId="8" xfId="0" applyFont="1" applyBorder="1" applyAlignment="1">
      <alignment horizontal="center"/>
    </xf>
    <xf numFmtId="207" fontId="61" fillId="0" borderId="2" xfId="0" applyNumberFormat="1" applyFont="1" applyBorder="1" applyAlignment="1">
      <alignment horizontal="center" vertical="center"/>
    </xf>
    <xf numFmtId="0" fontId="115" fillId="0" borderId="2" xfId="0" applyFont="1" applyBorder="1" applyAlignment="1">
      <alignment horizontal="center" vertical="center" wrapText="1"/>
    </xf>
    <xf numFmtId="0" fontId="6" fillId="80" borderId="2" xfId="0" applyFont="1" applyFill="1" applyBorder="1" applyAlignment="1">
      <alignment horizontal="center" vertical="center"/>
    </xf>
    <xf numFmtId="191" fontId="99" fillId="80" borderId="2" xfId="1" applyFont="1" applyFill="1" applyBorder="1"/>
    <xf numFmtId="0" fontId="6" fillId="90" borderId="0" xfId="0" applyFont="1" applyFill="1" applyAlignment="1">
      <alignment horizontal="center" vertical="center" wrapText="1"/>
    </xf>
    <xf numFmtId="0" fontId="6" fillId="90" borderId="0" xfId="0" applyFont="1" applyFill="1" applyAlignment="1">
      <alignment horizontal="center" vertical="center"/>
    </xf>
    <xf numFmtId="3" fontId="6" fillId="90" borderId="0" xfId="0" applyNumberFormat="1" applyFont="1" applyFill="1" applyAlignment="1">
      <alignment horizontal="center" vertical="center" wrapText="1"/>
    </xf>
    <xf numFmtId="0" fontId="6" fillId="90" borderId="0" xfId="0" applyFont="1" applyFill="1" applyAlignment="1">
      <alignment vertical="center" wrapText="1"/>
    </xf>
    <xf numFmtId="0" fontId="6" fillId="90" borderId="0" xfId="0" applyFont="1" applyFill="1" applyAlignment="1">
      <alignment horizontal="right" vertical="center" wrapText="1"/>
    </xf>
    <xf numFmtId="0" fontId="6" fillId="90" borderId="0" xfId="0" applyFont="1" applyFill="1" applyAlignment="1">
      <alignment horizontal="right" vertical="center"/>
    </xf>
    <xf numFmtId="0" fontId="96" fillId="91" borderId="0" xfId="0" applyFont="1" applyFill="1" applyAlignment="1">
      <alignment horizontal="center"/>
    </xf>
    <xf numFmtId="14" fontId="96" fillId="91" borderId="0" xfId="0" applyNumberFormat="1" applyFont="1" applyFill="1" applyAlignment="1">
      <alignment horizontal="center"/>
    </xf>
    <xf numFmtId="0" fontId="96" fillId="91" borderId="0" xfId="0" applyFont="1" applyFill="1" applyAlignment="1">
      <alignment horizontal="right"/>
    </xf>
    <xf numFmtId="0" fontId="96" fillId="91" borderId="0" xfId="0" applyFont="1" applyFill="1" applyAlignment="1">
      <alignment horizontal="left"/>
    </xf>
    <xf numFmtId="3" fontId="96" fillId="91" borderId="0" xfId="0" applyNumberFormat="1" applyFont="1" applyFill="1" applyAlignment="1">
      <alignment horizontal="center"/>
    </xf>
    <xf numFmtId="0" fontId="96" fillId="91" borderId="0" xfId="0" applyFont="1" applyFill="1"/>
    <xf numFmtId="3" fontId="96" fillId="91" borderId="0" xfId="0" applyNumberFormat="1" applyFont="1" applyFill="1" applyAlignment="1">
      <alignment horizontal="right"/>
    </xf>
    <xf numFmtId="191" fontId="96" fillId="91" borderId="0" xfId="0" applyNumberFormat="1" applyFont="1" applyFill="1"/>
    <xf numFmtId="0" fontId="61" fillId="91" borderId="0" xfId="0" applyFont="1" applyFill="1" applyAlignment="1">
      <alignment horizontal="center" vertical="center"/>
    </xf>
    <xf numFmtId="191" fontId="61" fillId="91" borderId="0" xfId="0" applyNumberFormat="1" applyFont="1" applyFill="1" applyAlignment="1">
      <alignment vertical="center"/>
    </xf>
    <xf numFmtId="0" fontId="96" fillId="92" borderId="0" xfId="0" applyFont="1" applyFill="1" applyAlignment="1">
      <alignment horizontal="center"/>
    </xf>
    <xf numFmtId="14" fontId="96" fillId="92" borderId="0" xfId="0" applyNumberFormat="1" applyFont="1" applyFill="1" applyAlignment="1">
      <alignment horizontal="center"/>
    </xf>
    <xf numFmtId="0" fontId="96" fillId="92" borderId="0" xfId="0" applyFont="1" applyFill="1" applyAlignment="1">
      <alignment horizontal="right"/>
    </xf>
    <xf numFmtId="0" fontId="96" fillId="92" borderId="0" xfId="0" applyFont="1" applyFill="1" applyAlignment="1">
      <alignment horizontal="left"/>
    </xf>
    <xf numFmtId="3" fontId="96" fillId="92" borderId="0" xfId="0" applyNumberFormat="1" applyFont="1" applyFill="1" applyAlignment="1">
      <alignment horizontal="center"/>
    </xf>
    <xf numFmtId="0" fontId="96" fillId="92" borderId="0" xfId="0" applyFont="1" applyFill="1"/>
    <xf numFmtId="3" fontId="96" fillId="92" borderId="0" xfId="0" applyNumberFormat="1" applyFont="1" applyFill="1" applyAlignment="1">
      <alignment horizontal="right"/>
    </xf>
    <xf numFmtId="191" fontId="96" fillId="92" borderId="0" xfId="0" applyNumberFormat="1" applyFont="1" applyFill="1"/>
    <xf numFmtId="0" fontId="61" fillId="91" borderId="0" xfId="0" applyFont="1" applyFill="1" applyAlignment="1">
      <alignment horizontal="center"/>
    </xf>
    <xf numFmtId="14" fontId="61" fillId="91" borderId="0" xfId="0" applyNumberFormat="1" applyFont="1" applyFill="1" applyAlignment="1">
      <alignment horizontal="center"/>
    </xf>
    <xf numFmtId="0" fontId="61" fillId="91" borderId="0" xfId="0" applyFont="1" applyFill="1" applyAlignment="1">
      <alignment horizontal="right"/>
    </xf>
    <xf numFmtId="0" fontId="61" fillId="91" borderId="0" xfId="0" applyFont="1" applyFill="1"/>
    <xf numFmtId="3" fontId="61" fillId="91" borderId="0" xfId="0" applyNumberFormat="1" applyFont="1" applyFill="1" applyAlignment="1">
      <alignment horizontal="center"/>
    </xf>
    <xf numFmtId="3" fontId="61" fillId="91" borderId="0" xfId="0" applyNumberFormat="1" applyFont="1" applyFill="1" applyAlignment="1">
      <alignment horizontal="right"/>
    </xf>
    <xf numFmtId="0" fontId="61" fillId="92" borderId="0" xfId="0" applyFont="1" applyFill="1" applyAlignment="1">
      <alignment horizontal="center"/>
    </xf>
    <xf numFmtId="14" fontId="61" fillId="92" borderId="0" xfId="0" applyNumberFormat="1" applyFont="1" applyFill="1" applyAlignment="1">
      <alignment horizontal="center"/>
    </xf>
    <xf numFmtId="0" fontId="61" fillId="92" borderId="0" xfId="0" applyFont="1" applyFill="1" applyAlignment="1">
      <alignment horizontal="center" vertical="center"/>
    </xf>
    <xf numFmtId="0" fontId="61" fillId="92" borderId="0" xfId="0" applyFont="1" applyFill="1" applyAlignment="1">
      <alignment horizontal="right"/>
    </xf>
    <xf numFmtId="0" fontId="61" fillId="92" borderId="0" xfId="0" applyFont="1" applyFill="1"/>
    <xf numFmtId="3" fontId="61" fillId="92" borderId="0" xfId="0" applyNumberFormat="1" applyFont="1" applyFill="1" applyAlignment="1">
      <alignment horizontal="center"/>
    </xf>
    <xf numFmtId="3" fontId="61" fillId="92" borderId="0" xfId="0" applyNumberFormat="1" applyFont="1" applyFill="1" applyAlignment="1">
      <alignment horizontal="right"/>
    </xf>
    <xf numFmtId="191" fontId="61" fillId="92" borderId="0" xfId="0" applyNumberFormat="1" applyFont="1" applyFill="1" applyAlignment="1">
      <alignment vertical="center"/>
    </xf>
    <xf numFmtId="0" fontId="61" fillId="92" borderId="0" xfId="0" applyFont="1" applyFill="1" applyAlignment="1">
      <alignment vertical="center"/>
    </xf>
    <xf numFmtId="4" fontId="61" fillId="91" borderId="0" xfId="0" applyNumberFormat="1" applyFont="1" applyFill="1" applyAlignment="1">
      <alignment vertical="center"/>
    </xf>
    <xf numFmtId="2" fontId="61" fillId="91" borderId="0" xfId="0" applyNumberFormat="1" applyFont="1" applyFill="1" applyAlignment="1">
      <alignment vertical="center"/>
    </xf>
    <xf numFmtId="4" fontId="61" fillId="92" borderId="0" xfId="0" applyNumberFormat="1" applyFont="1" applyFill="1" applyAlignment="1">
      <alignment vertical="center"/>
    </xf>
    <xf numFmtId="2" fontId="61" fillId="92" borderId="0" xfId="0" applyNumberFormat="1" applyFont="1" applyFill="1" applyAlignment="1">
      <alignment vertical="center"/>
    </xf>
    <xf numFmtId="4" fontId="96" fillId="92" borderId="0" xfId="0" applyNumberFormat="1" applyFont="1" applyFill="1"/>
    <xf numFmtId="4" fontId="96" fillId="91" borderId="0" xfId="0" applyNumberFormat="1" applyFont="1" applyFill="1"/>
    <xf numFmtId="0" fontId="128" fillId="92" borderId="0" xfId="0" applyFont="1" applyFill="1" applyAlignment="1">
      <alignment horizontal="center"/>
    </xf>
    <xf numFmtId="0" fontId="128" fillId="91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14" fontId="61" fillId="0" borderId="0" xfId="0" applyNumberFormat="1" applyFont="1" applyAlignment="1">
      <alignment horizontal="center"/>
    </xf>
    <xf numFmtId="3" fontId="61" fillId="0" borderId="0" xfId="0" applyNumberFormat="1" applyFont="1" applyAlignment="1">
      <alignment horizontal="center"/>
    </xf>
    <xf numFmtId="0" fontId="61" fillId="91" borderId="0" xfId="0" applyFont="1" applyFill="1" applyAlignment="1">
      <alignment vertical="center"/>
    </xf>
    <xf numFmtId="0" fontId="61" fillId="0" borderId="0" xfId="0" applyFont="1" applyAlignment="1">
      <alignment horizontal="right"/>
    </xf>
    <xf numFmtId="3" fontId="61" fillId="0" borderId="0" xfId="0" applyNumberFormat="1" applyFont="1" applyAlignment="1">
      <alignment horizontal="right"/>
    </xf>
    <xf numFmtId="4" fontId="61" fillId="0" borderId="0" xfId="0" applyNumberFormat="1" applyFont="1" applyAlignment="1">
      <alignment vertical="center"/>
    </xf>
    <xf numFmtId="2" fontId="61" fillId="0" borderId="0" xfId="0" applyNumberFormat="1" applyFont="1" applyAlignment="1">
      <alignment vertical="center"/>
    </xf>
    <xf numFmtId="4" fontId="96" fillId="92" borderId="68" xfId="0" applyNumberFormat="1" applyFont="1" applyFill="1" applyBorder="1"/>
    <xf numFmtId="0" fontId="61" fillId="91" borderId="0" xfId="0" quotePrefix="1" applyFont="1" applyFill="1" applyAlignment="1">
      <alignment horizontal="center"/>
    </xf>
    <xf numFmtId="0" fontId="61" fillId="92" borderId="0" xfId="0" quotePrefix="1" applyFont="1" applyFill="1" applyAlignment="1">
      <alignment horizontal="center"/>
    </xf>
    <xf numFmtId="0" fontId="61" fillId="59" borderId="0" xfId="0" applyFont="1" applyFill="1" applyAlignment="1">
      <alignment horizontal="center"/>
    </xf>
    <xf numFmtId="14" fontId="61" fillId="59" borderId="0" xfId="0" applyNumberFormat="1" applyFont="1" applyFill="1" applyAlignment="1">
      <alignment horizontal="center"/>
    </xf>
    <xf numFmtId="0" fontId="61" fillId="59" borderId="0" xfId="0" applyFont="1" applyFill="1" applyAlignment="1">
      <alignment horizontal="center" vertical="center"/>
    </xf>
    <xf numFmtId="0" fontId="61" fillId="59" borderId="0" xfId="0" applyFont="1" applyFill="1" applyAlignment="1">
      <alignment horizontal="right"/>
    </xf>
    <xf numFmtId="3" fontId="61" fillId="59" borderId="0" xfId="0" applyNumberFormat="1" applyFont="1" applyFill="1" applyAlignment="1">
      <alignment horizontal="center"/>
    </xf>
    <xf numFmtId="0" fontId="61" fillId="59" borderId="0" xfId="0" applyFont="1" applyFill="1"/>
    <xf numFmtId="3" fontId="61" fillId="59" borderId="0" xfId="0" applyNumberFormat="1" applyFont="1" applyFill="1" applyAlignment="1">
      <alignment horizontal="right"/>
    </xf>
    <xf numFmtId="4" fontId="61" fillId="59" borderId="0" xfId="0" applyNumberFormat="1" applyFont="1" applyFill="1" applyAlignment="1">
      <alignment vertical="center"/>
    </xf>
    <xf numFmtId="2" fontId="61" fillId="59" borderId="0" xfId="0" applyNumberFormat="1" applyFont="1" applyFill="1" applyAlignment="1">
      <alignment vertical="center"/>
    </xf>
    <xf numFmtId="0" fontId="61" fillId="0" borderId="0" xfId="0" quotePrefix="1" applyFont="1" applyAlignment="1">
      <alignment horizontal="center"/>
    </xf>
    <xf numFmtId="0" fontId="61" fillId="91" borderId="0" xfId="0" applyFont="1" applyFill="1" applyAlignment="1">
      <alignment horizontal="left"/>
    </xf>
    <xf numFmtId="0" fontId="61" fillId="93" borderId="0" xfId="0" applyFont="1" applyFill="1" applyAlignment="1">
      <alignment horizontal="center" vertical="center"/>
    </xf>
    <xf numFmtId="14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horizontal="center"/>
    </xf>
    <xf numFmtId="0" fontId="61" fillId="93" borderId="0" xfId="0" applyFont="1" applyFill="1" applyAlignment="1">
      <alignment horizontal="right"/>
    </xf>
    <xf numFmtId="0" fontId="61" fillId="93" borderId="0" xfId="0" applyFont="1" applyFill="1" applyAlignment="1">
      <alignment horizontal="left"/>
    </xf>
    <xf numFmtId="3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vertical="center"/>
    </xf>
    <xf numFmtId="3" fontId="61" fillId="93" borderId="0" xfId="0" applyNumberFormat="1" applyFont="1" applyFill="1" applyAlignment="1">
      <alignment horizontal="right"/>
    </xf>
    <xf numFmtId="4" fontId="61" fillId="93" borderId="0" xfId="0" applyNumberFormat="1" applyFont="1" applyFill="1" applyAlignment="1">
      <alignment vertical="center"/>
    </xf>
    <xf numFmtId="2" fontId="61" fillId="93" borderId="0" xfId="0" applyNumberFormat="1" applyFont="1" applyFill="1" applyAlignment="1">
      <alignment vertical="center"/>
    </xf>
    <xf numFmtId="0" fontId="0" fillId="45" borderId="0" xfId="0" applyFill="1"/>
    <xf numFmtId="0" fontId="61" fillId="93" borderId="0" xfId="0" quotePrefix="1" applyFont="1" applyFill="1" applyAlignment="1">
      <alignment horizontal="center"/>
    </xf>
    <xf numFmtId="0" fontId="96" fillId="93" borderId="0" xfId="0" applyFont="1" applyFill="1" applyAlignment="1">
      <alignment horizontal="center"/>
    </xf>
    <xf numFmtId="0" fontId="96" fillId="93" borderId="0" xfId="0" applyFont="1" applyFill="1" applyAlignment="1">
      <alignment horizontal="right"/>
    </xf>
    <xf numFmtId="0" fontId="96" fillId="93" borderId="0" xfId="0" applyFont="1" applyFill="1"/>
    <xf numFmtId="3" fontId="96" fillId="93" borderId="0" xfId="0" applyNumberFormat="1" applyFont="1" applyFill="1" applyAlignment="1">
      <alignment horizontal="right"/>
    </xf>
    <xf numFmtId="4" fontId="96" fillId="93" borderId="0" xfId="0" applyNumberFormat="1" applyFont="1" applyFill="1"/>
    <xf numFmtId="3" fontId="61" fillId="92" borderId="0" xfId="0" applyNumberFormat="1" applyFont="1" applyFill="1"/>
    <xf numFmtId="3" fontId="61" fillId="91" borderId="0" xfId="0" applyNumberFormat="1" applyFont="1" applyFill="1"/>
    <xf numFmtId="0" fontId="6" fillId="96" borderId="2" xfId="0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/>
    </xf>
    <xf numFmtId="191" fontId="99" fillId="95" borderId="2" xfId="1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 wrapText="1"/>
    </xf>
    <xf numFmtId="43" fontId="99" fillId="95" borderId="2" xfId="32" applyFont="1" applyFill="1" applyBorder="1" applyAlignment="1">
      <alignment horizontal="right" vertical="center" wrapText="1"/>
    </xf>
    <xf numFmtId="0" fontId="6" fillId="95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vertical="center" wrapText="1"/>
    </xf>
    <xf numFmtId="191" fontId="0" fillId="0" borderId="0" xfId="0" applyNumberFormat="1"/>
    <xf numFmtId="191" fontId="61" fillId="92" borderId="0" xfId="0" applyNumberFormat="1" applyFont="1" applyFill="1"/>
    <xf numFmtId="0" fontId="96" fillId="91" borderId="2" xfId="0" applyFont="1" applyFill="1" applyBorder="1" applyAlignment="1">
      <alignment horizontal="center"/>
    </xf>
    <xf numFmtId="14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 applyAlignment="1">
      <alignment horizontal="right"/>
    </xf>
    <xf numFmtId="0" fontId="96" fillId="91" borderId="2" xfId="0" applyFont="1" applyFill="1" applyBorder="1" applyAlignment="1">
      <alignment horizontal="left"/>
    </xf>
    <xf numFmtId="2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/>
    <xf numFmtId="3" fontId="96" fillId="91" borderId="2" xfId="0" applyNumberFormat="1" applyFont="1" applyFill="1" applyBorder="1" applyAlignment="1">
      <alignment horizontal="right"/>
    </xf>
    <xf numFmtId="191" fontId="96" fillId="91" borderId="2" xfId="0" applyNumberFormat="1" applyFont="1" applyFill="1" applyBorder="1"/>
    <xf numFmtId="191" fontId="96" fillId="91" borderId="2" xfId="0" applyNumberFormat="1" applyFont="1" applyFill="1" applyBorder="1" applyAlignment="1">
      <alignment horizontal="right"/>
    </xf>
    <xf numFmtId="191" fontId="61" fillId="98" borderId="2" xfId="1" applyFont="1" applyFill="1" applyBorder="1" applyAlignment="1">
      <alignment horizontal="center" vertical="center"/>
    </xf>
    <xf numFmtId="191" fontId="61" fillId="98" borderId="2" xfId="0" applyNumberFormat="1" applyFont="1" applyFill="1" applyBorder="1" applyAlignment="1">
      <alignment vertical="center"/>
    </xf>
    <xf numFmtId="191" fontId="0" fillId="43" borderId="2" xfId="1" applyFont="1" applyFill="1" applyBorder="1"/>
    <xf numFmtId="0" fontId="96" fillId="92" borderId="2" xfId="0" applyFont="1" applyFill="1" applyBorder="1" applyAlignment="1">
      <alignment horizontal="center"/>
    </xf>
    <xf numFmtId="14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 applyAlignment="1">
      <alignment horizontal="right"/>
    </xf>
    <xf numFmtId="0" fontId="96" fillId="92" borderId="2" xfId="0" applyFont="1" applyFill="1" applyBorder="1" applyAlignment="1">
      <alignment horizontal="left"/>
    </xf>
    <xf numFmtId="2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/>
    <xf numFmtId="3" fontId="96" fillId="92" borderId="2" xfId="0" applyNumberFormat="1" applyFont="1" applyFill="1" applyBorder="1" applyAlignment="1">
      <alignment horizontal="right"/>
    </xf>
    <xf numFmtId="191" fontId="96" fillId="92" borderId="2" xfId="0" applyNumberFormat="1" applyFont="1" applyFill="1" applyBorder="1"/>
    <xf numFmtId="191" fontId="96" fillId="92" borderId="2" xfId="0" applyNumberFormat="1" applyFont="1" applyFill="1" applyBorder="1" applyAlignment="1">
      <alignment horizontal="right"/>
    </xf>
    <xf numFmtId="0" fontId="61" fillId="91" borderId="2" xfId="0" applyFont="1" applyFill="1" applyBorder="1" applyAlignment="1">
      <alignment horizontal="center"/>
    </xf>
    <xf numFmtId="14" fontId="61" fillId="91" borderId="2" xfId="0" applyNumberFormat="1" applyFont="1" applyFill="1" applyBorder="1" applyAlignment="1">
      <alignment horizontal="center"/>
    </xf>
    <xf numFmtId="0" fontId="61" fillId="91" borderId="2" xfId="0" applyFont="1" applyFill="1" applyBorder="1" applyAlignment="1">
      <alignment horizontal="center" vertical="center"/>
    </xf>
    <xf numFmtId="0" fontId="61" fillId="91" borderId="2" xfId="0" applyFont="1" applyFill="1" applyBorder="1" applyAlignment="1">
      <alignment horizontal="right"/>
    </xf>
    <xf numFmtId="0" fontId="61" fillId="91" borderId="2" xfId="0" applyFont="1" applyFill="1" applyBorder="1"/>
    <xf numFmtId="2" fontId="61" fillId="91" borderId="2" xfId="0" applyNumberFormat="1" applyFont="1" applyFill="1" applyBorder="1" applyAlignment="1">
      <alignment horizontal="center"/>
    </xf>
    <xf numFmtId="3" fontId="61" fillId="91" borderId="2" xfId="0" applyNumberFormat="1" applyFont="1" applyFill="1" applyBorder="1" applyAlignment="1">
      <alignment horizontal="right"/>
    </xf>
    <xf numFmtId="191" fontId="61" fillId="91" borderId="2" xfId="0" applyNumberFormat="1" applyFont="1" applyFill="1" applyBorder="1" applyAlignment="1">
      <alignment vertical="center"/>
    </xf>
    <xf numFmtId="191" fontId="61" fillId="91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horizontal="center"/>
    </xf>
    <xf numFmtId="14" fontId="61" fillId="92" borderId="2" xfId="0" applyNumberFormat="1" applyFont="1" applyFill="1" applyBorder="1" applyAlignment="1">
      <alignment horizontal="center"/>
    </xf>
    <xf numFmtId="0" fontId="61" fillId="92" borderId="2" xfId="0" applyFont="1" applyFill="1" applyBorder="1" applyAlignment="1">
      <alignment horizontal="center" vertical="center"/>
    </xf>
    <xf numFmtId="0" fontId="61" fillId="92" borderId="2" xfId="0" applyFont="1" applyFill="1" applyBorder="1" applyAlignment="1">
      <alignment horizontal="right"/>
    </xf>
    <xf numFmtId="0" fontId="61" fillId="92" borderId="2" xfId="0" applyFont="1" applyFill="1" applyBorder="1"/>
    <xf numFmtId="2" fontId="61" fillId="92" borderId="2" xfId="0" applyNumberFormat="1" applyFont="1" applyFill="1" applyBorder="1" applyAlignment="1">
      <alignment horizontal="center"/>
    </xf>
    <xf numFmtId="3" fontId="61" fillId="92" borderId="2" xfId="0" applyNumberFormat="1" applyFont="1" applyFill="1" applyBorder="1" applyAlignment="1">
      <alignment horizontal="right"/>
    </xf>
    <xf numFmtId="191" fontId="61" fillId="92" borderId="2" xfId="0" applyNumberFormat="1" applyFont="1" applyFill="1" applyBorder="1" applyAlignment="1">
      <alignment vertical="center"/>
    </xf>
    <xf numFmtId="191" fontId="61" fillId="92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vertical="center"/>
    </xf>
    <xf numFmtId="4" fontId="61" fillId="91" borderId="2" xfId="0" applyNumberFormat="1" applyFont="1" applyFill="1" applyBorder="1" applyAlignment="1">
      <alignment horizontal="right"/>
    </xf>
    <xf numFmtId="4" fontId="61" fillId="92" borderId="2" xfId="0" applyNumberFormat="1" applyFont="1" applyFill="1" applyBorder="1" applyAlignment="1">
      <alignment horizontal="right"/>
    </xf>
    <xf numFmtId="4" fontId="61" fillId="91" borderId="2" xfId="0" applyNumberFormat="1" applyFont="1" applyFill="1" applyBorder="1" applyAlignment="1">
      <alignment vertical="center"/>
    </xf>
    <xf numFmtId="4" fontId="61" fillId="92" borderId="2" xfId="0" applyNumberFormat="1" applyFont="1" applyFill="1" applyBorder="1" applyAlignment="1">
      <alignment vertical="center"/>
    </xf>
    <xf numFmtId="4" fontId="96" fillId="92" borderId="2" xfId="0" applyNumberFormat="1" applyFont="1" applyFill="1" applyBorder="1"/>
    <xf numFmtId="4" fontId="96" fillId="92" borderId="2" xfId="0" applyNumberFormat="1" applyFont="1" applyFill="1" applyBorder="1" applyAlignment="1">
      <alignment horizontal="right"/>
    </xf>
    <xf numFmtId="4" fontId="96" fillId="91" borderId="2" xfId="0" applyNumberFormat="1" applyFont="1" applyFill="1" applyBorder="1"/>
    <xf numFmtId="0" fontId="128" fillId="92" borderId="2" xfId="0" applyFont="1" applyFill="1" applyBorder="1" applyAlignment="1">
      <alignment horizontal="center"/>
    </xf>
    <xf numFmtId="0" fontId="128" fillId="91" borderId="2" xfId="0" applyFont="1" applyFill="1" applyBorder="1" applyAlignment="1">
      <alignment horizontal="center"/>
    </xf>
    <xf numFmtId="0" fontId="96" fillId="0" borderId="2" xfId="0" applyFont="1" applyBorder="1" applyAlignment="1">
      <alignment horizontal="center"/>
    </xf>
    <xf numFmtId="14" fontId="61" fillId="0" borderId="2" xfId="0" applyNumberFormat="1" applyFont="1" applyBorder="1" applyAlignment="1">
      <alignment horizontal="center"/>
    </xf>
    <xf numFmtId="2" fontId="61" fillId="0" borderId="2" xfId="0" applyNumberFormat="1" applyFont="1" applyBorder="1" applyAlignment="1">
      <alignment horizontal="center"/>
    </xf>
    <xf numFmtId="0" fontId="61" fillId="91" borderId="2" xfId="0" applyFont="1" applyFill="1" applyBorder="1" applyAlignment="1">
      <alignment vertical="center"/>
    </xf>
    <xf numFmtId="4" fontId="96" fillId="91" borderId="2" xfId="0" applyNumberFormat="1" applyFont="1" applyFill="1" applyBorder="1" applyAlignment="1">
      <alignment horizontal="right"/>
    </xf>
    <xf numFmtId="0" fontId="61" fillId="0" borderId="2" xfId="0" applyFont="1" applyBorder="1" applyAlignment="1">
      <alignment horizontal="right"/>
    </xf>
    <xf numFmtId="3" fontId="61" fillId="0" borderId="2" xfId="0" applyNumberFormat="1" applyFont="1" applyBorder="1" applyAlignment="1">
      <alignment horizontal="right"/>
    </xf>
    <xf numFmtId="4" fontId="61" fillId="0" borderId="2" xfId="0" applyNumberFormat="1" applyFont="1" applyBorder="1" applyAlignment="1">
      <alignment vertical="center"/>
    </xf>
    <xf numFmtId="4" fontId="61" fillId="0" borderId="2" xfId="0" applyNumberFormat="1" applyFont="1" applyBorder="1" applyAlignment="1">
      <alignment horizontal="right"/>
    </xf>
    <xf numFmtId="0" fontId="61" fillId="91" borderId="2" xfId="0" quotePrefix="1" applyFont="1" applyFill="1" applyBorder="1" applyAlignment="1">
      <alignment horizontal="center"/>
    </xf>
    <xf numFmtId="0" fontId="61" fillId="92" borderId="2" xfId="0" quotePrefix="1" applyFont="1" applyFill="1" applyBorder="1" applyAlignment="1">
      <alignment horizontal="center"/>
    </xf>
    <xf numFmtId="191" fontId="61" fillId="0" borderId="2" xfId="0" applyNumberFormat="1" applyFont="1" applyBorder="1" applyAlignment="1">
      <alignment horizontal="right"/>
    </xf>
    <xf numFmtId="0" fontId="61" fillId="59" borderId="2" xfId="0" applyFont="1" applyFill="1" applyBorder="1" applyAlignment="1">
      <alignment horizontal="center"/>
    </xf>
    <xf numFmtId="14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 applyAlignment="1">
      <alignment horizontal="center" vertical="center"/>
    </xf>
    <xf numFmtId="0" fontId="61" fillId="59" borderId="2" xfId="0" applyFont="1" applyFill="1" applyBorder="1" applyAlignment="1">
      <alignment horizontal="right"/>
    </xf>
    <xf numFmtId="2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/>
    <xf numFmtId="3" fontId="61" fillId="59" borderId="2" xfId="0" applyNumberFormat="1" applyFont="1" applyFill="1" applyBorder="1" applyAlignment="1">
      <alignment horizontal="right"/>
    </xf>
    <xf numFmtId="4" fontId="61" fillId="59" borderId="2" xfId="0" applyNumberFormat="1" applyFont="1" applyFill="1" applyBorder="1" applyAlignment="1">
      <alignment vertical="center"/>
    </xf>
    <xf numFmtId="191" fontId="61" fillId="59" borderId="2" xfId="0" applyNumberFormat="1" applyFont="1" applyFill="1" applyBorder="1" applyAlignment="1">
      <alignment horizontal="right"/>
    </xf>
    <xf numFmtId="0" fontId="61" fillId="0" borderId="2" xfId="0" quotePrefix="1" applyFont="1" applyBorder="1" applyAlignment="1">
      <alignment horizontal="center"/>
    </xf>
    <xf numFmtId="0" fontId="61" fillId="91" borderId="2" xfId="0" applyFont="1" applyFill="1" applyBorder="1" applyAlignment="1">
      <alignment horizontal="left"/>
    </xf>
    <xf numFmtId="0" fontId="61" fillId="93" borderId="2" xfId="0" applyFont="1" applyFill="1" applyBorder="1" applyAlignment="1">
      <alignment horizontal="center" vertical="center"/>
    </xf>
    <xf numFmtId="14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horizontal="center"/>
    </xf>
    <xf numFmtId="0" fontId="61" fillId="93" borderId="2" xfId="0" applyFont="1" applyFill="1" applyBorder="1" applyAlignment="1">
      <alignment horizontal="right"/>
    </xf>
    <xf numFmtId="0" fontId="61" fillId="93" borderId="2" xfId="0" applyFont="1" applyFill="1" applyBorder="1" applyAlignment="1">
      <alignment horizontal="left"/>
    </xf>
    <xf numFmtId="2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vertical="center"/>
    </xf>
    <xf numFmtId="3" fontId="61" fillId="93" borderId="2" xfId="0" applyNumberFormat="1" applyFont="1" applyFill="1" applyBorder="1" applyAlignment="1">
      <alignment horizontal="right"/>
    </xf>
    <xf numFmtId="4" fontId="61" fillId="93" borderId="2" xfId="0" applyNumberFormat="1" applyFont="1" applyFill="1" applyBorder="1" applyAlignment="1">
      <alignment vertical="center"/>
    </xf>
    <xf numFmtId="4" fontId="61" fillId="93" borderId="2" xfId="0" applyNumberFormat="1" applyFont="1" applyFill="1" applyBorder="1" applyAlignment="1">
      <alignment horizontal="right"/>
    </xf>
    <xf numFmtId="0" fontId="61" fillId="93" borderId="2" xfId="0" quotePrefix="1" applyFont="1" applyFill="1" applyBorder="1" applyAlignment="1">
      <alignment horizontal="center"/>
    </xf>
    <xf numFmtId="0" fontId="96" fillId="93" borderId="2" xfId="0" applyFont="1" applyFill="1" applyBorder="1" applyAlignment="1">
      <alignment horizontal="center"/>
    </xf>
    <xf numFmtId="0" fontId="96" fillId="93" borderId="2" xfId="0" applyFont="1" applyFill="1" applyBorder="1" applyAlignment="1">
      <alignment horizontal="right"/>
    </xf>
    <xf numFmtId="0" fontId="96" fillId="93" borderId="2" xfId="0" applyFont="1" applyFill="1" applyBorder="1"/>
    <xf numFmtId="3" fontId="96" fillId="93" borderId="2" xfId="0" applyNumberFormat="1" applyFont="1" applyFill="1" applyBorder="1" applyAlignment="1">
      <alignment horizontal="right"/>
    </xf>
    <xf numFmtId="4" fontId="96" fillId="93" borderId="2" xfId="0" applyNumberFormat="1" applyFont="1" applyFill="1" applyBorder="1"/>
    <xf numFmtId="4" fontId="96" fillId="93" borderId="2" xfId="0" applyNumberFormat="1" applyFont="1" applyFill="1" applyBorder="1" applyAlignment="1">
      <alignment horizontal="right"/>
    </xf>
    <xf numFmtId="191" fontId="61" fillId="93" borderId="2" xfId="0" applyNumberFormat="1" applyFont="1" applyFill="1" applyBorder="1" applyAlignment="1">
      <alignment horizontal="right"/>
    </xf>
    <xf numFmtId="4" fontId="61" fillId="94" borderId="2" xfId="0" applyNumberFormat="1" applyFont="1" applyFill="1" applyBorder="1" applyAlignment="1">
      <alignment horizontal="right"/>
    </xf>
    <xf numFmtId="43" fontId="0" fillId="0" borderId="0" xfId="0" applyNumberFormat="1"/>
    <xf numFmtId="0" fontId="8" fillId="0" borderId="2" xfId="0" applyFont="1" applyBorder="1" applyAlignment="1">
      <alignment horizontal="left"/>
    </xf>
    <xf numFmtId="191" fontId="61" fillId="0" borderId="56" xfId="1" applyFont="1" applyBorder="1" applyAlignment="1">
      <alignment horizontal="left" vertical="center"/>
    </xf>
    <xf numFmtId="192" fontId="15" fillId="0" borderId="35" xfId="1" applyNumberFormat="1" applyFont="1" applyBorder="1"/>
    <xf numFmtId="192" fontId="15" fillId="0" borderId="7" xfId="1" applyNumberFormat="1" applyFont="1" applyBorder="1" applyAlignment="1">
      <alignment horizontal="center" vertical="center"/>
    </xf>
    <xf numFmtId="206" fontId="61" fillId="86" borderId="2" xfId="0" applyNumberFormat="1" applyFont="1" applyFill="1" applyBorder="1" applyAlignment="1">
      <alignment horizontal="center" vertical="center"/>
    </xf>
    <xf numFmtId="206" fontId="61" fillId="43" borderId="2" xfId="0" applyNumberFormat="1" applyFont="1" applyFill="1" applyBorder="1" applyAlignment="1">
      <alignment horizontal="center" vertical="center"/>
    </xf>
    <xf numFmtId="0" fontId="61" fillId="84" borderId="2" xfId="0" applyFont="1" applyFill="1" applyBorder="1" applyAlignment="1">
      <alignment vertical="center" wrapText="1"/>
    </xf>
    <xf numFmtId="0" fontId="61" fillId="84" borderId="2" xfId="0" applyFont="1" applyFill="1" applyBorder="1" applyAlignment="1">
      <alignment horizontal="center" vertical="center" wrapText="1"/>
    </xf>
    <xf numFmtId="0" fontId="61" fillId="84" borderId="2" xfId="0" applyFont="1" applyFill="1" applyBorder="1" applyAlignment="1">
      <alignment horizontal="center" vertical="center"/>
    </xf>
    <xf numFmtId="206" fontId="61" fillId="84" borderId="2" xfId="0" applyNumberFormat="1" applyFont="1" applyFill="1" applyBorder="1" applyAlignment="1">
      <alignment vertical="center"/>
    </xf>
    <xf numFmtId="206" fontId="61" fillId="84" borderId="3" xfId="0" applyNumberFormat="1" applyFont="1" applyFill="1" applyBorder="1" applyAlignment="1">
      <alignment vertical="center"/>
    </xf>
    <xf numFmtId="194" fontId="0" fillId="0" borderId="0" xfId="1" applyNumberFormat="1" applyFont="1" applyBorder="1"/>
    <xf numFmtId="0" fontId="104" fillId="0" borderId="0" xfId="0" applyFont="1" applyAlignment="1">
      <alignment horizontal="left" vertical="center"/>
    </xf>
    <xf numFmtId="204" fontId="122" fillId="87" borderId="0" xfId="0" applyNumberFormat="1" applyFont="1" applyFill="1"/>
    <xf numFmtId="192" fontId="19" fillId="0" borderId="11" xfId="1" applyNumberFormat="1" applyFont="1" applyBorder="1"/>
    <xf numFmtId="194" fontId="61" fillId="0" borderId="2" xfId="1" applyNumberFormat="1" applyFont="1" applyBorder="1" applyAlignment="1">
      <alignment vertical="center"/>
    </xf>
    <xf numFmtId="11" fontId="61" fillId="0" borderId="2" xfId="0" applyNumberFormat="1" applyFont="1" applyBorder="1" applyAlignment="1">
      <alignment horizontal="center" vertical="center"/>
    </xf>
    <xf numFmtId="191" fontId="15" fillId="13" borderId="67" xfId="1" applyFont="1" applyFill="1" applyBorder="1"/>
    <xf numFmtId="0" fontId="15" fillId="0" borderId="7" xfId="0" applyFont="1" applyBorder="1" applyAlignment="1">
      <alignment horizontal="center" vertical="center"/>
    </xf>
    <xf numFmtId="0" fontId="131" fillId="0" borderId="0" xfId="0" applyFont="1"/>
    <xf numFmtId="0" fontId="18" fillId="0" borderId="2" xfId="0" applyFont="1" applyBorder="1" applyAlignment="1">
      <alignment horizontal="center" vertical="center" wrapText="1"/>
    </xf>
    <xf numFmtId="0" fontId="132" fillId="0" borderId="9" xfId="0" applyFont="1" applyBorder="1"/>
    <xf numFmtId="14" fontId="89" fillId="0" borderId="2" xfId="161" applyNumberFormat="1" applyFont="1" applyBorder="1" applyAlignment="1">
      <alignment horizontal="center" vertical="center"/>
    </xf>
    <xf numFmtId="14" fontId="89" fillId="0" borderId="2" xfId="169" applyNumberFormat="1" applyFont="1" applyBorder="1" applyAlignment="1">
      <alignment horizontal="center" vertical="center"/>
    </xf>
    <xf numFmtId="14" fontId="89" fillId="0" borderId="2" xfId="173" applyNumberFormat="1" applyFont="1" applyBorder="1" applyAlignment="1">
      <alignment horizontal="center" vertical="center"/>
    </xf>
    <xf numFmtId="14" fontId="89" fillId="0" borderId="2" xfId="175" applyNumberFormat="1" applyFont="1" applyBorder="1" applyAlignment="1">
      <alignment horizontal="center" vertical="center"/>
    </xf>
    <xf numFmtId="14" fontId="0" fillId="15" borderId="5" xfId="0" applyNumberForma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vertical="center"/>
    </xf>
    <xf numFmtId="0" fontId="6" fillId="86" borderId="2" xfId="0" applyFont="1" applyFill="1" applyBorder="1" applyAlignment="1">
      <alignment horizontal="center" vertical="center" wrapText="1"/>
    </xf>
    <xf numFmtId="43" fontId="61" fillId="0" borderId="2" xfId="0" applyNumberFormat="1" applyFont="1" applyBorder="1" applyAlignment="1">
      <alignment vertical="center"/>
    </xf>
    <xf numFmtId="43" fontId="99" fillId="49" borderId="2" xfId="0" applyNumberFormat="1" applyFont="1" applyFill="1" applyBorder="1" applyAlignment="1">
      <alignment vertical="center"/>
    </xf>
    <xf numFmtId="43" fontId="99" fillId="78" borderId="2" xfId="0" applyNumberFormat="1" applyFont="1" applyFill="1" applyBorder="1" applyAlignment="1">
      <alignment vertical="center"/>
    </xf>
    <xf numFmtId="43" fontId="99" fillId="75" borderId="2" xfId="0" applyNumberFormat="1" applyFont="1" applyFill="1" applyBorder="1" applyAlignment="1">
      <alignment vertical="center"/>
    </xf>
    <xf numFmtId="192" fontId="15" fillId="0" borderId="0" xfId="1" applyNumberFormat="1" applyFont="1" applyBorder="1"/>
    <xf numFmtId="192" fontId="19" fillId="0" borderId="0" xfId="1" applyNumberFormat="1" applyFont="1" applyBorder="1"/>
    <xf numFmtId="191" fontId="15" fillId="0" borderId="7" xfId="1" applyFont="1" applyBorder="1" applyAlignment="1">
      <alignment horizontal="right" vertical="center"/>
    </xf>
    <xf numFmtId="192" fontId="15" fillId="13" borderId="5" xfId="1" applyNumberFormat="1" applyFont="1" applyFill="1" applyBorder="1"/>
    <xf numFmtId="191" fontId="19" fillId="0" borderId="35" xfId="1" applyFont="1" applyBorder="1"/>
    <xf numFmtId="191" fontId="19" fillId="0" borderId="13" xfId="1" applyFont="1" applyBorder="1"/>
    <xf numFmtId="0" fontId="0" fillId="0" borderId="13" xfId="0" applyBorder="1"/>
    <xf numFmtId="191" fontId="19" fillId="12" borderId="0" xfId="1" applyFont="1" applyFill="1" applyBorder="1"/>
    <xf numFmtId="191" fontId="15" fillId="12" borderId="35" xfId="1" applyFont="1" applyFill="1" applyBorder="1"/>
    <xf numFmtId="191" fontId="15" fillId="12" borderId="13" xfId="1" applyFont="1" applyFill="1" applyBorder="1"/>
    <xf numFmtId="191" fontId="15" fillId="13" borderId="66" xfId="1" applyFont="1" applyFill="1" applyBorder="1"/>
    <xf numFmtId="0" fontId="6" fillId="0" borderId="8" xfId="0" applyFont="1" applyBorder="1" applyAlignment="1">
      <alignment horizontal="center" vertical="center" wrapText="1"/>
    </xf>
    <xf numFmtId="191" fontId="61" fillId="0" borderId="2" xfId="1" applyFont="1" applyFill="1" applyBorder="1" applyAlignment="1">
      <alignment vertical="center"/>
    </xf>
    <xf numFmtId="0" fontId="133" fillId="0" borderId="0" xfId="0" applyFont="1"/>
    <xf numFmtId="191" fontId="61" fillId="91" borderId="2" xfId="1" applyFont="1" applyFill="1" applyBorder="1" applyAlignment="1">
      <alignment horizontal="center"/>
    </xf>
    <xf numFmtId="191" fontId="61" fillId="91" borderId="2" xfId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 vertical="center"/>
    </xf>
    <xf numFmtId="191" fontId="96" fillId="91" borderId="2" xfId="1" applyFont="1" applyFill="1" applyBorder="1" applyAlignment="1">
      <alignment horizontal="center"/>
    </xf>
    <xf numFmtId="191" fontId="96" fillId="92" borderId="2" xfId="1" applyFont="1" applyFill="1" applyBorder="1" applyAlignment="1">
      <alignment horizontal="center"/>
    </xf>
    <xf numFmtId="0" fontId="8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91" fontId="18" fillId="0" borderId="7" xfId="1" applyFont="1" applyBorder="1" applyAlignment="1">
      <alignment horizontal="center"/>
    </xf>
    <xf numFmtId="0" fontId="6" fillId="0" borderId="2" xfId="0" applyFont="1" applyBorder="1" applyAlignment="1">
      <alignment horizontal="center" vertical="center" wrapText="1"/>
    </xf>
    <xf numFmtId="0" fontId="8" fillId="91" borderId="2" xfId="0" applyFont="1" applyFill="1" applyBorder="1" applyAlignment="1">
      <alignment horizontal="center"/>
    </xf>
    <xf numFmtId="14" fontId="8" fillId="91" borderId="2" xfId="0" applyNumberFormat="1" applyFont="1" applyFill="1" applyBorder="1" applyAlignment="1">
      <alignment horizontal="center"/>
    </xf>
    <xf numFmtId="0" fontId="8" fillId="91" borderId="2" xfId="0" applyFont="1" applyFill="1" applyBorder="1" applyAlignment="1">
      <alignment horizontal="center" vertical="center"/>
    </xf>
    <xf numFmtId="0" fontId="8" fillId="91" borderId="2" xfId="0" applyFont="1" applyFill="1" applyBorder="1" applyAlignment="1">
      <alignment horizontal="right"/>
    </xf>
    <xf numFmtId="0" fontId="8" fillId="91" borderId="2" xfId="0" applyFont="1" applyFill="1" applyBorder="1"/>
    <xf numFmtId="2" fontId="8" fillId="91" borderId="2" xfId="0" applyNumberFormat="1" applyFont="1" applyFill="1" applyBorder="1" applyAlignment="1">
      <alignment horizontal="center"/>
    </xf>
    <xf numFmtId="3" fontId="8" fillId="91" borderId="2" xfId="0" applyNumberFormat="1" applyFont="1" applyFill="1" applyBorder="1" applyAlignment="1">
      <alignment horizontal="right"/>
    </xf>
    <xf numFmtId="4" fontId="8" fillId="91" borderId="2" xfId="0" applyNumberFormat="1" applyFont="1" applyFill="1" applyBorder="1" applyAlignment="1">
      <alignment vertical="center"/>
    </xf>
    <xf numFmtId="191" fontId="8" fillId="91" borderId="2" xfId="0" applyNumberFormat="1" applyFont="1" applyFill="1" applyBorder="1" applyAlignment="1">
      <alignment horizontal="right"/>
    </xf>
    <xf numFmtId="191" fontId="8" fillId="98" borderId="2" xfId="1" applyFont="1" applyFill="1" applyBorder="1" applyAlignment="1">
      <alignment horizontal="center" vertical="center"/>
    </xf>
    <xf numFmtId="191" fontId="8" fillId="98" borderId="2" xfId="0" applyNumberFormat="1" applyFont="1" applyFill="1" applyBorder="1" applyAlignment="1">
      <alignment vertical="center"/>
    </xf>
    <xf numFmtId="191" fontId="127" fillId="43" borderId="2" xfId="1" applyFont="1" applyFill="1" applyBorder="1"/>
    <xf numFmtId="0" fontId="127" fillId="0" borderId="0" xfId="0" applyFont="1"/>
    <xf numFmtId="0" fontId="98" fillId="0" borderId="2" xfId="0" applyFont="1" applyBorder="1"/>
    <xf numFmtId="0" fontId="118" fillId="0" borderId="2" xfId="0" applyFont="1" applyBorder="1"/>
    <xf numFmtId="0" fontId="94" fillId="84" borderId="2" xfId="0" applyFont="1" applyFill="1" applyBorder="1"/>
    <xf numFmtId="0" fontId="94" fillId="84" borderId="2" xfId="0" applyFont="1" applyFill="1" applyBorder="1" applyAlignment="1">
      <alignment horizontal="center"/>
    </xf>
    <xf numFmtId="191" fontId="94" fillId="84" borderId="2" xfId="1" applyFont="1" applyFill="1" applyBorder="1"/>
    <xf numFmtId="0" fontId="94" fillId="84" borderId="2" xfId="0" applyFont="1" applyFill="1" applyBorder="1" applyAlignment="1">
      <alignment horizontal="left" vertical="center"/>
    </xf>
    <xf numFmtId="43" fontId="94" fillId="84" borderId="2" xfId="0" applyNumberFormat="1" applyFont="1" applyFill="1" applyBorder="1"/>
    <xf numFmtId="2" fontId="94" fillId="84" borderId="2" xfId="0" applyNumberFormat="1" applyFont="1" applyFill="1" applyBorder="1"/>
    <xf numFmtId="0" fontId="81" fillId="0" borderId="2" xfId="0" applyFont="1" applyBorder="1"/>
    <xf numFmtId="0" fontId="81" fillId="84" borderId="2" xfId="0" applyFont="1" applyFill="1" applyBorder="1"/>
    <xf numFmtId="0" fontId="94" fillId="0" borderId="2" xfId="0" applyFont="1" applyBorder="1" applyAlignment="1">
      <alignment horizontal="center"/>
    </xf>
    <xf numFmtId="191" fontId="94" fillId="0" borderId="2" xfId="1" applyFont="1" applyBorder="1"/>
    <xf numFmtId="0" fontId="94" fillId="0" borderId="2" xfId="0" applyFont="1" applyBorder="1" applyAlignment="1">
      <alignment horizontal="left" vertical="center"/>
    </xf>
    <xf numFmtId="204" fontId="94" fillId="0" borderId="2" xfId="0" applyNumberFormat="1" applyFont="1" applyBorder="1"/>
    <xf numFmtId="43" fontId="94" fillId="0" borderId="2" xfId="0" applyNumberFormat="1" applyFont="1" applyBorder="1"/>
    <xf numFmtId="2" fontId="94" fillId="0" borderId="2" xfId="0" applyNumberFormat="1" applyFont="1" applyBorder="1"/>
    <xf numFmtId="191" fontId="94" fillId="0" borderId="2" xfId="1" applyFont="1" applyFill="1" applyBorder="1"/>
    <xf numFmtId="0" fontId="110" fillId="0" borderId="2" xfId="0" applyFont="1" applyBorder="1"/>
    <xf numFmtId="0" fontId="94" fillId="3" borderId="2" xfId="0" applyFont="1" applyFill="1" applyBorder="1"/>
    <xf numFmtId="191" fontId="94" fillId="3" borderId="2" xfId="1" applyFont="1" applyFill="1" applyBorder="1"/>
    <xf numFmtId="2" fontId="94" fillId="3" borderId="2" xfId="0" applyNumberFormat="1" applyFont="1" applyFill="1" applyBorder="1"/>
    <xf numFmtId="0" fontId="118" fillId="70" borderId="51" xfId="0" applyFont="1" applyFill="1" applyBorder="1" applyAlignment="1">
      <alignment horizontal="center" vertical="center"/>
    </xf>
    <xf numFmtId="0" fontId="118" fillId="70" borderId="51" xfId="0" applyFont="1" applyFill="1" applyBorder="1" applyAlignment="1">
      <alignment horizontal="center" vertical="center" wrapText="1"/>
    </xf>
    <xf numFmtId="0" fontId="134" fillId="68" borderId="1" xfId="0" applyFont="1" applyFill="1" applyBorder="1" applyAlignment="1">
      <alignment horizontal="center" vertical="center" wrapText="1"/>
    </xf>
    <xf numFmtId="0" fontId="81" fillId="84" borderId="2" xfId="0" applyFont="1" applyFill="1" applyBorder="1" applyAlignment="1">
      <alignment vertical="center" wrapText="1"/>
    </xf>
    <xf numFmtId="0" fontId="135" fillId="0" borderId="2" xfId="0" applyFont="1" applyBorder="1" applyAlignment="1">
      <alignment vertical="center" wrapText="1"/>
    </xf>
    <xf numFmtId="204" fontId="135" fillId="0" borderId="2" xfId="0" applyNumberFormat="1" applyFont="1" applyBorder="1" applyAlignment="1">
      <alignment vertical="center" wrapText="1"/>
    </xf>
    <xf numFmtId="191" fontId="94" fillId="0" borderId="2" xfId="1" applyFont="1" applyBorder="1" applyAlignment="1">
      <alignment horizontal="center"/>
    </xf>
    <xf numFmtId="0" fontId="118" fillId="15" borderId="2" xfId="0" applyFont="1" applyFill="1" applyBorder="1"/>
    <xf numFmtId="191" fontId="136" fillId="15" borderId="2" xfId="1" applyFont="1" applyFill="1" applyBorder="1"/>
    <xf numFmtId="191" fontId="61" fillId="59" borderId="2" xfId="1" applyFont="1" applyFill="1" applyBorder="1" applyAlignment="1">
      <alignment horizontal="center" vertical="center"/>
    </xf>
    <xf numFmtId="194" fontId="61" fillId="59" borderId="2" xfId="1" applyNumberFormat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/>
    </xf>
    <xf numFmtId="191" fontId="8" fillId="91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/>
    </xf>
    <xf numFmtId="191" fontId="96" fillId="91" borderId="0" xfId="1" applyFont="1" applyFill="1" applyAlignment="1">
      <alignment horizontal="right"/>
    </xf>
    <xf numFmtId="191" fontId="96" fillId="92" borderId="0" xfId="1" applyFont="1" applyFill="1" applyAlignment="1">
      <alignment horizontal="right"/>
    </xf>
    <xf numFmtId="191" fontId="61" fillId="91" borderId="0" xfId="1" applyFont="1" applyFill="1" applyAlignment="1">
      <alignment horizontal="right"/>
    </xf>
    <xf numFmtId="191" fontId="61" fillId="92" borderId="0" xfId="1" applyFont="1" applyFill="1" applyAlignment="1">
      <alignment horizontal="right"/>
    </xf>
    <xf numFmtId="191" fontId="61" fillId="0" borderId="0" xfId="1" applyFont="1" applyAlignment="1">
      <alignment horizontal="right"/>
    </xf>
    <xf numFmtId="191" fontId="61" fillId="59" borderId="0" xfId="1" applyFont="1" applyFill="1" applyAlignment="1">
      <alignment horizontal="right"/>
    </xf>
    <xf numFmtId="191" fontId="61" fillId="93" borderId="0" xfId="1" applyFont="1" applyFill="1" applyAlignment="1">
      <alignment horizontal="right"/>
    </xf>
    <xf numFmtId="191" fontId="96" fillId="93" borderId="0" xfId="1" applyFont="1" applyFill="1" applyAlignment="1">
      <alignment horizontal="right"/>
    </xf>
    <xf numFmtId="191" fontId="61" fillId="94" borderId="0" xfId="1" applyFont="1" applyFill="1" applyAlignment="1">
      <alignment horizontal="right"/>
    </xf>
    <xf numFmtId="191" fontId="98" fillId="95" borderId="2" xfId="1" applyFont="1" applyFill="1" applyBorder="1" applyAlignment="1">
      <alignment horizontal="center" vertical="center" wrapText="1"/>
    </xf>
    <xf numFmtId="191" fontId="96" fillId="91" borderId="0" xfId="1" applyFont="1" applyFill="1" applyAlignment="1">
      <alignment horizontal="center"/>
    </xf>
    <xf numFmtId="191" fontId="96" fillId="92" borderId="0" xfId="1" applyFont="1" applyFill="1" applyAlignment="1">
      <alignment horizontal="center"/>
    </xf>
    <xf numFmtId="191" fontId="61" fillId="92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/>
    </xf>
    <xf numFmtId="191" fontId="61" fillId="92" borderId="0" xfId="1" applyFont="1" applyFill="1" applyAlignment="1">
      <alignment horizontal="center"/>
    </xf>
    <xf numFmtId="191" fontId="61" fillId="0" borderId="0" xfId="1" applyFont="1" applyAlignment="1">
      <alignment horizontal="center" vertical="center"/>
    </xf>
    <xf numFmtId="191" fontId="61" fillId="59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/>
    </xf>
    <xf numFmtId="11" fontId="61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94" fontId="111" fillId="0" borderId="2" xfId="1" applyNumberFormat="1" applyFont="1" applyFill="1" applyBorder="1" applyAlignment="1">
      <alignment horizontal="center" vertical="center" wrapText="1"/>
    </xf>
    <xf numFmtId="192" fontId="61" fillId="0" borderId="2" xfId="1" applyNumberFormat="1" applyFont="1" applyFill="1" applyBorder="1" applyAlignment="1">
      <alignment vertical="center"/>
    </xf>
    <xf numFmtId="0" fontId="118" fillId="3" borderId="2" xfId="0" applyFont="1" applyFill="1" applyBorder="1"/>
    <xf numFmtId="43" fontId="118" fillId="3" borderId="2" xfId="0" applyNumberFormat="1" applyFont="1" applyFill="1" applyBorder="1"/>
    <xf numFmtId="0" fontId="61" fillId="13" borderId="3" xfId="161" applyFont="1" applyFill="1" applyBorder="1" applyAlignment="1">
      <alignment horizontal="left" vertical="center"/>
    </xf>
    <xf numFmtId="0" fontId="61" fillId="13" borderId="4" xfId="161" applyFont="1" applyFill="1" applyBorder="1" applyAlignment="1">
      <alignment horizontal="left" vertical="center"/>
    </xf>
    <xf numFmtId="0" fontId="61" fillId="13" borderId="5" xfId="161" applyFont="1" applyFill="1" applyBorder="1" applyAlignment="1">
      <alignment horizontal="left" vertical="center"/>
    </xf>
    <xf numFmtId="0" fontId="5" fillId="8" borderId="6" xfId="161" applyFont="1" applyFill="1" applyBorder="1" applyAlignment="1">
      <alignment horizontal="left" vertical="center"/>
    </xf>
    <xf numFmtId="0" fontId="5" fillId="8" borderId="10" xfId="161" applyFont="1" applyFill="1" applyBorder="1" applyAlignment="1">
      <alignment horizontal="left" vertical="center"/>
    </xf>
    <xf numFmtId="0" fontId="5" fillId="8" borderId="11" xfId="161" applyFont="1" applyFill="1" applyBorder="1" applyAlignment="1">
      <alignment horizontal="left" vertical="center"/>
    </xf>
    <xf numFmtId="0" fontId="5" fillId="8" borderId="35" xfId="161" applyFont="1" applyFill="1" applyBorder="1" applyAlignment="1">
      <alignment horizontal="left" vertical="center"/>
    </xf>
    <xf numFmtId="0" fontId="5" fillId="8" borderId="23" xfId="161" applyFont="1" applyFill="1" applyBorder="1" applyAlignment="1">
      <alignment horizontal="left" vertical="center"/>
    </xf>
    <xf numFmtId="0" fontId="5" fillId="8" borderId="13" xfId="161" applyFont="1" applyFill="1" applyBorder="1" applyAlignment="1">
      <alignment horizontal="left" vertical="center"/>
    </xf>
    <xf numFmtId="0" fontId="61" fillId="13" borderId="3" xfId="161" applyFont="1" applyFill="1" applyBorder="1" applyAlignment="1">
      <alignment horizontal="left"/>
    </xf>
    <xf numFmtId="0" fontId="61" fillId="13" borderId="4" xfId="161" applyFont="1" applyFill="1" applyBorder="1" applyAlignment="1">
      <alignment horizontal="left"/>
    </xf>
    <xf numFmtId="0" fontId="61" fillId="13" borderId="5" xfId="161" applyFont="1" applyFill="1" applyBorder="1" applyAlignment="1">
      <alignment horizontal="left"/>
    </xf>
    <xf numFmtId="0" fontId="6" fillId="13" borderId="3" xfId="161" applyFont="1" applyFill="1" applyBorder="1" applyAlignment="1">
      <alignment horizontal="left" vertical="center"/>
    </xf>
    <xf numFmtId="0" fontId="6" fillId="13" borderId="4" xfId="161" applyFont="1" applyFill="1" applyBorder="1" applyAlignment="1">
      <alignment horizontal="left" vertical="center"/>
    </xf>
    <xf numFmtId="0" fontId="6" fillId="13" borderId="5" xfId="161" applyFont="1" applyFill="1" applyBorder="1" applyAlignment="1">
      <alignment horizontal="left" vertical="center"/>
    </xf>
    <xf numFmtId="0" fontId="83" fillId="13" borderId="3" xfId="161" applyFont="1" applyFill="1" applyBorder="1" applyAlignment="1">
      <alignment horizontal="center" vertical="center"/>
    </xf>
    <xf numFmtId="0" fontId="83" fillId="13" borderId="4" xfId="161" applyFont="1" applyFill="1" applyBorder="1" applyAlignment="1">
      <alignment horizontal="center" vertical="center"/>
    </xf>
    <xf numFmtId="0" fontId="83" fillId="13" borderId="5" xfId="161" applyFont="1" applyFill="1" applyBorder="1" applyAlignment="1">
      <alignment horizontal="center" vertical="center"/>
    </xf>
    <xf numFmtId="0" fontId="5" fillId="8" borderId="3" xfId="161" applyFont="1" applyFill="1" applyBorder="1" applyAlignment="1">
      <alignment horizontal="left" vertical="center"/>
    </xf>
    <xf numFmtId="0" fontId="5" fillId="8" borderId="5" xfId="161" applyFont="1" applyFill="1" applyBorder="1" applyAlignment="1">
      <alignment horizontal="left" vertical="center"/>
    </xf>
    <xf numFmtId="0" fontId="8" fillId="0" borderId="1" xfId="161" applyFont="1" applyBorder="1" applyAlignment="1">
      <alignment horizontal="center" vertical="center"/>
    </xf>
    <xf numFmtId="0" fontId="8" fillId="0" borderId="7" xfId="161" applyFont="1" applyBorder="1" applyAlignment="1">
      <alignment horizontal="center" vertical="center"/>
    </xf>
    <xf numFmtId="0" fontId="8" fillId="0" borderId="8" xfId="161" applyFont="1" applyBorder="1" applyAlignment="1">
      <alignment horizontal="center" vertical="center"/>
    </xf>
    <xf numFmtId="0" fontId="92" fillId="0" borderId="6" xfId="161" applyFont="1" applyBorder="1" applyAlignment="1">
      <alignment horizontal="center" vertical="center"/>
    </xf>
    <xf numFmtId="0" fontId="92" fillId="0" borderId="9" xfId="161" applyFont="1" applyBorder="1" applyAlignment="1">
      <alignment horizontal="center" vertical="center"/>
    </xf>
    <xf numFmtId="0" fontId="92" fillId="0" borderId="10" xfId="161" applyFont="1" applyBorder="1" applyAlignment="1">
      <alignment horizontal="center" vertical="center"/>
    </xf>
    <xf numFmtId="0" fontId="92" fillId="0" borderId="23" xfId="161" applyFont="1" applyBorder="1" applyAlignment="1">
      <alignment horizontal="center" vertical="center"/>
    </xf>
    <xf numFmtId="0" fontId="92" fillId="0" borderId="12" xfId="161" applyFont="1" applyBorder="1" applyAlignment="1">
      <alignment horizontal="center" vertical="center"/>
    </xf>
    <xf numFmtId="0" fontId="92" fillId="0" borderId="13" xfId="161" applyFont="1" applyBorder="1" applyAlignment="1">
      <alignment horizontal="center" vertical="center"/>
    </xf>
    <xf numFmtId="0" fontId="88" fillId="0" borderId="3" xfId="173" applyFont="1" applyBorder="1" applyAlignment="1">
      <alignment horizontal="left" vertical="center"/>
    </xf>
    <xf numFmtId="0" fontId="88" fillId="0" borderId="4" xfId="173" applyFont="1" applyBorder="1" applyAlignment="1">
      <alignment horizontal="left" vertical="center"/>
    </xf>
    <xf numFmtId="0" fontId="7" fillId="0" borderId="3" xfId="161" applyFont="1" applyBorder="1" applyAlignment="1">
      <alignment horizontal="center" vertical="center"/>
    </xf>
    <xf numFmtId="0" fontId="7" fillId="0" borderId="5" xfId="161" applyFont="1" applyBorder="1" applyAlignment="1">
      <alignment horizontal="center" vertical="center"/>
    </xf>
    <xf numFmtId="15" fontId="61" fillId="13" borderId="4" xfId="161" applyNumberFormat="1" applyFont="1" applyFill="1" applyBorder="1" applyAlignment="1">
      <alignment horizontal="left" vertical="center"/>
    </xf>
    <xf numFmtId="0" fontId="58" fillId="13" borderId="5" xfId="161" applyFont="1" applyFill="1" applyBorder="1" applyAlignment="1">
      <alignment horizontal="left" vertical="center"/>
    </xf>
    <xf numFmtId="0" fontId="10" fillId="8" borderId="4" xfId="161" applyFont="1" applyFill="1" applyBorder="1" applyAlignment="1">
      <alignment horizontal="left" vertical="center"/>
    </xf>
    <xf numFmtId="0" fontId="8" fillId="0" borderId="6" xfId="161" applyFont="1" applyBorder="1" applyAlignment="1">
      <alignment horizontal="center" vertical="center" wrapText="1"/>
    </xf>
    <xf numFmtId="0" fontId="8" fillId="0" borderId="10" xfId="161" applyFont="1" applyBorder="1" applyAlignment="1">
      <alignment horizontal="center" vertical="center" wrapText="1"/>
    </xf>
    <xf numFmtId="0" fontId="8" fillId="0" borderId="23" xfId="161" applyFont="1" applyBorder="1" applyAlignment="1">
      <alignment horizontal="center" vertical="center" wrapText="1"/>
    </xf>
    <xf numFmtId="0" fontId="8" fillId="0" borderId="13" xfId="161" applyFont="1" applyBorder="1" applyAlignment="1">
      <alignment horizontal="center" vertical="center" wrapText="1"/>
    </xf>
    <xf numFmtId="0" fontId="5" fillId="8" borderId="2" xfId="161" applyFont="1" applyFill="1" applyBorder="1" applyAlignment="1">
      <alignment horizontal="left" vertical="center"/>
    </xf>
    <xf numFmtId="0" fontId="60" fillId="0" borderId="3" xfId="161" applyFont="1" applyBorder="1" applyAlignment="1">
      <alignment horizontal="center" vertical="center"/>
    </xf>
    <xf numFmtId="0" fontId="60" fillId="0" borderId="4" xfId="161" applyFont="1" applyBorder="1" applyAlignment="1">
      <alignment horizontal="center" vertical="center"/>
    </xf>
    <xf numFmtId="0" fontId="60" fillId="0" borderId="5" xfId="161" applyFont="1" applyBorder="1" applyAlignment="1">
      <alignment horizontal="center" vertical="center"/>
    </xf>
    <xf numFmtId="191" fontId="80" fillId="13" borderId="3" xfId="1" applyFont="1" applyFill="1" applyBorder="1" applyAlignment="1">
      <alignment horizontal="center" vertical="center"/>
    </xf>
    <xf numFmtId="191" fontId="80" fillId="13" borderId="5" xfId="1" applyFont="1" applyFill="1" applyBorder="1" applyAlignment="1">
      <alignment horizontal="center" vertical="center"/>
    </xf>
    <xf numFmtId="0" fontId="6" fillId="13" borderId="3" xfId="161" applyFont="1" applyFill="1" applyBorder="1" applyAlignment="1">
      <alignment horizontal="left"/>
    </xf>
    <xf numFmtId="0" fontId="6" fillId="13" borderId="4" xfId="161" applyFont="1" applyFill="1" applyBorder="1" applyAlignment="1">
      <alignment horizontal="left"/>
    </xf>
    <xf numFmtId="0" fontId="6" fillId="13" borderId="5" xfId="161" applyFont="1" applyFill="1" applyBorder="1" applyAlignment="1">
      <alignment horizontal="left"/>
    </xf>
    <xf numFmtId="0" fontId="5" fillId="8" borderId="23" xfId="161" applyFont="1" applyFill="1" applyBorder="1" applyAlignment="1">
      <alignment vertical="center"/>
    </xf>
    <xf numFmtId="0" fontId="5" fillId="8" borderId="12" xfId="161" applyFont="1" applyFill="1" applyBorder="1" applyAlignment="1">
      <alignment vertical="center"/>
    </xf>
    <xf numFmtId="0" fontId="5" fillId="8" borderId="13" xfId="161" applyFont="1" applyFill="1" applyBorder="1" applyAlignment="1">
      <alignment vertical="center"/>
    </xf>
    <xf numFmtId="0" fontId="61" fillId="13" borderId="3" xfId="161" applyFont="1" applyFill="1" applyBorder="1"/>
    <xf numFmtId="0" fontId="61" fillId="13" borderId="4" xfId="161" applyFont="1" applyFill="1" applyBorder="1"/>
    <xf numFmtId="0" fontId="61" fillId="13" borderId="5" xfId="161" applyFont="1" applyFill="1" applyBorder="1"/>
    <xf numFmtId="0" fontId="61" fillId="13" borderId="2" xfId="161" applyFont="1" applyFill="1" applyBorder="1"/>
    <xf numFmtId="0" fontId="58" fillId="13" borderId="2" xfId="161" applyFont="1" applyFill="1" applyBorder="1"/>
    <xf numFmtId="0" fontId="8" fillId="5" borderId="7" xfId="161" applyFont="1" applyFill="1" applyBorder="1"/>
    <xf numFmtId="0" fontId="8" fillId="5" borderId="8" xfId="161" applyFont="1" applyFill="1" applyBorder="1"/>
    <xf numFmtId="0" fontId="79" fillId="5" borderId="11" xfId="161" applyFont="1" applyFill="1" applyBorder="1"/>
    <xf numFmtId="0" fontId="79" fillId="5" borderId="0" xfId="161" applyFont="1" applyFill="1"/>
    <xf numFmtId="0" fontId="79" fillId="5" borderId="35" xfId="161" applyFont="1" applyFill="1" applyBorder="1"/>
    <xf numFmtId="0" fontId="8" fillId="5" borderId="7" xfId="161" applyFont="1" applyFill="1" applyBorder="1" applyAlignment="1">
      <alignment horizontal="left" vertical="center"/>
    </xf>
    <xf numFmtId="0" fontId="29" fillId="5" borderId="11" xfId="161" applyFill="1" applyBorder="1"/>
    <xf numFmtId="0" fontId="29" fillId="5" borderId="7" xfId="161" applyFill="1" applyBorder="1"/>
    <xf numFmtId="0" fontId="5" fillId="8" borderId="4" xfId="161" applyFont="1" applyFill="1" applyBorder="1" applyAlignment="1">
      <alignment horizontal="left" vertical="center"/>
    </xf>
    <xf numFmtId="0" fontId="8" fillId="0" borderId="11" xfId="161" applyFont="1" applyBorder="1" applyAlignment="1">
      <alignment horizontal="left" vertical="center"/>
    </xf>
    <xf numFmtId="0" fontId="29" fillId="0" borderId="0" xfId="161"/>
    <xf numFmtId="0" fontId="29" fillId="0" borderId="35" xfId="161" applyBorder="1"/>
    <xf numFmtId="0" fontId="29" fillId="0" borderId="11" xfId="161" applyBorder="1"/>
    <xf numFmtId="0" fontId="29" fillId="0" borderId="23" xfId="161" applyBorder="1"/>
    <xf numFmtId="0" fontId="29" fillId="0" borderId="12" xfId="161" applyBorder="1"/>
    <xf numFmtId="0" fontId="29" fillId="0" borderId="13" xfId="161" applyBorder="1"/>
    <xf numFmtId="0" fontId="8" fillId="0" borderId="0" xfId="161" applyFont="1" applyAlignment="1">
      <alignment horizontal="left" vertical="center"/>
    </xf>
    <xf numFmtId="0" fontId="8" fillId="0" borderId="35" xfId="161" applyFont="1" applyBorder="1" applyAlignment="1">
      <alignment horizontal="left" vertical="center"/>
    </xf>
    <xf numFmtId="0" fontId="8" fillId="0" borderId="23" xfId="161" applyFont="1" applyBorder="1" applyAlignment="1">
      <alignment horizontal="left" vertical="center"/>
    </xf>
    <xf numFmtId="0" fontId="8" fillId="0" borderId="12" xfId="161" applyFont="1" applyBorder="1" applyAlignment="1">
      <alignment horizontal="left" vertical="center"/>
    </xf>
    <xf numFmtId="0" fontId="8" fillId="0" borderId="13" xfId="161" applyFont="1" applyBorder="1" applyAlignment="1">
      <alignment horizontal="left" vertical="center"/>
    </xf>
    <xf numFmtId="0" fontId="60" fillId="0" borderId="6" xfId="161" applyFont="1" applyBorder="1" applyAlignment="1">
      <alignment horizontal="center" vertical="center"/>
    </xf>
    <xf numFmtId="0" fontId="29" fillId="0" borderId="9" xfId="161" applyBorder="1" applyAlignment="1">
      <alignment horizontal="center"/>
    </xf>
    <xf numFmtId="0" fontId="29" fillId="0" borderId="10" xfId="161" applyBorder="1" applyAlignment="1">
      <alignment horizontal="center"/>
    </xf>
    <xf numFmtId="0" fontId="29" fillId="0" borderId="11" xfId="161" applyBorder="1" applyAlignment="1">
      <alignment horizontal="center"/>
    </xf>
    <xf numFmtId="0" fontId="29" fillId="0" borderId="0" xfId="161" applyAlignment="1">
      <alignment horizontal="center"/>
    </xf>
    <xf numFmtId="0" fontId="29" fillId="0" borderId="35" xfId="161" applyBorder="1" applyAlignment="1">
      <alignment horizontal="center"/>
    </xf>
    <xf numFmtId="0" fontId="29" fillId="0" borderId="23" xfId="161" applyBorder="1" applyAlignment="1">
      <alignment horizontal="center"/>
    </xf>
    <xf numFmtId="0" fontId="29" fillId="0" borderId="12" xfId="161" applyBorder="1" applyAlignment="1">
      <alignment horizontal="center"/>
    </xf>
    <xf numFmtId="0" fontId="29" fillId="0" borderId="13" xfId="161" applyBorder="1" applyAlignment="1">
      <alignment horizontal="center"/>
    </xf>
    <xf numFmtId="0" fontId="77" fillId="4" borderId="6" xfId="161" applyFont="1" applyFill="1" applyBorder="1" applyAlignment="1">
      <alignment horizontal="center" vertical="center"/>
    </xf>
    <xf numFmtId="0" fontId="78" fillId="4" borderId="9" xfId="161" applyFont="1" applyFill="1" applyBorder="1" applyAlignment="1">
      <alignment horizontal="center" vertical="center"/>
    </xf>
    <xf numFmtId="0" fontId="78" fillId="4" borderId="10" xfId="161" applyFont="1" applyFill="1" applyBorder="1" applyAlignment="1">
      <alignment horizontal="center" vertical="center"/>
    </xf>
    <xf numFmtId="0" fontId="8" fillId="0" borderId="1" xfId="169" applyFont="1" applyBorder="1" applyAlignment="1">
      <alignment horizontal="center" vertical="center"/>
    </xf>
    <xf numFmtId="0" fontId="8" fillId="0" borderId="7" xfId="169" applyFont="1" applyBorder="1" applyAlignment="1">
      <alignment horizontal="center" vertical="center"/>
    </xf>
    <xf numFmtId="0" fontId="8" fillId="0" borderId="8" xfId="169" applyFont="1" applyBorder="1" applyAlignment="1">
      <alignment horizontal="center" vertical="center"/>
    </xf>
    <xf numFmtId="0" fontId="8" fillId="0" borderId="6" xfId="162" applyFont="1" applyBorder="1"/>
    <xf numFmtId="0" fontId="8" fillId="0" borderId="9" xfId="162" applyFont="1" applyBorder="1"/>
    <xf numFmtId="0" fontId="8" fillId="0" borderId="10" xfId="162" applyFont="1" applyBorder="1"/>
    <xf numFmtId="0" fontId="8" fillId="0" borderId="11" xfId="162" applyFont="1" applyBorder="1"/>
    <xf numFmtId="0" fontId="8" fillId="0" borderId="0" xfId="162" applyFont="1"/>
    <xf numFmtId="0" fontId="8" fillId="0" borderId="35" xfId="162" applyFont="1" applyBorder="1"/>
    <xf numFmtId="0" fontId="8" fillId="0" borderId="23" xfId="162" applyFont="1" applyBorder="1"/>
    <xf numFmtId="0" fontId="8" fillId="0" borderId="12" xfId="162" applyFont="1" applyBorder="1"/>
    <xf numFmtId="0" fontId="8" fillId="0" borderId="13" xfId="162" applyFont="1" applyBorder="1"/>
    <xf numFmtId="0" fontId="92" fillId="0" borderId="6" xfId="169" applyFont="1" applyBorder="1" applyAlignment="1">
      <alignment horizontal="center" vertical="center"/>
    </xf>
    <xf numFmtId="0" fontId="92" fillId="0" borderId="9" xfId="169" applyFont="1" applyBorder="1" applyAlignment="1">
      <alignment horizontal="center" vertical="center"/>
    </xf>
    <xf numFmtId="0" fontId="92" fillId="0" borderId="10" xfId="169" applyFont="1" applyBorder="1" applyAlignment="1">
      <alignment horizontal="center" vertical="center"/>
    </xf>
    <xf numFmtId="0" fontId="92" fillId="0" borderId="23" xfId="169" applyFont="1" applyBorder="1" applyAlignment="1">
      <alignment horizontal="center" vertical="center"/>
    </xf>
    <xf numFmtId="0" fontId="92" fillId="0" borderId="12" xfId="169" applyFont="1" applyBorder="1" applyAlignment="1">
      <alignment horizontal="center" vertical="center"/>
    </xf>
    <xf numFmtId="0" fontId="92" fillId="0" borderId="13" xfId="169" applyFont="1" applyBorder="1" applyAlignment="1">
      <alignment horizontal="center" vertical="center"/>
    </xf>
    <xf numFmtId="0" fontId="88" fillId="0" borderId="5" xfId="173" applyFont="1" applyBorder="1" applyAlignment="1">
      <alignment horizontal="left" vertical="center"/>
    </xf>
    <xf numFmtId="0" fontId="88" fillId="0" borderId="3" xfId="169" applyFont="1" applyBorder="1" applyAlignment="1">
      <alignment horizontal="left" vertical="center"/>
    </xf>
    <xf numFmtId="0" fontId="88" fillId="0" borderId="4" xfId="169" applyFont="1" applyBorder="1" applyAlignment="1">
      <alignment horizontal="left" vertical="center"/>
    </xf>
    <xf numFmtId="0" fontId="91" fillId="0" borderId="6" xfId="173" applyFont="1" applyBorder="1" applyAlignment="1">
      <alignment horizontal="center" vertical="center"/>
    </xf>
    <xf numFmtId="0" fontId="91" fillId="0" borderId="9" xfId="173" applyFont="1" applyBorder="1" applyAlignment="1">
      <alignment horizontal="center" vertical="center"/>
    </xf>
    <xf numFmtId="0" fontId="91" fillId="0" borderId="10" xfId="173" applyFont="1" applyBorder="1" applyAlignment="1">
      <alignment horizontal="center" vertical="center"/>
    </xf>
    <xf numFmtId="0" fontId="91" fillId="0" borderId="23" xfId="173" applyFont="1" applyBorder="1" applyAlignment="1">
      <alignment horizontal="center" vertical="center"/>
    </xf>
    <xf numFmtId="0" fontId="91" fillId="0" borderId="12" xfId="173" applyFont="1" applyBorder="1" applyAlignment="1">
      <alignment horizontal="center" vertical="center"/>
    </xf>
    <xf numFmtId="0" fontId="91" fillId="0" borderId="13" xfId="173" applyFont="1" applyBorder="1" applyAlignment="1">
      <alignment horizontal="center" vertical="center"/>
    </xf>
    <xf numFmtId="0" fontId="88" fillId="0" borderId="3" xfId="173" applyFont="1" applyBorder="1" applyAlignment="1">
      <alignment horizontal="center" vertical="center"/>
    </xf>
    <xf numFmtId="0" fontId="88" fillId="0" borderId="4" xfId="173" applyFont="1" applyBorder="1" applyAlignment="1">
      <alignment horizontal="center" vertical="center"/>
    </xf>
    <xf numFmtId="0" fontId="88" fillId="0" borderId="5" xfId="173" applyFont="1" applyBorder="1" applyAlignment="1">
      <alignment horizontal="center" vertical="center"/>
    </xf>
    <xf numFmtId="0" fontId="8" fillId="0" borderId="1" xfId="173" applyFont="1" applyBorder="1" applyAlignment="1">
      <alignment horizontal="center" vertical="center"/>
    </xf>
    <xf numFmtId="0" fontId="8" fillId="0" borderId="7" xfId="173" applyFont="1" applyBorder="1" applyAlignment="1">
      <alignment horizontal="center" vertical="center"/>
    </xf>
    <xf numFmtId="0" fontId="8" fillId="0" borderId="8" xfId="173" applyFont="1" applyBorder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5" borderId="6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8" fillId="0" borderId="9" xfId="0" applyFont="1" applyBorder="1"/>
    <xf numFmtId="0" fontId="8" fillId="0" borderId="10" xfId="0" applyFont="1" applyBorder="1"/>
    <xf numFmtId="0" fontId="8" fillId="0" borderId="0" xfId="0" applyFont="1"/>
    <xf numFmtId="0" fontId="8" fillId="0" borderId="35" xfId="0" applyFont="1" applyBorder="1"/>
    <xf numFmtId="0" fontId="8" fillId="0" borderId="12" xfId="0" applyFont="1" applyBorder="1"/>
    <xf numFmtId="0" fontId="8" fillId="0" borderId="13" xfId="0" applyFont="1" applyBorder="1"/>
    <xf numFmtId="0" fontId="8" fillId="5" borderId="6" xfId="173" applyFont="1" applyFill="1" applyBorder="1"/>
    <xf numFmtId="0" fontId="29" fillId="5" borderId="9" xfId="173" applyFill="1" applyBorder="1"/>
    <xf numFmtId="0" fontId="29" fillId="5" borderId="10" xfId="173" applyFill="1" applyBorder="1"/>
    <xf numFmtId="0" fontId="7" fillId="50" borderId="3" xfId="114" applyFont="1" applyFill="1" applyBorder="1" applyAlignment="1">
      <alignment horizontal="left" vertical="center" wrapText="1"/>
    </xf>
    <xf numFmtId="0" fontId="7" fillId="50" borderId="5" xfId="114" applyFont="1" applyFill="1" applyBorder="1" applyAlignment="1">
      <alignment horizontal="left" vertical="center" wrapText="1"/>
    </xf>
    <xf numFmtId="0" fontId="7" fillId="50" borderId="2" xfId="114" applyFont="1" applyFill="1" applyBorder="1" applyAlignment="1">
      <alignment horizontal="left" vertical="center" wrapText="1"/>
    </xf>
    <xf numFmtId="0" fontId="6" fillId="48" borderId="66" xfId="114" applyFont="1" applyFill="1" applyBorder="1" applyAlignment="1">
      <alignment horizontal="center" vertical="center"/>
    </xf>
    <xf numFmtId="0" fontId="6" fillId="48" borderId="67" xfId="114" applyFont="1" applyFill="1" applyBorder="1" applyAlignment="1">
      <alignment horizontal="center" vertical="center"/>
    </xf>
    <xf numFmtId="0" fontId="6" fillId="48" borderId="23" xfId="114" applyFont="1" applyFill="1" applyBorder="1" applyAlignment="1">
      <alignment horizontal="center" vertical="center"/>
    </xf>
    <xf numFmtId="0" fontId="6" fillId="48" borderId="13" xfId="114" applyFont="1" applyFill="1" applyBorder="1" applyAlignment="1">
      <alignment horizontal="center" vertical="center"/>
    </xf>
    <xf numFmtId="0" fontId="6" fillId="80" borderId="3" xfId="114" applyFont="1" applyFill="1" applyBorder="1" applyAlignment="1">
      <alignment horizontal="center"/>
    </xf>
    <xf numFmtId="0" fontId="6" fillId="80" borderId="4" xfId="114" applyFont="1" applyFill="1" applyBorder="1" applyAlignment="1">
      <alignment horizontal="center"/>
    </xf>
    <xf numFmtId="0" fontId="6" fillId="80" borderId="5" xfId="114" applyFont="1" applyFill="1" applyBorder="1" applyAlignment="1">
      <alignment horizontal="center"/>
    </xf>
    <xf numFmtId="0" fontId="6" fillId="80" borderId="1" xfId="114" applyFont="1" applyFill="1" applyBorder="1" applyAlignment="1">
      <alignment horizontal="center" vertical="center" wrapText="1"/>
    </xf>
    <xf numFmtId="0" fontId="6" fillId="80" borderId="8" xfId="114" applyFont="1" applyFill="1" applyBorder="1" applyAlignment="1">
      <alignment horizontal="center" vertical="center" wrapText="1"/>
    </xf>
    <xf numFmtId="0" fontId="6" fillId="12" borderId="66" xfId="114" applyFont="1" applyFill="1" applyBorder="1" applyAlignment="1">
      <alignment horizontal="center" vertical="center"/>
    </xf>
    <xf numFmtId="0" fontId="6" fillId="12" borderId="67" xfId="114" applyFont="1" applyFill="1" applyBorder="1" applyAlignment="1">
      <alignment horizontal="center" vertical="center"/>
    </xf>
    <xf numFmtId="0" fontId="6" fillId="12" borderId="23" xfId="114" applyFont="1" applyFill="1" applyBorder="1" applyAlignment="1">
      <alignment horizontal="center" vertical="center"/>
    </xf>
    <xf numFmtId="0" fontId="6" fillId="12" borderId="13" xfId="114" applyFont="1" applyFill="1" applyBorder="1" applyAlignment="1">
      <alignment horizontal="center" vertical="center"/>
    </xf>
    <xf numFmtId="0" fontId="8" fillId="86" borderId="2" xfId="0" applyFont="1" applyFill="1" applyBorder="1" applyAlignment="1">
      <alignment horizontal="center" wrapText="1"/>
    </xf>
    <xf numFmtId="0" fontId="8" fillId="86" borderId="1" xfId="0" applyFont="1" applyFill="1" applyBorder="1" applyAlignment="1">
      <alignment horizontal="center" wrapText="1"/>
    </xf>
    <xf numFmtId="0" fontId="96" fillId="50" borderId="2" xfId="0" applyFont="1" applyFill="1" applyBorder="1" applyAlignment="1">
      <alignment horizontal="left" vertical="center" wrapText="1"/>
    </xf>
    <xf numFmtId="0" fontId="61" fillId="13" borderId="2" xfId="0" applyFont="1" applyFill="1" applyBorder="1" applyAlignment="1">
      <alignment horizontal="left" vertical="center" wrapText="1"/>
    </xf>
    <xf numFmtId="0" fontId="92" fillId="0" borderId="2" xfId="173" applyFont="1" applyBorder="1" applyAlignment="1">
      <alignment horizontal="center" vertical="center"/>
    </xf>
    <xf numFmtId="0" fontId="8" fillId="0" borderId="9" xfId="161" applyFont="1" applyBorder="1" applyAlignment="1">
      <alignment horizontal="center" vertical="center" wrapText="1"/>
    </xf>
    <xf numFmtId="0" fontId="8" fillId="0" borderId="12" xfId="161" applyFont="1" applyBorder="1" applyAlignment="1">
      <alignment horizontal="center" vertical="center" wrapText="1"/>
    </xf>
    <xf numFmtId="0" fontId="88" fillId="0" borderId="2" xfId="173" applyFont="1" applyBorder="1" applyAlignment="1">
      <alignment horizontal="left" vertical="center"/>
    </xf>
    <xf numFmtId="0" fontId="88" fillId="0" borderId="2" xfId="173" applyFont="1" applyBorder="1" applyAlignment="1">
      <alignment horizontal="center" vertical="center"/>
    </xf>
    <xf numFmtId="0" fontId="8" fillId="5" borderId="3" xfId="173" applyFont="1" applyFill="1" applyBorder="1" applyAlignment="1">
      <alignment horizontal="center"/>
    </xf>
    <xf numFmtId="0" fontId="8" fillId="5" borderId="4" xfId="173" applyFont="1" applyFill="1" applyBorder="1" applyAlignment="1">
      <alignment horizontal="center"/>
    </xf>
    <xf numFmtId="0" fontId="8" fillId="5" borderId="5" xfId="173" applyFont="1" applyFill="1" applyBorder="1" applyAlignment="1">
      <alignment horizontal="center"/>
    </xf>
    <xf numFmtId="0" fontId="8" fillId="49" borderId="9" xfId="173" applyFont="1" applyFill="1" applyBorder="1" applyAlignment="1">
      <alignment horizontal="left"/>
    </xf>
    <xf numFmtId="0" fontId="8" fillId="49" borderId="10" xfId="173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6" fillId="48" borderId="2" xfId="0" applyFont="1" applyFill="1" applyBorder="1" applyAlignment="1">
      <alignment horizontal="center"/>
    </xf>
    <xf numFmtId="0" fontId="8" fillId="50" borderId="2" xfId="0" applyFont="1" applyFill="1" applyBorder="1" applyAlignment="1">
      <alignment horizontal="left" vertical="center" wrapText="1"/>
    </xf>
    <xf numFmtId="0" fontId="8" fillId="13" borderId="3" xfId="0" applyFont="1" applyFill="1" applyBorder="1" applyAlignment="1">
      <alignment horizontal="left" vertical="center" wrapText="1"/>
    </xf>
    <xf numFmtId="0" fontId="8" fillId="13" borderId="4" xfId="0" applyFont="1" applyFill="1" applyBorder="1" applyAlignment="1">
      <alignment horizontal="left" vertical="center" wrapText="1"/>
    </xf>
    <xf numFmtId="0" fontId="8" fillId="13" borderId="5" xfId="0" applyFont="1" applyFill="1" applyBorder="1" applyAlignment="1">
      <alignment horizontal="left" vertical="center" wrapText="1"/>
    </xf>
    <xf numFmtId="191" fontId="15" fillId="12" borderId="9" xfId="1" applyFont="1" applyFill="1" applyBorder="1" applyAlignment="1">
      <alignment horizontal="center" vertical="center"/>
    </xf>
    <xf numFmtId="191" fontId="15" fillId="12" borderId="10" xfId="1" applyFont="1" applyFill="1" applyBorder="1" applyAlignment="1">
      <alignment horizontal="center" vertical="center"/>
    </xf>
    <xf numFmtId="191" fontId="15" fillId="12" borderId="0" xfId="1" applyFont="1" applyFill="1" applyAlignment="1">
      <alignment horizontal="center" vertical="center"/>
    </xf>
    <xf numFmtId="191" fontId="15" fillId="12" borderId="35" xfId="1" applyFont="1" applyFill="1" applyBorder="1" applyAlignment="1">
      <alignment horizontal="center" vertical="center"/>
    </xf>
    <xf numFmtId="191" fontId="15" fillId="12" borderId="12" xfId="1" applyFont="1" applyFill="1" applyBorder="1" applyAlignment="1">
      <alignment horizontal="center" vertical="center"/>
    </xf>
    <xf numFmtId="191" fontId="15" fillId="12" borderId="13" xfId="1" applyFont="1" applyFill="1" applyBorder="1" applyAlignment="1">
      <alignment horizontal="center" vertical="center"/>
    </xf>
    <xf numFmtId="0" fontId="15" fillId="14" borderId="3" xfId="0" applyFont="1" applyFill="1" applyBorder="1"/>
    <xf numFmtId="0" fontId="15" fillId="14" borderId="4" xfId="0" applyFont="1" applyFill="1" applyBorder="1"/>
    <xf numFmtId="0" fontId="15" fillId="14" borderId="5" xfId="0" applyFont="1" applyFill="1" applyBorder="1"/>
    <xf numFmtId="0" fontId="7" fillId="0" borderId="1" xfId="0" applyFont="1" applyBorder="1" applyAlignment="1">
      <alignment horizontal="center" vertical="center" textRotation="90"/>
    </xf>
    <xf numFmtId="0" fontId="7" fillId="0" borderId="7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  <xf numFmtId="192" fontId="15" fillId="12" borderId="6" xfId="1" applyNumberFormat="1" applyFont="1" applyFill="1" applyBorder="1" applyAlignment="1">
      <alignment horizontal="center" vertical="center"/>
    </xf>
    <xf numFmtId="192" fontId="15" fillId="12" borderId="9" xfId="1" applyNumberFormat="1" applyFont="1" applyFill="1" applyBorder="1" applyAlignment="1">
      <alignment horizontal="center" vertical="center"/>
    </xf>
    <xf numFmtId="192" fontId="15" fillId="12" borderId="11" xfId="1" applyNumberFormat="1" applyFont="1" applyFill="1" applyBorder="1" applyAlignment="1">
      <alignment horizontal="center" vertical="center"/>
    </xf>
    <xf numFmtId="192" fontId="15" fillId="12" borderId="0" xfId="1" applyNumberFormat="1" applyFont="1" applyFill="1" applyAlignment="1">
      <alignment horizontal="center" vertical="center"/>
    </xf>
    <xf numFmtId="192" fontId="15" fillId="12" borderId="23" xfId="1" applyNumberFormat="1" applyFont="1" applyFill="1" applyBorder="1" applyAlignment="1">
      <alignment horizontal="center" vertical="center"/>
    </xf>
    <xf numFmtId="192" fontId="15" fillId="12" borderId="12" xfId="1" applyNumberFormat="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textRotation="90" wrapText="1"/>
    </xf>
    <xf numFmtId="0" fontId="7" fillId="0" borderId="8" xfId="0" applyFont="1" applyBorder="1" applyAlignment="1">
      <alignment horizontal="center" vertical="center" textRotation="90" wrapText="1"/>
    </xf>
    <xf numFmtId="0" fontId="15" fillId="14" borderId="23" xfId="0" applyFont="1" applyFill="1" applyBorder="1"/>
    <xf numFmtId="0" fontId="15" fillId="14" borderId="12" xfId="0" applyFont="1" applyFill="1" applyBorder="1"/>
    <xf numFmtId="0" fontId="15" fillId="14" borderId="13" xfId="0" applyFont="1" applyFill="1" applyBorder="1"/>
    <xf numFmtId="192" fontId="20" fillId="12" borderId="6" xfId="1" applyNumberFormat="1" applyFont="1" applyFill="1" applyBorder="1" applyAlignment="1">
      <alignment horizontal="center" vertical="center"/>
    </xf>
    <xf numFmtId="192" fontId="20" fillId="12" borderId="9" xfId="1" applyNumberFormat="1" applyFont="1" applyFill="1" applyBorder="1" applyAlignment="1">
      <alignment horizontal="center" vertical="center"/>
    </xf>
    <xf numFmtId="192" fontId="20" fillId="12" borderId="10" xfId="1" applyNumberFormat="1" applyFont="1" applyFill="1" applyBorder="1" applyAlignment="1">
      <alignment horizontal="center" vertical="center"/>
    </xf>
    <xf numFmtId="192" fontId="20" fillId="12" borderId="11" xfId="1" applyNumberFormat="1" applyFont="1" applyFill="1" applyBorder="1" applyAlignment="1">
      <alignment horizontal="center" vertical="center"/>
    </xf>
    <xf numFmtId="192" fontId="20" fillId="12" borderId="0" xfId="1" applyNumberFormat="1" applyFont="1" applyFill="1" applyAlignment="1">
      <alignment horizontal="center" vertical="center"/>
    </xf>
    <xf numFmtId="192" fontId="20" fillId="12" borderId="35" xfId="1" applyNumberFormat="1" applyFont="1" applyFill="1" applyBorder="1" applyAlignment="1">
      <alignment horizontal="center" vertical="center"/>
    </xf>
    <xf numFmtId="192" fontId="20" fillId="12" borderId="23" xfId="1" applyNumberFormat="1" applyFont="1" applyFill="1" applyBorder="1" applyAlignment="1">
      <alignment horizontal="center" vertical="center"/>
    </xf>
    <xf numFmtId="192" fontId="20" fillId="12" borderId="12" xfId="1" applyNumberFormat="1" applyFont="1" applyFill="1" applyBorder="1" applyAlignment="1">
      <alignment horizontal="center" vertical="center"/>
    </xf>
    <xf numFmtId="192" fontId="20" fillId="12" borderId="13" xfId="1" applyNumberFormat="1" applyFont="1" applyFill="1" applyBorder="1" applyAlignment="1">
      <alignment horizontal="center" vertical="center"/>
    </xf>
    <xf numFmtId="0" fontId="15" fillId="14" borderId="6" xfId="0" applyFont="1" applyFill="1" applyBorder="1"/>
    <xf numFmtId="0" fontId="15" fillId="14" borderId="9" xfId="0" applyFont="1" applyFill="1" applyBorder="1"/>
    <xf numFmtId="0" fontId="15" fillId="14" borderId="10" xfId="0" applyFont="1" applyFill="1" applyBorder="1"/>
    <xf numFmtId="0" fontId="11" fillId="41" borderId="1" xfId="163" applyFont="1" applyFill="1" applyBorder="1" applyAlignment="1">
      <alignment horizontal="center" vertical="center"/>
    </xf>
    <xf numFmtId="0" fontId="10" fillId="41" borderId="7" xfId="163" applyFont="1" applyFill="1" applyBorder="1" applyAlignment="1">
      <alignment horizontal="center" vertical="center"/>
    </xf>
    <xf numFmtId="0" fontId="17" fillId="41" borderId="1" xfId="163" applyFont="1" applyFill="1" applyBorder="1" applyAlignment="1">
      <alignment horizontal="center" vertical="center" textRotation="90"/>
    </xf>
    <xf numFmtId="0" fontId="17" fillId="41" borderId="7" xfId="163" applyFont="1" applyFill="1" applyBorder="1" applyAlignment="1">
      <alignment horizontal="center" vertical="center" textRotation="90"/>
    </xf>
    <xf numFmtId="0" fontId="17" fillId="41" borderId="8" xfId="163" applyFont="1" applyFill="1" applyBorder="1" applyAlignment="1">
      <alignment horizontal="center" vertical="center" textRotation="90"/>
    </xf>
    <xf numFmtId="0" fontId="17" fillId="41" borderId="6" xfId="163" applyFont="1" applyFill="1" applyBorder="1" applyAlignment="1">
      <alignment horizontal="center" vertical="center" textRotation="90"/>
    </xf>
    <xf numFmtId="0" fontId="17" fillId="41" borderId="23" xfId="163" applyFont="1" applyFill="1" applyBorder="1" applyAlignment="1">
      <alignment horizontal="center" vertical="center" textRotation="90"/>
    </xf>
    <xf numFmtId="0" fontId="11" fillId="41" borderId="3" xfId="163" applyFont="1" applyFill="1" applyBorder="1" applyAlignment="1">
      <alignment horizontal="center"/>
    </xf>
    <xf numFmtId="0" fontId="11" fillId="41" borderId="4" xfId="163" applyFont="1" applyFill="1" applyBorder="1" applyAlignment="1">
      <alignment horizontal="center"/>
    </xf>
    <xf numFmtId="0" fontId="17" fillId="41" borderId="10" xfId="163" applyFont="1" applyFill="1" applyBorder="1" applyAlignment="1">
      <alignment horizontal="center" vertical="center" textRotation="90"/>
    </xf>
    <xf numFmtId="0" fontId="17" fillId="41" borderId="13" xfId="163" applyFont="1" applyFill="1" applyBorder="1" applyAlignment="1">
      <alignment horizontal="center" vertical="center" textRotation="90"/>
    </xf>
    <xf numFmtId="0" fontId="11" fillId="41" borderId="5" xfId="163" applyFont="1" applyFill="1" applyBorder="1" applyAlignment="1">
      <alignment horizontal="center"/>
    </xf>
    <xf numFmtId="0" fontId="11" fillId="41" borderId="2" xfId="163" applyFont="1" applyFill="1" applyBorder="1" applyAlignment="1">
      <alignment horizontal="center"/>
    </xf>
    <xf numFmtId="0" fontId="8" fillId="0" borderId="1" xfId="174" applyFont="1" applyBorder="1" applyAlignment="1">
      <alignment horizontal="center" vertical="center"/>
    </xf>
    <xf numFmtId="0" fontId="8" fillId="0" borderId="7" xfId="174" applyFont="1" applyBorder="1" applyAlignment="1">
      <alignment horizontal="center" vertical="center"/>
    </xf>
    <xf numFmtId="0" fontId="8" fillId="0" borderId="8" xfId="174" applyFont="1" applyBorder="1" applyAlignment="1">
      <alignment horizontal="center" vertical="center"/>
    </xf>
    <xf numFmtId="0" fontId="8" fillId="5" borderId="3" xfId="0" applyFont="1" applyFill="1" applyBorder="1"/>
    <xf numFmtId="0" fontId="8" fillId="5" borderId="4" xfId="0" applyFont="1" applyFill="1" applyBorder="1"/>
    <xf numFmtId="0" fontId="8" fillId="5" borderId="5" xfId="0" applyFont="1" applyFill="1" applyBorder="1"/>
    <xf numFmtId="0" fontId="11" fillId="6" borderId="1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vertical="center"/>
    </xf>
    <xf numFmtId="0" fontId="10" fillId="7" borderId="8" xfId="0" applyFont="1" applyFill="1" applyBorder="1" applyAlignment="1">
      <alignment vertical="center"/>
    </xf>
    <xf numFmtId="0" fontId="11" fillId="8" borderId="6" xfId="0" applyFont="1" applyFill="1" applyBorder="1" applyAlignment="1">
      <alignment horizontal="center" vertical="center" wrapText="1"/>
    </xf>
    <xf numFmtId="0" fontId="11" fillId="8" borderId="14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14" xfId="0" applyFont="1" applyFill="1" applyBorder="1" applyAlignment="1">
      <alignment horizontal="center" vertical="center" wrapText="1"/>
    </xf>
    <xf numFmtId="0" fontId="11" fillId="9" borderId="18" xfId="0" applyFont="1" applyFill="1" applyBorder="1" applyAlignment="1">
      <alignment horizontal="center" vertical="center" wrapText="1"/>
    </xf>
    <xf numFmtId="0" fontId="11" fillId="9" borderId="19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16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6" xfId="0" applyFont="1" applyFill="1" applyBorder="1" applyAlignment="1">
      <alignment horizontal="center" vertical="center" wrapText="1"/>
    </xf>
    <xf numFmtId="0" fontId="11" fillId="9" borderId="27" xfId="0" applyFont="1" applyFill="1" applyBorder="1" applyAlignment="1">
      <alignment horizontal="center" vertical="center" wrapText="1"/>
    </xf>
    <xf numFmtId="0" fontId="11" fillId="9" borderId="28" xfId="0" applyFont="1" applyFill="1" applyBorder="1" applyAlignment="1">
      <alignment horizontal="center" vertical="center" wrapText="1"/>
    </xf>
    <xf numFmtId="0" fontId="11" fillId="9" borderId="32" xfId="0" applyFont="1" applyFill="1" applyBorder="1" applyAlignment="1">
      <alignment horizontal="center" vertical="center" wrapText="1"/>
    </xf>
    <xf numFmtId="0" fontId="11" fillId="10" borderId="6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10" borderId="14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10" borderId="17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19" xfId="0" applyFont="1" applyFill="1" applyBorder="1" applyAlignment="1">
      <alignment horizontal="center" vertical="center"/>
    </xf>
    <xf numFmtId="0" fontId="11" fillId="10" borderId="20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horizontal="center" vertical="center" wrapText="1"/>
    </xf>
    <xf numFmtId="0" fontId="88" fillId="0" borderId="3" xfId="174" applyFont="1" applyBorder="1" applyAlignment="1">
      <alignment horizontal="left" vertical="center"/>
    </xf>
    <xf numFmtId="0" fontId="88" fillId="0" borderId="4" xfId="174" applyFont="1" applyBorder="1" applyAlignment="1">
      <alignment horizontal="left" vertical="center"/>
    </xf>
    <xf numFmtId="0" fontId="88" fillId="0" borderId="5" xfId="174" applyFont="1" applyBorder="1" applyAlignment="1">
      <alignment horizontal="left" vertical="center"/>
    </xf>
    <xf numFmtId="0" fontId="86" fillId="0" borderId="6" xfId="174" applyFont="1" applyBorder="1" applyAlignment="1">
      <alignment horizontal="center" vertical="center"/>
    </xf>
    <xf numFmtId="0" fontId="86" fillId="0" borderId="9" xfId="174" applyFont="1" applyBorder="1" applyAlignment="1">
      <alignment horizontal="center" vertical="center"/>
    </xf>
    <xf numFmtId="0" fontId="86" fillId="0" borderId="10" xfId="174" applyFont="1" applyBorder="1" applyAlignment="1">
      <alignment horizontal="center" vertical="center"/>
    </xf>
    <xf numFmtId="0" fontId="86" fillId="0" borderId="23" xfId="174" applyFont="1" applyBorder="1" applyAlignment="1">
      <alignment horizontal="center" vertical="center"/>
    </xf>
    <xf numFmtId="0" fontId="86" fillId="0" borderId="12" xfId="174" applyFont="1" applyBorder="1" applyAlignment="1">
      <alignment horizontal="center" vertical="center"/>
    </xf>
    <xf numFmtId="0" fontId="86" fillId="0" borderId="13" xfId="174" applyFont="1" applyBorder="1" applyAlignment="1">
      <alignment horizontal="center" vertical="center"/>
    </xf>
    <xf numFmtId="0" fontId="8" fillId="0" borderId="6" xfId="174" applyFont="1" applyBorder="1" applyAlignment="1">
      <alignment horizontal="center" vertical="center" wrapText="1"/>
    </xf>
    <xf numFmtId="0" fontId="8" fillId="0" borderId="9" xfId="174" applyFont="1" applyBorder="1" applyAlignment="1">
      <alignment horizontal="center" vertical="center" wrapText="1"/>
    </xf>
    <xf numFmtId="0" fontId="8" fillId="0" borderId="10" xfId="174" applyFont="1" applyBorder="1" applyAlignment="1">
      <alignment horizontal="center" vertical="center" wrapText="1"/>
    </xf>
    <xf numFmtId="0" fontId="8" fillId="0" borderId="23" xfId="174" applyFont="1" applyBorder="1" applyAlignment="1">
      <alignment horizontal="center" vertical="center" wrapText="1"/>
    </xf>
    <xf numFmtId="0" fontId="8" fillId="0" borderId="12" xfId="174" applyFont="1" applyBorder="1" applyAlignment="1">
      <alignment horizontal="center" vertical="center" wrapText="1"/>
    </xf>
    <xf numFmtId="0" fontId="8" fillId="0" borderId="13" xfId="174" applyFont="1" applyBorder="1" applyAlignment="1">
      <alignment horizontal="center" vertical="center" wrapText="1"/>
    </xf>
    <xf numFmtId="0" fontId="88" fillId="45" borderId="3" xfId="174" applyFont="1" applyFill="1" applyBorder="1" applyAlignment="1">
      <alignment horizontal="center" vertical="center"/>
    </xf>
    <xf numFmtId="0" fontId="88" fillId="45" borderId="4" xfId="174" applyFont="1" applyFill="1" applyBorder="1" applyAlignment="1">
      <alignment horizontal="center" vertical="center"/>
    </xf>
    <xf numFmtId="0" fontId="88" fillId="45" borderId="5" xfId="174" applyFont="1" applyFill="1" applyBorder="1" applyAlignment="1">
      <alignment horizontal="center" vertical="center"/>
    </xf>
    <xf numFmtId="0" fontId="95" fillId="0" borderId="3" xfId="174" applyFont="1" applyBorder="1" applyAlignment="1">
      <alignment horizontal="center" vertical="center"/>
    </xf>
    <xf numFmtId="0" fontId="95" fillId="0" borderId="4" xfId="174" applyFont="1" applyBorder="1" applyAlignment="1">
      <alignment horizontal="center" vertical="center"/>
    </xf>
    <xf numFmtId="0" fontId="95" fillId="0" borderId="5" xfId="174" applyFont="1" applyBorder="1" applyAlignment="1">
      <alignment horizontal="center" vertical="center"/>
    </xf>
    <xf numFmtId="0" fontId="7" fillId="45" borderId="3" xfId="174" applyFont="1" applyFill="1" applyBorder="1" applyAlignment="1">
      <alignment horizontal="center" vertical="center"/>
    </xf>
    <xf numFmtId="0" fontId="7" fillId="45" borderId="4" xfId="174" applyFont="1" applyFill="1" applyBorder="1" applyAlignment="1">
      <alignment horizontal="center" vertical="center"/>
    </xf>
    <xf numFmtId="0" fontId="7" fillId="45" borderId="5" xfId="174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2" fontId="11" fillId="10" borderId="1" xfId="0" applyNumberFormat="1" applyFont="1" applyFill="1" applyBorder="1" applyAlignment="1">
      <alignment horizontal="center" vertical="center" wrapText="1"/>
    </xf>
    <xf numFmtId="2" fontId="11" fillId="10" borderId="7" xfId="0" applyNumberFormat="1" applyFont="1" applyFill="1" applyBorder="1" applyAlignment="1">
      <alignment horizontal="center" vertical="center" wrapText="1"/>
    </xf>
    <xf numFmtId="2" fontId="11" fillId="10" borderId="8" xfId="0" applyNumberFormat="1" applyFont="1" applyFill="1" applyBorder="1" applyAlignment="1">
      <alignment horizontal="center" vertical="center" wrapText="1"/>
    </xf>
    <xf numFmtId="191" fontId="7" fillId="0" borderId="3" xfId="31" applyFont="1" applyBorder="1" applyAlignment="1">
      <alignment horizontal="center" vertical="center"/>
    </xf>
    <xf numFmtId="191" fontId="7" fillId="0" borderId="4" xfId="31" applyFont="1" applyBorder="1" applyAlignment="1">
      <alignment horizontal="center" vertical="center"/>
    </xf>
    <xf numFmtId="191" fontId="7" fillId="0" borderId="5" xfId="31" applyFont="1" applyBorder="1" applyAlignment="1">
      <alignment horizontal="center" vertical="center"/>
    </xf>
    <xf numFmtId="0" fontId="89" fillId="0" borderId="3" xfId="174" applyFont="1" applyBorder="1" applyAlignment="1">
      <alignment horizontal="center" vertical="center"/>
    </xf>
    <xf numFmtId="0" fontId="89" fillId="0" borderId="5" xfId="174" applyFont="1" applyBorder="1" applyAlignment="1">
      <alignment horizontal="center" vertical="center"/>
    </xf>
    <xf numFmtId="212" fontId="7" fillId="0" borderId="3" xfId="31" applyNumberFormat="1" applyFont="1" applyBorder="1" applyAlignment="1">
      <alignment horizontal="center" vertical="center"/>
    </xf>
    <xf numFmtId="212" fontId="7" fillId="0" borderId="5" xfId="31" applyNumberFormat="1" applyFont="1" applyBorder="1" applyAlignment="1">
      <alignment horizontal="center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/>
    </xf>
    <xf numFmtId="0" fontId="11" fillId="10" borderId="3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textRotation="90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87" fillId="0" borderId="6" xfId="174" applyFont="1" applyBorder="1" applyAlignment="1">
      <alignment horizontal="center" vertical="center"/>
    </xf>
    <xf numFmtId="0" fontId="87" fillId="0" borderId="9" xfId="174" applyFont="1" applyBorder="1" applyAlignment="1">
      <alignment horizontal="center" vertical="center"/>
    </xf>
    <xf numFmtId="0" fontId="87" fillId="0" borderId="10" xfId="174" applyFont="1" applyBorder="1" applyAlignment="1">
      <alignment horizontal="center" vertical="center"/>
    </xf>
    <xf numFmtId="0" fontId="87" fillId="0" borderId="23" xfId="174" applyFont="1" applyBorder="1" applyAlignment="1">
      <alignment horizontal="center" vertical="center"/>
    </xf>
    <xf numFmtId="0" fontId="87" fillId="0" borderId="12" xfId="174" applyFont="1" applyBorder="1" applyAlignment="1">
      <alignment horizontal="center" vertical="center"/>
    </xf>
    <xf numFmtId="0" fontId="87" fillId="0" borderId="13" xfId="174" applyFont="1" applyBorder="1" applyAlignment="1">
      <alignment horizontal="center" vertical="center"/>
    </xf>
    <xf numFmtId="0" fontId="6" fillId="15" borderId="23" xfId="0" applyFont="1" applyFill="1" applyBorder="1" applyAlignment="1">
      <alignment horizontal="left" vertical="center"/>
    </xf>
    <xf numFmtId="0" fontId="6" fillId="15" borderId="12" xfId="0" applyFont="1" applyFill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14" fontId="61" fillId="15" borderId="23" xfId="0" applyNumberFormat="1" applyFont="1" applyFill="1" applyBorder="1" applyAlignment="1">
      <alignment vertical="center"/>
    </xf>
    <xf numFmtId="0" fontId="61" fillId="15" borderId="12" xfId="0" applyFont="1" applyFill="1" applyBorder="1" applyAlignment="1">
      <alignment vertical="center"/>
    </xf>
    <xf numFmtId="0" fontId="61" fillId="15" borderId="13" xfId="0" applyFont="1" applyFill="1" applyBorder="1" applyAlignment="1">
      <alignment vertical="center"/>
    </xf>
    <xf numFmtId="0" fontId="5" fillId="6" borderId="11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5" fillId="41" borderId="7" xfId="0" applyFont="1" applyFill="1" applyBorder="1" applyAlignment="1">
      <alignment horizontal="center" vertical="center" wrapText="1"/>
    </xf>
    <xf numFmtId="0" fontId="5" fillId="41" borderId="8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41" borderId="1" xfId="0" applyFont="1" applyFill="1" applyBorder="1" applyAlignment="1">
      <alignment horizontal="center" vertical="center" wrapText="1"/>
    </xf>
    <xf numFmtId="191" fontId="64" fillId="0" borderId="1" xfId="1" applyFont="1" applyBorder="1" applyAlignment="1">
      <alignment horizontal="center" vertical="center"/>
    </xf>
    <xf numFmtId="191" fontId="64" fillId="0" borderId="8" xfId="1" applyFont="1" applyBorder="1" applyAlignment="1">
      <alignment horizontal="center" vertical="center"/>
    </xf>
    <xf numFmtId="0" fontId="8" fillId="48" borderId="3" xfId="0" applyFont="1" applyFill="1" applyBorder="1" applyAlignment="1">
      <alignment horizontal="left"/>
    </xf>
    <xf numFmtId="0" fontId="8" fillId="48" borderId="5" xfId="0" applyFont="1" applyFill="1" applyBorder="1" applyAlignment="1">
      <alignment horizontal="left"/>
    </xf>
    <xf numFmtId="0" fontId="8" fillId="45" borderId="0" xfId="0" applyFont="1" applyFill="1" applyAlignment="1">
      <alignment horizontal="center"/>
    </xf>
    <xf numFmtId="0" fontId="94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35" xfId="0" applyFont="1" applyBorder="1" applyAlignment="1">
      <alignment horizontal="center"/>
    </xf>
    <xf numFmtId="0" fontId="81" fillId="0" borderId="1" xfId="175" applyFont="1" applyBorder="1" applyAlignment="1">
      <alignment horizontal="center" vertical="center"/>
    </xf>
    <xf numFmtId="0" fontId="81" fillId="0" borderId="7" xfId="175" applyFont="1" applyBorder="1" applyAlignment="1">
      <alignment horizontal="center" vertical="center"/>
    </xf>
    <xf numFmtId="0" fontId="81" fillId="0" borderId="8" xfId="175" applyFont="1" applyBorder="1" applyAlignment="1">
      <alignment horizontal="center" vertical="center"/>
    </xf>
    <xf numFmtId="0" fontId="88" fillId="0" borderId="2" xfId="175" applyFont="1" applyBorder="1" applyAlignment="1">
      <alignment horizontal="left" vertical="center"/>
    </xf>
    <xf numFmtId="0" fontId="81" fillId="0" borderId="2" xfId="175" applyFont="1" applyBorder="1" applyAlignment="1">
      <alignment horizontal="center" vertical="center" wrapText="1"/>
    </xf>
    <xf numFmtId="0" fontId="90" fillId="0" borderId="2" xfId="175" applyFont="1" applyBorder="1" applyAlignment="1">
      <alignment horizontal="center" vertical="center"/>
    </xf>
    <xf numFmtId="0" fontId="87" fillId="0" borderId="2" xfId="175" applyFont="1" applyBorder="1" applyAlignment="1">
      <alignment horizontal="center" vertical="center"/>
    </xf>
    <xf numFmtId="0" fontId="88" fillId="0" borderId="3" xfId="175" applyFont="1" applyBorder="1" applyAlignment="1">
      <alignment horizontal="center" vertical="center"/>
    </xf>
    <xf numFmtId="0" fontId="88" fillId="0" borderId="4" xfId="175" applyFont="1" applyBorder="1" applyAlignment="1">
      <alignment horizontal="center" vertical="center"/>
    </xf>
    <xf numFmtId="0" fontId="88" fillId="0" borderId="5" xfId="175" applyFont="1" applyBorder="1" applyAlignment="1">
      <alignment horizontal="center" vertical="center"/>
    </xf>
    <xf numFmtId="198" fontId="68" fillId="45" borderId="2" xfId="1" applyNumberFormat="1" applyFont="1" applyFill="1" applyBorder="1" applyAlignment="1">
      <alignment horizontal="center" vertical="top"/>
    </xf>
    <xf numFmtId="197" fontId="68" fillId="45" borderId="12" xfId="1" applyNumberFormat="1" applyFont="1" applyFill="1" applyBorder="1" applyAlignment="1">
      <alignment horizontal="center"/>
    </xf>
    <xf numFmtId="0" fontId="68" fillId="45" borderId="3" xfId="0" applyFont="1" applyFill="1" applyBorder="1" applyAlignment="1">
      <alignment horizontal="center" vertical="top"/>
    </xf>
    <xf numFmtId="0" fontId="68" fillId="45" borderId="4" xfId="0" applyFont="1" applyFill="1" applyBorder="1" applyAlignment="1">
      <alignment horizontal="center" vertical="top"/>
    </xf>
    <xf numFmtId="0" fontId="68" fillId="45" borderId="5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9" fillId="44" borderId="2" xfId="0" applyFont="1" applyFill="1" applyBorder="1" applyAlignment="1">
      <alignment horizontal="center" vertical="center"/>
    </xf>
    <xf numFmtId="0" fontId="67" fillId="44" borderId="2" xfId="0" applyFont="1" applyFill="1" applyBorder="1" applyAlignment="1">
      <alignment horizontal="center" vertical="center"/>
    </xf>
    <xf numFmtId="0" fontId="9" fillId="44" borderId="3" xfId="0" applyFont="1" applyFill="1" applyBorder="1" applyAlignment="1">
      <alignment horizontal="center" vertical="center"/>
    </xf>
    <xf numFmtId="0" fontId="9" fillId="44" borderId="4" xfId="0" applyFont="1" applyFill="1" applyBorder="1" applyAlignment="1">
      <alignment horizontal="center" vertical="center"/>
    </xf>
    <xf numFmtId="198" fontId="68" fillId="45" borderId="3" xfId="1" applyNumberFormat="1" applyFont="1" applyFill="1" applyBorder="1" applyAlignment="1">
      <alignment horizontal="center" vertical="top"/>
    </xf>
    <xf numFmtId="198" fontId="68" fillId="45" borderId="4" xfId="1" applyNumberFormat="1" applyFont="1" applyFill="1" applyBorder="1" applyAlignment="1">
      <alignment horizontal="center" vertical="top"/>
    </xf>
    <xf numFmtId="198" fontId="68" fillId="45" borderId="5" xfId="1" applyNumberFormat="1" applyFont="1" applyFill="1" applyBorder="1" applyAlignment="1">
      <alignment horizontal="center" vertical="top"/>
    </xf>
    <xf numFmtId="0" fontId="6" fillId="61" borderId="2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6" fillId="56" borderId="51" xfId="0" applyFont="1" applyFill="1" applyBorder="1" applyAlignment="1">
      <alignment horizontal="center" vertical="center"/>
    </xf>
    <xf numFmtId="0" fontId="8" fillId="0" borderId="55" xfId="0" applyFont="1" applyBorder="1" applyAlignment="1">
      <alignment vertical="center"/>
    </xf>
    <xf numFmtId="0" fontId="6" fillId="56" borderId="55" xfId="0" applyFont="1" applyFill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8" fillId="0" borderId="53" xfId="0" applyFont="1" applyBorder="1" applyAlignment="1">
      <alignment vertical="center"/>
    </xf>
    <xf numFmtId="0" fontId="8" fillId="0" borderId="54" xfId="0" applyFont="1" applyBorder="1" applyAlignment="1">
      <alignment vertical="center"/>
    </xf>
    <xf numFmtId="0" fontId="61" fillId="61" borderId="2" xfId="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3" xfId="0" applyFont="1" applyBorder="1" applyAlignment="1">
      <alignment horizontal="left" vertical="center"/>
    </xf>
    <xf numFmtId="0" fontId="61" fillId="0" borderId="5" xfId="0" applyFont="1" applyBorder="1" applyAlignment="1">
      <alignment horizontal="left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69" xfId="0" applyFont="1" applyFill="1" applyBorder="1" applyAlignment="1">
      <alignment horizontal="center" vertical="center"/>
    </xf>
    <xf numFmtId="0" fontId="6" fillId="60" borderId="57" xfId="0" applyFont="1" applyFill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8" xfId="0" applyFont="1" applyFill="1" applyBorder="1" applyAlignment="1">
      <alignment horizontal="center" vertical="center"/>
    </xf>
    <xf numFmtId="0" fontId="61" fillId="61" borderId="1" xfId="0" applyFont="1" applyFill="1" applyBorder="1" applyAlignment="1">
      <alignment horizontal="center" vertical="center"/>
    </xf>
    <xf numFmtId="0" fontId="61" fillId="61" borderId="8" xfId="0" applyFont="1" applyFill="1" applyBorder="1" applyAlignment="1">
      <alignment horizontal="center" vertical="center"/>
    </xf>
    <xf numFmtId="0" fontId="61" fillId="61" borderId="3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1" fillId="61" borderId="66" xfId="0" applyFont="1" applyFill="1" applyBorder="1" applyAlignment="1">
      <alignment horizontal="center" vertical="center"/>
    </xf>
    <xf numFmtId="0" fontId="61" fillId="61" borderId="67" xfId="0" applyFont="1" applyFill="1" applyBorder="1" applyAlignment="1">
      <alignment horizontal="center" vertical="center"/>
    </xf>
    <xf numFmtId="0" fontId="61" fillId="61" borderId="23" xfId="0" applyFont="1" applyFill="1" applyBorder="1" applyAlignment="1">
      <alignment horizontal="center" vertical="center"/>
    </xf>
    <xf numFmtId="0" fontId="61" fillId="61" borderId="13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/>
    </xf>
    <xf numFmtId="0" fontId="6" fillId="61" borderId="8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 wrapText="1"/>
    </xf>
    <xf numFmtId="0" fontId="6" fillId="61" borderId="8" xfId="0" applyFont="1" applyFill="1" applyBorder="1" applyAlignment="1">
      <alignment horizontal="center" vertical="center" wrapText="1"/>
    </xf>
    <xf numFmtId="0" fontId="6" fillId="65" borderId="53" xfId="0" quotePrefix="1" applyFont="1" applyFill="1" applyBorder="1" applyAlignment="1">
      <alignment horizontal="center" vertical="center" wrapText="1"/>
    </xf>
    <xf numFmtId="0" fontId="8" fillId="0" borderId="53" xfId="0" applyFont="1" applyBorder="1"/>
    <xf numFmtId="0" fontId="6" fillId="57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horizontal="center" vertical="center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0" fontId="61" fillId="61" borderId="2" xfId="0" applyFont="1" applyFill="1" applyBorder="1" applyAlignment="1">
      <alignment horizontal="center" vertical="center" wrapText="1"/>
    </xf>
    <xf numFmtId="0" fontId="7" fillId="0" borderId="55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8" fillId="0" borderId="54" xfId="0" applyFont="1" applyBorder="1"/>
    <xf numFmtId="0" fontId="8" fillId="0" borderId="55" xfId="0" applyFont="1" applyBorder="1"/>
    <xf numFmtId="0" fontId="6" fillId="56" borderId="51" xfId="0" applyFont="1" applyFill="1" applyBorder="1" applyAlignment="1">
      <alignment horizontal="center" vertical="center" wrapText="1"/>
    </xf>
    <xf numFmtId="0" fontId="6" fillId="72" borderId="52" xfId="0" applyFont="1" applyFill="1" applyBorder="1" applyAlignment="1">
      <alignment horizontal="center" vertical="center"/>
    </xf>
    <xf numFmtId="0" fontId="8" fillId="73" borderId="53" xfId="0" applyFont="1" applyFill="1" applyBorder="1"/>
    <xf numFmtId="0" fontId="8" fillId="73" borderId="54" xfId="0" applyFont="1" applyFill="1" applyBorder="1"/>
    <xf numFmtId="0" fontId="6" fillId="71" borderId="51" xfId="0" applyFont="1" applyFill="1" applyBorder="1" applyAlignment="1">
      <alignment horizontal="center" vertical="center"/>
    </xf>
    <xf numFmtId="0" fontId="8" fillId="73" borderId="55" xfId="0" applyFont="1" applyFill="1" applyBorder="1"/>
    <xf numFmtId="0" fontId="6" fillId="72" borderId="51" xfId="0" applyFont="1" applyFill="1" applyBorder="1" applyAlignment="1">
      <alignment horizontal="center" vertical="center" wrapText="1"/>
    </xf>
    <xf numFmtId="0" fontId="6" fillId="72" borderId="55" xfId="0" applyFont="1" applyFill="1" applyBorder="1" applyAlignment="1">
      <alignment horizontal="center" vertical="center" wrapText="1"/>
    </xf>
    <xf numFmtId="0" fontId="6" fillId="72" borderId="51" xfId="0" applyFont="1" applyFill="1" applyBorder="1" applyAlignment="1">
      <alignment horizontal="center" vertical="center"/>
    </xf>
    <xf numFmtId="0" fontId="6" fillId="72" borderId="55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left" vertical="top" wrapText="1"/>
    </xf>
    <xf numFmtId="0" fontId="61" fillId="61" borderId="1" xfId="0" applyFont="1" applyFill="1" applyBorder="1" applyAlignment="1">
      <alignment horizontal="center" vertical="center" wrapText="1"/>
    </xf>
    <xf numFmtId="0" fontId="61" fillId="61" borderId="8" xfId="0" applyFont="1" applyFill="1" applyBorder="1" applyAlignment="1">
      <alignment horizontal="center" vertical="center" wrapText="1"/>
    </xf>
    <xf numFmtId="0" fontId="61" fillId="61" borderId="3" xfId="0" applyFont="1" applyFill="1" applyBorder="1" applyAlignment="1">
      <alignment horizontal="center" vertical="center" wrapText="1"/>
    </xf>
    <xf numFmtId="0" fontId="61" fillId="61" borderId="4" xfId="0" applyFont="1" applyFill="1" applyBorder="1" applyAlignment="1">
      <alignment horizontal="center" vertical="center" wrapText="1"/>
    </xf>
    <xf numFmtId="0" fontId="61" fillId="45" borderId="1" xfId="0" applyFont="1" applyFill="1" applyBorder="1" applyAlignment="1">
      <alignment horizontal="center" vertical="center"/>
    </xf>
    <xf numFmtId="0" fontId="61" fillId="45" borderId="8" xfId="0" applyFont="1" applyFill="1" applyBorder="1" applyAlignment="1">
      <alignment horizontal="center" vertical="center"/>
    </xf>
    <xf numFmtId="191" fontId="6" fillId="45" borderId="1" xfId="1" applyFont="1" applyFill="1" applyBorder="1" applyAlignment="1">
      <alignment horizontal="center" vertical="center"/>
    </xf>
    <xf numFmtId="191" fontId="6" fillId="45" borderId="8" xfId="1" applyFont="1" applyFill="1" applyBorder="1" applyAlignment="1">
      <alignment horizontal="center" vertical="center"/>
    </xf>
    <xf numFmtId="191" fontId="61" fillId="45" borderId="1" xfId="1" applyFont="1" applyFill="1" applyBorder="1" applyAlignment="1">
      <alignment horizontal="center" vertical="center"/>
    </xf>
    <xf numFmtId="191" fontId="61" fillId="45" borderId="8" xfId="1" applyFont="1" applyFill="1" applyBorder="1" applyAlignment="1">
      <alignment horizontal="center" vertical="center"/>
    </xf>
    <xf numFmtId="191" fontId="61" fillId="0" borderId="1" xfId="0" applyNumberFormat="1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0" fontId="61" fillId="61" borderId="6" xfId="0" applyFont="1" applyFill="1" applyBorder="1" applyAlignment="1">
      <alignment horizontal="center" vertical="center" wrapText="1"/>
    </xf>
    <xf numFmtId="0" fontId="61" fillId="61" borderId="10" xfId="0" applyFont="1" applyFill="1" applyBorder="1" applyAlignment="1">
      <alignment horizontal="center" vertical="center" wrapText="1"/>
    </xf>
    <xf numFmtId="191" fontId="61" fillId="0" borderId="8" xfId="0" applyNumberFormat="1" applyFont="1" applyBorder="1" applyAlignment="1">
      <alignment horizontal="center" vertical="center"/>
    </xf>
    <xf numFmtId="0" fontId="61" fillId="45" borderId="3" xfId="0" applyFont="1" applyFill="1" applyBorder="1" applyAlignment="1">
      <alignment horizontal="left" vertical="center"/>
    </xf>
    <xf numFmtId="0" fontId="61" fillId="45" borderId="5" xfId="0" applyFont="1" applyFill="1" applyBorder="1" applyAlignment="1">
      <alignment horizontal="left" vertical="center"/>
    </xf>
    <xf numFmtId="0" fontId="61" fillId="61" borderId="66" xfId="0" applyFont="1" applyFill="1" applyBorder="1" applyAlignment="1">
      <alignment horizontal="center" vertical="center" wrapText="1"/>
    </xf>
    <xf numFmtId="0" fontId="61" fillId="61" borderId="67" xfId="0" applyFont="1" applyFill="1" applyBorder="1" applyAlignment="1">
      <alignment horizontal="center" vertical="center" wrapText="1"/>
    </xf>
    <xf numFmtId="0" fontId="61" fillId="61" borderId="23" xfId="0" applyFont="1" applyFill="1" applyBorder="1" applyAlignment="1">
      <alignment horizontal="center" vertical="center" wrapText="1"/>
    </xf>
    <xf numFmtId="0" fontId="61" fillId="61" borderId="13" xfId="0" applyFont="1" applyFill="1" applyBorder="1" applyAlignment="1">
      <alignment horizontal="center" vertical="center" wrapText="1"/>
    </xf>
    <xf numFmtId="0" fontId="61" fillId="45" borderId="3" xfId="0" applyFont="1" applyFill="1" applyBorder="1" applyAlignment="1">
      <alignment horizontal="left" vertical="top"/>
    </xf>
    <xf numFmtId="0" fontId="61" fillId="45" borderId="5" xfId="0" applyFont="1" applyFill="1" applyBorder="1" applyAlignment="1">
      <alignment horizontal="left" vertical="top"/>
    </xf>
    <xf numFmtId="0" fontId="106" fillId="56" borderId="51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vertical="center"/>
    </xf>
    <xf numFmtId="0" fontId="111" fillId="56" borderId="51" xfId="0" applyFont="1" applyFill="1" applyBorder="1" applyAlignment="1">
      <alignment horizontal="center" vertical="center" wrapText="1"/>
    </xf>
    <xf numFmtId="0" fontId="20" fillId="0" borderId="55" xfId="0" applyFont="1" applyBorder="1" applyAlignment="1">
      <alignment vertical="center"/>
    </xf>
    <xf numFmtId="0" fontId="61" fillId="61" borderId="7" xfId="0" applyFont="1" applyFill="1" applyBorder="1" applyAlignment="1">
      <alignment horizontal="center" vertical="center" wrapText="1"/>
    </xf>
    <xf numFmtId="0" fontId="6" fillId="75" borderId="2" xfId="0" applyFont="1" applyFill="1" applyBorder="1" applyAlignment="1">
      <alignment horizontal="center" vertical="center"/>
    </xf>
    <xf numFmtId="0" fontId="6" fillId="71" borderId="60" xfId="0" applyFont="1" applyFill="1" applyBorder="1" applyAlignment="1">
      <alignment horizontal="center" vertical="center"/>
    </xf>
    <xf numFmtId="0" fontId="6" fillId="71" borderId="55" xfId="0" applyFont="1" applyFill="1" applyBorder="1" applyAlignment="1">
      <alignment horizontal="center" vertical="center"/>
    </xf>
    <xf numFmtId="0" fontId="6" fillId="72" borderId="60" xfId="0" applyFont="1" applyFill="1" applyBorder="1" applyAlignment="1">
      <alignment horizontal="center" vertical="center"/>
    </xf>
    <xf numFmtId="0" fontId="6" fillId="72" borderId="63" xfId="0" applyFont="1" applyFill="1" applyBorder="1" applyAlignment="1">
      <alignment horizontal="center" vertical="center"/>
    </xf>
    <xf numFmtId="0" fontId="6" fillId="72" borderId="64" xfId="0" applyFont="1" applyFill="1" applyBorder="1" applyAlignment="1">
      <alignment horizontal="center" vertical="center"/>
    </xf>
    <xf numFmtId="0" fontId="6" fillId="72" borderId="65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6" fillId="61" borderId="7" xfId="0" applyFont="1" applyFill="1" applyBorder="1" applyAlignment="1">
      <alignment horizontal="center" vertical="center"/>
    </xf>
    <xf numFmtId="0" fontId="7" fillId="61" borderId="1" xfId="0" applyFont="1" applyFill="1" applyBorder="1" applyAlignment="1">
      <alignment horizontal="center" vertical="center"/>
    </xf>
    <xf numFmtId="0" fontId="7" fillId="61" borderId="7" xfId="0" applyFont="1" applyFill="1" applyBorder="1" applyAlignment="1">
      <alignment horizontal="center" vertical="center"/>
    </xf>
    <xf numFmtId="0" fontId="7" fillId="61" borderId="8" xfId="0" applyFont="1" applyFill="1" applyBorder="1" applyAlignment="1">
      <alignment horizontal="center" vertical="center"/>
    </xf>
    <xf numFmtId="0" fontId="6" fillId="61" borderId="7" xfId="0" applyFont="1" applyFill="1" applyBorder="1" applyAlignment="1">
      <alignment horizontal="center" vertical="center" wrapText="1"/>
    </xf>
    <xf numFmtId="0" fontId="6" fillId="78" borderId="2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 wrapText="1"/>
    </xf>
    <xf numFmtId="0" fontId="6" fillId="76" borderId="2" xfId="0" applyFont="1" applyFill="1" applyBorder="1" applyAlignment="1">
      <alignment horizontal="center" vertical="center"/>
    </xf>
    <xf numFmtId="0" fontId="115" fillId="0" borderId="2" xfId="0" applyFont="1" applyBorder="1" applyAlignment="1">
      <alignment horizontal="left" vertical="center" wrapText="1"/>
    </xf>
    <xf numFmtId="0" fontId="61" fillId="0" borderId="2" xfId="0" applyFont="1" applyBorder="1" applyAlignment="1">
      <alignment horizontal="left"/>
    </xf>
    <xf numFmtId="0" fontId="61" fillId="0" borderId="3" xfId="0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 wrapText="1"/>
    </xf>
    <xf numFmtId="0" fontId="6" fillId="96" borderId="2" xfId="0" applyFont="1" applyFill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/>
    </xf>
    <xf numFmtId="0" fontId="6" fillId="95" borderId="2" xfId="0" applyFont="1" applyFill="1" applyBorder="1" applyAlignment="1">
      <alignment horizontal="right" vertical="center" wrapText="1"/>
    </xf>
    <xf numFmtId="3" fontId="6" fillId="90" borderId="2" xfId="0" applyNumberFormat="1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horizontal="right" vertical="center"/>
    </xf>
  </cellXfs>
  <cellStyles count="19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" xfId="1" builtinId="3"/>
    <cellStyle name="Comma 10" xfId="29" xr:uid="{00000000-0005-0000-0000-00001C000000}"/>
    <cellStyle name="Comma 11" xfId="180" xr:uid="{52DFE41B-022B-4175-B9EA-04099D1ECDB1}"/>
    <cellStyle name="Comma 2" xfId="30" xr:uid="{00000000-0005-0000-0000-00001D000000}"/>
    <cellStyle name="Comma 2 2" xfId="31" xr:uid="{00000000-0005-0000-0000-00001E000000}"/>
    <cellStyle name="Comma 2 2 2" xfId="32" xr:uid="{00000000-0005-0000-0000-00001F000000}"/>
    <cellStyle name="Comma 2 2 3" xfId="33" xr:uid="{00000000-0005-0000-0000-000020000000}"/>
    <cellStyle name="Comma 2 2 4" xfId="194" xr:uid="{5A02424B-E58C-42F7-8B04-FF8FE5336148}"/>
    <cellStyle name="Comma 2 3" xfId="34" xr:uid="{00000000-0005-0000-0000-000021000000}"/>
    <cellStyle name="Comma 3" xfId="35" xr:uid="{00000000-0005-0000-0000-000022000000}"/>
    <cellStyle name="Comma 3 2" xfId="36" xr:uid="{00000000-0005-0000-0000-000023000000}"/>
    <cellStyle name="Comma 4" xfId="37" xr:uid="{00000000-0005-0000-0000-000024000000}"/>
    <cellStyle name="Comma 4 2" xfId="38" xr:uid="{00000000-0005-0000-0000-000025000000}"/>
    <cellStyle name="Comma 5" xfId="39" xr:uid="{00000000-0005-0000-0000-000026000000}"/>
    <cellStyle name="Comma 5 2" xfId="40" xr:uid="{00000000-0005-0000-0000-000027000000}"/>
    <cellStyle name="Comma 6" xfId="41" xr:uid="{00000000-0005-0000-0000-000028000000}"/>
    <cellStyle name="Comma 6 2" xfId="42" xr:uid="{00000000-0005-0000-0000-000029000000}"/>
    <cellStyle name="Comma 6 3" xfId="43" xr:uid="{00000000-0005-0000-0000-00002A000000}"/>
    <cellStyle name="Comma 6 4" xfId="44" xr:uid="{00000000-0005-0000-0000-00002B000000}"/>
    <cellStyle name="Comma 6 5" xfId="45" xr:uid="{00000000-0005-0000-0000-00002C000000}"/>
    <cellStyle name="Comma 7" xfId="46" xr:uid="{00000000-0005-0000-0000-00002D000000}"/>
    <cellStyle name="Comma 7 2" xfId="47" xr:uid="{00000000-0005-0000-0000-00002E000000}"/>
    <cellStyle name="Comma 7 3" xfId="48" xr:uid="{00000000-0005-0000-0000-00002F000000}"/>
    <cellStyle name="Comma 8" xfId="49" xr:uid="{00000000-0005-0000-0000-000030000000}"/>
    <cellStyle name="Comma 9" xfId="50" xr:uid="{00000000-0005-0000-0000-000031000000}"/>
    <cellStyle name="Comma 9 2" xfId="51" xr:uid="{00000000-0005-0000-0000-000032000000}"/>
    <cellStyle name="comma zerodec" xfId="129" xr:uid="{00000000-0005-0000-0000-000033000000}"/>
    <cellStyle name="Cover" xfId="52" xr:uid="{00000000-0005-0000-0000-000034000000}"/>
    <cellStyle name="Currency1" xfId="130" xr:uid="{00000000-0005-0000-0000-000035000000}"/>
    <cellStyle name="Dollar (zero dec)" xfId="131" xr:uid="{00000000-0005-0000-0000-000036000000}"/>
    <cellStyle name="Euro" xfId="53" xr:uid="{00000000-0005-0000-0000-000037000000}"/>
    <cellStyle name="Explanatory Text 2" xfId="54" xr:uid="{00000000-0005-0000-0000-000038000000}"/>
    <cellStyle name="Good 2" xfId="55" xr:uid="{00000000-0005-0000-0000-000039000000}"/>
    <cellStyle name="Grey" xfId="132" xr:uid="{00000000-0005-0000-0000-00003A000000}"/>
    <cellStyle name="Header" xfId="133" xr:uid="{00000000-0005-0000-0000-00003B000000}"/>
    <cellStyle name="Heading 1 2" xfId="56" xr:uid="{00000000-0005-0000-0000-00003C000000}"/>
    <cellStyle name="Heading 2 2" xfId="57" xr:uid="{00000000-0005-0000-0000-00003D000000}"/>
    <cellStyle name="Heading 3 2" xfId="58" xr:uid="{00000000-0005-0000-0000-00003E000000}"/>
    <cellStyle name="Heading 4 2" xfId="59" xr:uid="{00000000-0005-0000-0000-00003F000000}"/>
    <cellStyle name="Heading1" xfId="134" xr:uid="{00000000-0005-0000-0000-000040000000}"/>
    <cellStyle name="Hyperlink" xfId="176" builtinId="8"/>
    <cellStyle name="Hyperlink 2" xfId="60" xr:uid="{00000000-0005-0000-0000-000042000000}"/>
    <cellStyle name="Hyperlink 3" xfId="61" xr:uid="{00000000-0005-0000-0000-000043000000}"/>
    <cellStyle name="Input [yellow]" xfId="135" xr:uid="{00000000-0005-0000-0000-000044000000}"/>
    <cellStyle name="Input 2" xfId="62" xr:uid="{00000000-0005-0000-0000-000045000000}"/>
    <cellStyle name="Input 3" xfId="63" xr:uid="{00000000-0005-0000-0000-000046000000}"/>
    <cellStyle name="Linked Cell 2" xfId="64" xr:uid="{00000000-0005-0000-0000-000047000000}"/>
    <cellStyle name="Menu" xfId="65" xr:uid="{00000000-0005-0000-0000-000048000000}"/>
    <cellStyle name="Milliers [0]_Req_Data" xfId="136" xr:uid="{00000000-0005-0000-0000-000049000000}"/>
    <cellStyle name="Milliers_Req_Data" xfId="137" xr:uid="{00000000-0005-0000-0000-00004A000000}"/>
    <cellStyle name="Monétaire [0]_Req_Data" xfId="138" xr:uid="{00000000-0005-0000-0000-00004B000000}"/>
    <cellStyle name="Monétaire_Req_Data" xfId="139" xr:uid="{00000000-0005-0000-0000-00004C000000}"/>
    <cellStyle name="Neutral 2" xfId="66" xr:uid="{00000000-0005-0000-0000-00004D000000}"/>
    <cellStyle name="no dec" xfId="140" xr:uid="{00000000-0005-0000-0000-00004E000000}"/>
    <cellStyle name="Norm੎੎" xfId="67" xr:uid="{00000000-0005-0000-0000-00004F000000}"/>
    <cellStyle name="Normal" xfId="0" builtinId="0"/>
    <cellStyle name="Normal - Style1" xfId="141" xr:uid="{00000000-0005-0000-0000-000051000000}"/>
    <cellStyle name="Normal 10" xfId="68" xr:uid="{00000000-0005-0000-0000-000052000000}"/>
    <cellStyle name="Normal 11" xfId="160" xr:uid="{00000000-0005-0000-0000-000053000000}"/>
    <cellStyle name="Normal 12" xfId="161" xr:uid="{00000000-0005-0000-0000-000054000000}"/>
    <cellStyle name="Normal 13" xfId="162" xr:uid="{00000000-0005-0000-0000-000055000000}"/>
    <cellStyle name="Normal 14" xfId="163" xr:uid="{00000000-0005-0000-0000-000056000000}"/>
    <cellStyle name="Normal 15" xfId="164" xr:uid="{00000000-0005-0000-0000-000057000000}"/>
    <cellStyle name="Normal 16" xfId="165" xr:uid="{00000000-0005-0000-0000-000058000000}"/>
    <cellStyle name="Normal 17" xfId="69" xr:uid="{00000000-0005-0000-0000-000059000000}"/>
    <cellStyle name="Normal 18" xfId="166" xr:uid="{00000000-0005-0000-0000-00005A000000}"/>
    <cellStyle name="Normal 19" xfId="167" xr:uid="{00000000-0005-0000-0000-00005B000000}"/>
    <cellStyle name="Normal 2" xfId="70" xr:uid="{00000000-0005-0000-0000-00005C000000}"/>
    <cellStyle name="Normal 2 2" xfId="71" xr:uid="{00000000-0005-0000-0000-00005D000000}"/>
    <cellStyle name="Normal 2 2 2" xfId="72" xr:uid="{00000000-0005-0000-0000-00005E000000}"/>
    <cellStyle name="Normal 2 2 3" xfId="73" xr:uid="{00000000-0005-0000-0000-00005F000000}"/>
    <cellStyle name="Normal 2 2 4" xfId="74" xr:uid="{00000000-0005-0000-0000-000060000000}"/>
    <cellStyle name="Normal 2 3" xfId="75" xr:uid="{00000000-0005-0000-0000-000061000000}"/>
    <cellStyle name="Normal 20" xfId="168" xr:uid="{00000000-0005-0000-0000-000062000000}"/>
    <cellStyle name="Normal 21" xfId="169" xr:uid="{00000000-0005-0000-0000-000063000000}"/>
    <cellStyle name="Normal 22" xfId="170" xr:uid="{00000000-0005-0000-0000-000064000000}"/>
    <cellStyle name="Normal 23" xfId="171" xr:uid="{00000000-0005-0000-0000-000065000000}"/>
    <cellStyle name="Normal 24" xfId="172" xr:uid="{00000000-0005-0000-0000-000066000000}"/>
    <cellStyle name="Normal 25" xfId="173" xr:uid="{00000000-0005-0000-0000-000067000000}"/>
    <cellStyle name="Normal 26" xfId="174" xr:uid="{00000000-0005-0000-0000-000068000000}"/>
    <cellStyle name="Normal 27" xfId="175" xr:uid="{00000000-0005-0000-0000-000069000000}"/>
    <cellStyle name="Normal 28" xfId="181" xr:uid="{CFCA1830-982D-424C-BF71-D9937D3DEA5C}"/>
    <cellStyle name="Normal 29" xfId="179" xr:uid="{A69567E9-ECA6-4232-9F14-0C3B779DF840}"/>
    <cellStyle name="Normal 3" xfId="76" xr:uid="{00000000-0005-0000-0000-00006A000000}"/>
    <cellStyle name="Normal 3 2" xfId="77" xr:uid="{00000000-0005-0000-0000-00006B000000}"/>
    <cellStyle name="Normal 3 3" xfId="195" xr:uid="{752037FC-526F-4DB1-B0F8-C729604A5843}"/>
    <cellStyle name="Normal 30" xfId="184" xr:uid="{0F9F3218-CAC2-4731-AF7C-6B22EFBD8B82}"/>
    <cellStyle name="Normal 30 2" xfId="183" xr:uid="{F1F836F8-23E1-43DB-A174-1CEDFD306251}"/>
    <cellStyle name="Normal 31" xfId="185" xr:uid="{4B744596-A4A0-48B3-9289-E949654E94EE}"/>
    <cellStyle name="Normal 32" xfId="186" xr:uid="{A848C932-FDD6-47B6-9A90-B15752ED1D5B}"/>
    <cellStyle name="Normal 33" xfId="187" xr:uid="{833892A6-A1B2-44C3-AED5-F034EC544E9F}"/>
    <cellStyle name="Normal 34" xfId="188" xr:uid="{BBEC5319-BFCF-4319-BD72-31A51702504E}"/>
    <cellStyle name="Normal 35" xfId="189" xr:uid="{7BC35FA6-D09E-4F6C-A5C1-18DE782DFD46}"/>
    <cellStyle name="Normal 36" xfId="190" xr:uid="{9DD68A2C-3A50-494B-827D-EA6A35D60944}"/>
    <cellStyle name="Normal 37" xfId="191" xr:uid="{B17FABAD-49B1-4A6E-80E4-61D3633F949E}"/>
    <cellStyle name="Normal 38" xfId="192" xr:uid="{C7EC7182-6941-4E7E-973C-EC75EB7D70CA}"/>
    <cellStyle name="Normal 39" xfId="193" xr:uid="{BC378AC6-A515-4E13-B3E9-B97BB043170F}"/>
    <cellStyle name="Normal 4" xfId="78" xr:uid="{00000000-0005-0000-0000-00006C000000}"/>
    <cellStyle name="Normal 4 2" xfId="79" xr:uid="{00000000-0005-0000-0000-00006D000000}"/>
    <cellStyle name="Normal 4 2 2" xfId="80" xr:uid="{00000000-0005-0000-0000-00006E000000}"/>
    <cellStyle name="Normal 5" xfId="81" xr:uid="{00000000-0005-0000-0000-00006F000000}"/>
    <cellStyle name="Normal 5 2" xfId="82" xr:uid="{00000000-0005-0000-0000-000070000000}"/>
    <cellStyle name="Normal 5 3" xfId="83" xr:uid="{00000000-0005-0000-0000-000071000000}"/>
    <cellStyle name="Normal 6" xfId="84" xr:uid="{00000000-0005-0000-0000-000072000000}"/>
    <cellStyle name="Normal 7" xfId="85" xr:uid="{00000000-0005-0000-0000-000073000000}"/>
    <cellStyle name="Normal 7 2" xfId="86" xr:uid="{00000000-0005-0000-0000-000074000000}"/>
    <cellStyle name="Normal 8" xfId="87" xr:uid="{00000000-0005-0000-0000-000075000000}"/>
    <cellStyle name="Normal 8 2" xfId="88" xr:uid="{00000000-0005-0000-0000-000076000000}"/>
    <cellStyle name="Normal 8 3" xfId="89" xr:uid="{00000000-0005-0000-0000-000077000000}"/>
    <cellStyle name="Normal 9" xfId="90" xr:uid="{00000000-0005-0000-0000-000078000000}"/>
    <cellStyle name="Normal 9 2" xfId="91" xr:uid="{00000000-0005-0000-0000-000079000000}"/>
    <cellStyle name="Normale_Cartel2" xfId="142" xr:uid="{00000000-0005-0000-0000-00007A000000}"/>
    <cellStyle name="Note 2" xfId="92" xr:uid="{00000000-0005-0000-0000-00007B000000}"/>
    <cellStyle name="Output 2" xfId="93" xr:uid="{00000000-0005-0000-0000-00007C000000}"/>
    <cellStyle name="Percent" xfId="177" builtinId="5"/>
    <cellStyle name="Percent [2]" xfId="143" xr:uid="{00000000-0005-0000-0000-00007E000000}"/>
    <cellStyle name="Percent 2" xfId="94" xr:uid="{00000000-0005-0000-0000-00007F000000}"/>
    <cellStyle name="Percent 3" xfId="182" xr:uid="{A11EE85D-54A7-4C98-AE5F-B68BA3216DC2}"/>
    <cellStyle name="Quantity" xfId="144" xr:uid="{00000000-0005-0000-0000-000080000000}"/>
    <cellStyle name="SAPBEXaggData" xfId="95" xr:uid="{00000000-0005-0000-0000-000081000000}"/>
    <cellStyle name="SAPBEXaggItem" xfId="96" xr:uid="{00000000-0005-0000-0000-000082000000}"/>
    <cellStyle name="SAPBEXchaText" xfId="97" xr:uid="{00000000-0005-0000-0000-000083000000}"/>
    <cellStyle name="SAPBEXformats" xfId="98" xr:uid="{00000000-0005-0000-0000-000084000000}"/>
    <cellStyle name="SAPBEXstdData" xfId="99" xr:uid="{00000000-0005-0000-0000-000085000000}"/>
    <cellStyle name="SAPBEXstdItem" xfId="100" xr:uid="{00000000-0005-0000-0000-000086000000}"/>
    <cellStyle name="Standard_Fueltypes" xfId="101" xr:uid="{00000000-0005-0000-0000-000087000000}"/>
    <cellStyle name="Subtotal" xfId="145" xr:uid="{00000000-0005-0000-0000-000088000000}"/>
    <cellStyle name="Title 2" xfId="102" xr:uid="{00000000-0005-0000-0000-000089000000}"/>
    <cellStyle name="Total 2" xfId="103" xr:uid="{00000000-0005-0000-0000-00008A000000}"/>
    <cellStyle name="Valuta_PERSONAL" xfId="146" xr:uid="{00000000-0005-0000-0000-00008B000000}"/>
    <cellStyle name="Warning Text 2" xfId="104" xr:uid="{00000000-0005-0000-0000-00008C000000}"/>
    <cellStyle name="Year" xfId="105" xr:uid="{00000000-0005-0000-0000-00008D000000}"/>
    <cellStyle name="เครื่องหมายจุลภาค 2" xfId="106" xr:uid="{00000000-0005-0000-0000-00008E000000}"/>
    <cellStyle name="เครื่องหมายจุลภาค 2 2" xfId="147" xr:uid="{00000000-0005-0000-0000-00008F000000}"/>
    <cellStyle name="เครื่องหมายจุลภาค 2 2 2" xfId="178" xr:uid="{912BE85A-7795-46FC-8494-F5FED87D7BB4}"/>
    <cellStyle name="เครื่องหมายจุลภาค 3" xfId="107" xr:uid="{00000000-0005-0000-0000-000090000000}"/>
    <cellStyle name="เครื่องหมายจุลภาค 3 2" xfId="148" xr:uid="{00000000-0005-0000-0000-000091000000}"/>
    <cellStyle name="เครื่องหมายจุลภาค 3 2 2" xfId="149" xr:uid="{00000000-0005-0000-0000-000092000000}"/>
    <cellStyle name="เครื่องหมายจุลภาค 3 2 2 2" xfId="150" xr:uid="{00000000-0005-0000-0000-000093000000}"/>
    <cellStyle name="เครื่องหมายจุลภาค 4" xfId="108" xr:uid="{00000000-0005-0000-0000-000094000000}"/>
    <cellStyle name="เครื่องหมายจุลภาค 5" xfId="109" xr:uid="{00000000-0005-0000-0000-000095000000}"/>
    <cellStyle name="ปกติ 10" xfId="110" xr:uid="{00000000-0005-0000-0000-000096000000}"/>
    <cellStyle name="ปกติ 11" xfId="111" xr:uid="{00000000-0005-0000-0000-000097000000}"/>
    <cellStyle name="ปกติ 12" xfId="112" xr:uid="{00000000-0005-0000-0000-000098000000}"/>
    <cellStyle name="ปกติ 13" xfId="113" xr:uid="{00000000-0005-0000-0000-000099000000}"/>
    <cellStyle name="ปกติ 2" xfId="114" xr:uid="{00000000-0005-0000-0000-00009A000000}"/>
    <cellStyle name="ปกติ 2 2" xfId="115" xr:uid="{00000000-0005-0000-0000-00009B000000}"/>
    <cellStyle name="ปกติ 3" xfId="116" xr:uid="{00000000-0005-0000-0000-00009C000000}"/>
    <cellStyle name="ปกติ 4" xfId="117" xr:uid="{00000000-0005-0000-0000-00009D000000}"/>
    <cellStyle name="ปกติ 5" xfId="118" xr:uid="{00000000-0005-0000-0000-00009E000000}"/>
    <cellStyle name="ปกติ 5 2" xfId="157" xr:uid="{00000000-0005-0000-0000-00009F000000}"/>
    <cellStyle name="ปกติ 5 2 2" xfId="158" xr:uid="{00000000-0005-0000-0000-0000A0000000}"/>
    <cellStyle name="ปกติ 5 2 2 2" xfId="159" xr:uid="{00000000-0005-0000-0000-0000A1000000}"/>
    <cellStyle name="ปกติ 6" xfId="119" xr:uid="{00000000-0005-0000-0000-0000A2000000}"/>
    <cellStyle name="ปกติ 7" xfId="120" xr:uid="{00000000-0005-0000-0000-0000A3000000}"/>
    <cellStyle name="ปกติ 8" xfId="121" xr:uid="{00000000-0005-0000-0000-0000A4000000}"/>
    <cellStyle name="ปกติ 9" xfId="122" xr:uid="{00000000-0005-0000-0000-0000A5000000}"/>
    <cellStyle name="ป้อนค่า" xfId="123" xr:uid="{00000000-0005-0000-0000-0000A6000000}"/>
    <cellStyle name="เปอร์เซ็นต์ 2" xfId="151" xr:uid="{00000000-0005-0000-0000-0000A7000000}"/>
    <cellStyle name="เปอร์เซ็นต์ 2 2" xfId="152" xr:uid="{00000000-0005-0000-0000-0000A8000000}"/>
    <cellStyle name="เปอร์เซ็นต์ 2 3" xfId="153" xr:uid="{00000000-0005-0000-0000-0000A9000000}"/>
    <cellStyle name="เปอร์เซ็นต์ 2 3 2" xfId="154" xr:uid="{00000000-0005-0000-0000-0000AA000000}"/>
    <cellStyle name="เปอร์เซ็นต์ 2 3 2 2" xfId="155" xr:uid="{00000000-0005-0000-0000-0000AB000000}"/>
    <cellStyle name="เปอร์เซ็นต์ 3" xfId="156" xr:uid="{00000000-0005-0000-0000-0000AC000000}"/>
    <cellStyle name="桁区切り [0.00]_Person" xfId="124" xr:uid="{00000000-0005-0000-0000-0000AD000000}"/>
    <cellStyle name="桁区切り_Person" xfId="125" xr:uid="{00000000-0005-0000-0000-0000AE000000}"/>
    <cellStyle name="標準_Book2 グラフ 2" xfId="126" xr:uid="{00000000-0005-0000-0000-0000AF000000}"/>
    <cellStyle name="通貨 [0.00]_Book2 グラフ 2" xfId="127" xr:uid="{00000000-0005-0000-0000-0000B0000000}"/>
    <cellStyle name="通貨_Book2 グラフ 2" xfId="128" xr:uid="{00000000-0005-0000-0000-0000B1000000}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0000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50"/>
            </a:pPr>
            <a:r>
              <a:rPr lang="en-US" sz="105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B-4891-A53B-0E34ACF3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46752"/>
        <c:axId val="100748288"/>
      </c:barChart>
      <c:catAx>
        <c:axId val="100746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8288"/>
        <c:crosses val="autoZero"/>
        <c:auto val="1"/>
        <c:lblAlgn val="ctr"/>
        <c:lblOffset val="100"/>
        <c:noMultiLvlLbl val="0"/>
      </c:catAx>
      <c:valAx>
        <c:axId val="1007482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67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lang="th-TH" sz="900"/>
                  </a:pPr>
                  <a:endParaRPr lang="th-TH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6E25-47C7-A981-FDCCA66FB6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3-4599-8CFB-A3AC765B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011072"/>
        <c:axId val="129307776"/>
      </c:barChart>
      <c:catAx>
        <c:axId val="12901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307776"/>
        <c:crosses val="autoZero"/>
        <c:auto val="1"/>
        <c:lblAlgn val="ctr"/>
        <c:lblOffset val="100"/>
        <c:noMultiLvlLbl val="0"/>
      </c:catAx>
      <c:valAx>
        <c:axId val="12930777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0110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63905729776857567"/>
        </c:manualLayout>
      </c:layout>
      <c:barChart>
        <c:barDir val="col"/>
        <c:grouping val="clustered"/>
        <c:varyColors val="0"/>
        <c:ser>
          <c:idx val="1"/>
          <c:order val="0"/>
          <c:tx>
            <c:v>ปีฐาน</c:v>
          </c:tx>
          <c:invertIfNegative val="0"/>
          <c:dLbls>
            <c:dLbl>
              <c:idx val="0"/>
              <c:layout>
                <c:manualLayout>
                  <c:x val="-1.6842105263157894E-2"/>
                  <c:y val="-1.9536019536019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3A-4E52-92E1-69EF0975648D}"/>
                </c:ext>
              </c:extLst>
            </c:dLbl>
            <c:dLbl>
              <c:idx val="1"/>
              <c:layout>
                <c:manualLayout>
                  <c:x val="4.2105263157894736E-3"/>
                  <c:y val="-0.156288156288156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3A-4E52-92E1-69EF0975648D}"/>
                </c:ext>
              </c:extLst>
            </c:dLbl>
            <c:dLbl>
              <c:idx val="2"/>
              <c:layout>
                <c:manualLayout>
                  <c:x val="-2.9473684210526315E-2"/>
                  <c:y val="-3.90720390720390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3A-4E52-92E1-69EF0975648D}"/>
                </c:ext>
              </c:extLst>
            </c:dLbl>
            <c:dLbl>
              <c:idx val="3"/>
              <c:layout>
                <c:manualLayout>
                  <c:x val="-8.4210526315789472E-3"/>
                  <c:y val="-2.9304029304029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'Fr-05'!$C$26:$C$29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6-465F-929D-59E0AE80C404}"/>
            </c:ext>
          </c:extLst>
        </c:ser>
        <c:ser>
          <c:idx val="0"/>
          <c:order val="1"/>
          <c:tx>
            <c:v>ปีปัจจุบัน</c:v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2.1052631578947368E-2"/>
                  <c:y val="-8.79120879120879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3A-4E52-92E1-69EF0975648D}"/>
                </c:ext>
              </c:extLst>
            </c:dLbl>
            <c:dLbl>
              <c:idx val="1"/>
              <c:layout>
                <c:manualLayout>
                  <c:x val="2.1052631578947368E-2"/>
                  <c:y val="-7.3260073260073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3A-4E52-92E1-69EF0975648D}"/>
                </c:ext>
              </c:extLst>
            </c:dLbl>
            <c:dLbl>
              <c:idx val="2"/>
              <c:layout>
                <c:manualLayout>
                  <c:x val="2.5263157894736765E-2"/>
                  <c:y val="-2.238476379432086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3A-4E52-92E1-69EF0975648D}"/>
                </c:ext>
              </c:extLst>
            </c:dLbl>
            <c:dLbl>
              <c:idx val="3"/>
              <c:layout>
                <c:manualLayout>
                  <c:x val="0"/>
                  <c:y val="-9.7680097680097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6-465F-929D-59E0AE80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01664"/>
        <c:axId val="83611648"/>
      </c:barChart>
      <c:catAx>
        <c:axId val="83601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11648"/>
        <c:crosses val="autoZero"/>
        <c:auto val="1"/>
        <c:lblAlgn val="ctr"/>
        <c:lblOffset val="100"/>
        <c:noMultiLvlLbl val="0"/>
      </c:catAx>
      <c:valAx>
        <c:axId val="8361164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016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th-TH"/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50</xdr:row>
      <xdr:rowOff>41412</xdr:rowOff>
    </xdr:from>
    <xdr:to>
      <xdr:col>3</xdr:col>
      <xdr:colOff>670515</xdr:colOff>
      <xdr:row>59</xdr:row>
      <xdr:rowOff>140804</xdr:rowOff>
    </xdr:to>
    <xdr:pic>
      <xdr:nvPicPr>
        <xdr:cNvPr id="2" name="รูปภาพ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812195"/>
          <a:ext cx="2857500" cy="1813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156883</xdr:colOff>
      <xdr:row>49</xdr:row>
      <xdr:rowOff>179294</xdr:rowOff>
    </xdr:from>
    <xdr:to>
      <xdr:col>9</xdr:col>
      <xdr:colOff>504264</xdr:colOff>
      <xdr:row>63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76200</xdr:colOff>
      <xdr:row>10</xdr:row>
      <xdr:rowOff>68580</xdr:rowOff>
    </xdr:from>
    <xdr:to>
      <xdr:col>3</xdr:col>
      <xdr:colOff>1059179</xdr:colOff>
      <xdr:row>19</xdr:row>
      <xdr:rowOff>37460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4A63E-3B57-4E44-7D6A-DF497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225040"/>
          <a:ext cx="3406139" cy="20262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19</xdr:row>
      <xdr:rowOff>91439</xdr:rowOff>
    </xdr:from>
    <xdr:to>
      <xdr:col>3</xdr:col>
      <xdr:colOff>975360</xdr:colOff>
      <xdr:row>46</xdr:row>
      <xdr:rowOff>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EFC0C-4E39-09D7-2C1E-DDA6718D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4305299"/>
          <a:ext cx="3261360" cy="53416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104775</xdr:rowOff>
    </xdr:from>
    <xdr:to>
      <xdr:col>12</xdr:col>
      <xdr:colOff>451485</xdr:colOff>
      <xdr:row>117</xdr:row>
      <xdr:rowOff>127635</xdr:rowOff>
    </xdr:to>
    <xdr:sp macro="" textlink="">
      <xdr:nvSpPr>
        <xdr:cNvPr id="2" name="AutoShape 1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7625" y="1209675"/>
          <a:ext cx="7719060" cy="364236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284922</xdr:colOff>
      <xdr:row>24</xdr:row>
      <xdr:rowOff>125896</xdr:rowOff>
    </xdr:from>
    <xdr:to>
      <xdr:col>11</xdr:col>
      <xdr:colOff>119270</xdr:colOff>
      <xdr:row>41</xdr:row>
      <xdr:rowOff>119279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6DDD7C-8AFB-0F35-2FB9-A7010DE01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22" y="4843670"/>
          <a:ext cx="5930348" cy="3147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607008</xdr:colOff>
      <xdr:row>6</xdr:row>
      <xdr:rowOff>119269</xdr:rowOff>
    </xdr:from>
    <xdr:to>
      <xdr:col>11</xdr:col>
      <xdr:colOff>490329</xdr:colOff>
      <xdr:row>24</xdr:row>
      <xdr:rowOff>24764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2B5EDA-52FB-F90E-35D0-54F127B0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008" y="1497495"/>
          <a:ext cx="6588921" cy="3245043"/>
        </a:xfrm>
        <a:prstGeom prst="rect">
          <a:avLst/>
        </a:prstGeom>
      </xdr:spPr>
    </xdr:pic>
    <xdr:clientData/>
  </xdr:twoCellAnchor>
  <xdr:twoCellAnchor editAs="oneCell">
    <xdr:from>
      <xdr:col>0</xdr:col>
      <xdr:colOff>238539</xdr:colOff>
      <xdr:row>41</xdr:row>
      <xdr:rowOff>172279</xdr:rowOff>
    </xdr:from>
    <xdr:to>
      <xdr:col>6</xdr:col>
      <xdr:colOff>59634</xdr:colOff>
      <xdr:row>61</xdr:row>
      <xdr:rowOff>64806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DDC1A-40DA-B44D-67EB-2BD5908A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39" y="8044070"/>
          <a:ext cx="3478695" cy="36031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185528</xdr:colOff>
      <xdr:row>41</xdr:row>
      <xdr:rowOff>178906</xdr:rowOff>
    </xdr:from>
    <xdr:to>
      <xdr:col>12</xdr:col>
      <xdr:colOff>232233</xdr:colOff>
      <xdr:row>61</xdr:row>
      <xdr:rowOff>46382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0CAF2C-8199-418C-9A5C-91CF086E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3128" y="8050697"/>
          <a:ext cx="3704305" cy="35780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516835</xdr:colOff>
      <xdr:row>48</xdr:row>
      <xdr:rowOff>0</xdr:rowOff>
    </xdr:from>
    <xdr:to>
      <xdr:col>4</xdr:col>
      <xdr:colOff>238539</xdr:colOff>
      <xdr:row>55</xdr:row>
      <xdr:rowOff>19879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79319BC-3294-EAC1-1236-3E3107BEF0AC}"/>
            </a:ext>
          </a:extLst>
        </xdr:cNvPr>
        <xdr:cNvSpPr/>
      </xdr:nvSpPr>
      <xdr:spPr>
        <a:xfrm>
          <a:off x="1736035" y="9170504"/>
          <a:ext cx="940904" cy="1318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33130</xdr:colOff>
      <xdr:row>48</xdr:row>
      <xdr:rowOff>139148</xdr:rowOff>
    </xdr:from>
    <xdr:to>
      <xdr:col>8</xdr:col>
      <xdr:colOff>523461</xdr:colOff>
      <xdr:row>55</xdr:row>
      <xdr:rowOff>165653</xdr:rowOff>
    </xdr:to>
    <xdr:sp macro="" textlink="">
      <xdr:nvSpPr>
        <xdr:cNvPr id="15" name="Freeform: Shape 14">
          <a:extLst>
            <a:ext uri="{FF2B5EF4-FFF2-40B4-BE49-F238E27FC236}">
              <a16:creationId xmlns:a16="http://schemas.microsoft.com/office/drawing/2014/main" id="{4A3D7847-8217-7885-C0CE-07DE033AEEC3}"/>
            </a:ext>
          </a:extLst>
        </xdr:cNvPr>
        <xdr:cNvSpPr/>
      </xdr:nvSpPr>
      <xdr:spPr>
        <a:xfrm>
          <a:off x="4300330" y="9309652"/>
          <a:ext cx="1099931" cy="1325218"/>
        </a:xfrm>
        <a:custGeom>
          <a:avLst/>
          <a:gdLst>
            <a:gd name="connsiteX0" fmla="*/ 66261 w 1099931"/>
            <a:gd name="connsiteY0" fmla="*/ 278296 h 1325218"/>
            <a:gd name="connsiteX1" fmla="*/ 13253 w 1099931"/>
            <a:gd name="connsiteY1" fmla="*/ 788505 h 1325218"/>
            <a:gd name="connsiteX2" fmla="*/ 0 w 1099931"/>
            <a:gd name="connsiteY2" fmla="*/ 1325218 h 1325218"/>
            <a:gd name="connsiteX3" fmla="*/ 1080053 w 1099931"/>
            <a:gd name="connsiteY3" fmla="*/ 1311965 h 1325218"/>
            <a:gd name="connsiteX4" fmla="*/ 1099931 w 1099931"/>
            <a:gd name="connsiteY4" fmla="*/ 0 h 1325218"/>
            <a:gd name="connsiteX5" fmla="*/ 351183 w 1099931"/>
            <a:gd name="connsiteY5" fmla="*/ 6626 h 1325218"/>
            <a:gd name="connsiteX6" fmla="*/ 66261 w 1099931"/>
            <a:gd name="connsiteY6" fmla="*/ 278296 h 13252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99931" h="1325218">
              <a:moveTo>
                <a:pt x="66261" y="278296"/>
              </a:moveTo>
              <a:lnTo>
                <a:pt x="13253" y="788505"/>
              </a:lnTo>
              <a:lnTo>
                <a:pt x="0" y="1325218"/>
              </a:lnTo>
              <a:lnTo>
                <a:pt x="1080053" y="1311965"/>
              </a:lnTo>
              <a:lnTo>
                <a:pt x="1099931" y="0"/>
              </a:lnTo>
              <a:lnTo>
                <a:pt x="351183" y="6626"/>
              </a:lnTo>
              <a:lnTo>
                <a:pt x="66261" y="278296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65020</xdr:colOff>
      <xdr:row>61</xdr:row>
      <xdr:rowOff>139145</xdr:rowOff>
    </xdr:from>
    <xdr:to>
      <xdr:col>11</xdr:col>
      <xdr:colOff>77132</xdr:colOff>
      <xdr:row>77</xdr:row>
      <xdr:rowOff>178903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E8C3FC-079B-8B0A-23F1-AE4F5D39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20" y="11721545"/>
          <a:ext cx="6108112" cy="3008245"/>
        </a:xfrm>
        <a:prstGeom prst="rect">
          <a:avLst/>
        </a:prstGeom>
      </xdr:spPr>
    </xdr:pic>
    <xdr:clientData/>
  </xdr:twoCellAnchor>
  <xdr:twoCellAnchor>
    <xdr:from>
      <xdr:col>0</xdr:col>
      <xdr:colOff>463825</xdr:colOff>
      <xdr:row>78</xdr:row>
      <xdr:rowOff>112647</xdr:rowOff>
    </xdr:from>
    <xdr:to>
      <xdr:col>12</xdr:col>
      <xdr:colOff>46383</xdr:colOff>
      <xdr:row>115</xdr:row>
      <xdr:rowOff>79515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F6A90EC-140B-1FE9-EDAF-7810228353B5}"/>
            </a:ext>
          </a:extLst>
        </xdr:cNvPr>
        <xdr:cNvGrpSpPr/>
      </xdr:nvGrpSpPr>
      <xdr:grpSpPr>
        <a:xfrm>
          <a:off x="463825" y="14121724"/>
          <a:ext cx="7601143" cy="6473176"/>
          <a:chOff x="212034" y="18950609"/>
          <a:chExt cx="6778895" cy="657307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2B9925E-4B8C-F25B-B430-6492101C1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8294" y="18963859"/>
            <a:ext cx="3274286" cy="21600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8CF76C9-8CFF-D850-E9D5-C7641218B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584713" y="18950609"/>
            <a:ext cx="3406216" cy="217335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089F1E-C297-23D9-6F48-CC424427F0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51792" y="21176974"/>
            <a:ext cx="3306417" cy="21271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5029361-9BF6-CF5F-74DC-1335FDD54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597966" y="21170347"/>
            <a:ext cx="3385930" cy="214022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B840375-601B-A583-1BF2-E3ECF1A06B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2034" y="23370209"/>
            <a:ext cx="3339549" cy="215308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12C09B26-DFA4-2786-679E-9E8A971E0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97964" y="23350329"/>
            <a:ext cx="3385931" cy="21733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3</xdr:col>
      <xdr:colOff>106017</xdr:colOff>
      <xdr:row>42</xdr:row>
      <xdr:rowOff>6625</xdr:rowOff>
    </xdr:from>
    <xdr:to>
      <xdr:col>4</xdr:col>
      <xdr:colOff>397565</xdr:colOff>
      <xdr:row>44</xdr:row>
      <xdr:rowOff>79513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4B05B1B-ED2C-98C2-6F89-42E4F6750EFA}"/>
            </a:ext>
          </a:extLst>
        </xdr:cNvPr>
        <xdr:cNvSpPr txBox="1"/>
      </xdr:nvSpPr>
      <xdr:spPr>
        <a:xfrm>
          <a:off x="1934817" y="8063947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3E-15, 3E-17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  <xdr:twoCellAnchor>
    <xdr:from>
      <xdr:col>9</xdr:col>
      <xdr:colOff>119267</xdr:colOff>
      <xdr:row>42</xdr:row>
      <xdr:rowOff>6627</xdr:rowOff>
    </xdr:from>
    <xdr:to>
      <xdr:col>10</xdr:col>
      <xdr:colOff>410815</xdr:colOff>
      <xdr:row>44</xdr:row>
      <xdr:rowOff>79515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C786C6D-1D34-43A0-9229-01FDE4AA566E}"/>
            </a:ext>
          </a:extLst>
        </xdr:cNvPr>
        <xdr:cNvSpPr txBox="1"/>
      </xdr:nvSpPr>
      <xdr:spPr>
        <a:xfrm>
          <a:off x="5605667" y="8063949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3E-17-1, 3E-18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138545</xdr:colOff>
      <xdr:row>6</xdr:row>
      <xdr:rowOff>121228</xdr:rowOff>
    </xdr:from>
    <xdr:to>
      <xdr:col>12</xdr:col>
      <xdr:colOff>623455</xdr:colOff>
      <xdr:row>33</xdr:row>
      <xdr:rowOff>34636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8545" y="1264228"/>
          <a:ext cx="9286010" cy="33424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th-TH"/>
        </a:p>
      </xdr:txBody>
    </xdr:sp>
    <xdr:clientData/>
  </xdr:twoCellAnchor>
  <xdr:twoCellAnchor editAs="oneCell">
    <xdr:from>
      <xdr:col>0</xdr:col>
      <xdr:colOff>670560</xdr:colOff>
      <xdr:row>8</xdr:row>
      <xdr:rowOff>15240</xdr:rowOff>
    </xdr:from>
    <xdr:to>
      <xdr:col>12</xdr:col>
      <xdr:colOff>15920</xdr:colOff>
      <xdr:row>30</xdr:row>
      <xdr:rowOff>46028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13EDD-AA56-CCD1-F665-AA782EA0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668780"/>
          <a:ext cx="8786540" cy="35512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66676</xdr:colOff>
      <xdr:row>5</xdr:row>
      <xdr:rowOff>9525</xdr:rowOff>
    </xdr:from>
    <xdr:to>
      <xdr:col>9</xdr:col>
      <xdr:colOff>542926</xdr:colOff>
      <xdr:row>14</xdr:row>
      <xdr:rowOff>276225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D9CD3A6F-07E4-40DD-A057-3228BB825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47626</xdr:colOff>
      <xdr:row>22</xdr:row>
      <xdr:rowOff>47625</xdr:rowOff>
    </xdr:from>
    <xdr:to>
      <xdr:col>9</xdr:col>
      <xdr:colOff>523876</xdr:colOff>
      <xdr:row>31</xdr:row>
      <xdr:rowOff>19050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A873490A-0BD1-49AD-923C-5F1C5876D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44</xdr:row>
      <xdr:rowOff>0</xdr:rowOff>
    </xdr:from>
    <xdr:to>
      <xdr:col>4</xdr:col>
      <xdr:colOff>946909</xdr:colOff>
      <xdr:row>58</xdr:row>
      <xdr:rowOff>1617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7AF28-8585-C419-80C1-F8FDD412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933793"/>
          <a:ext cx="4593998" cy="264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78827</xdr:rowOff>
    </xdr:from>
    <xdr:to>
      <xdr:col>4</xdr:col>
      <xdr:colOff>889505</xdr:colOff>
      <xdr:row>71</xdr:row>
      <xdr:rowOff>99411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5D6FE-53D1-399B-64A0-3C9843AB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61227"/>
          <a:ext cx="4536595" cy="248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162911</xdr:rowOff>
    </xdr:from>
    <xdr:to>
      <xdr:col>4</xdr:col>
      <xdr:colOff>843357</xdr:colOff>
      <xdr:row>89</xdr:row>
      <xdr:rowOff>148911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837C5-FDD8-DD8A-6123-39C39F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25752"/>
          <a:ext cx="4490447" cy="3391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10510</xdr:colOff>
      <xdr:row>90</xdr:row>
      <xdr:rowOff>16247</xdr:rowOff>
    </xdr:from>
    <xdr:to>
      <xdr:col>4</xdr:col>
      <xdr:colOff>861848</xdr:colOff>
      <xdr:row>102</xdr:row>
      <xdr:rowOff>42869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BD590-7F99-76D9-B427-B9F16072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0" y="17673626"/>
          <a:ext cx="4498428" cy="22968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102</xdr:row>
      <xdr:rowOff>57805</xdr:rowOff>
    </xdr:from>
    <xdr:to>
      <xdr:col>4</xdr:col>
      <xdr:colOff>903889</xdr:colOff>
      <xdr:row>111</xdr:row>
      <xdr:rowOff>54770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AE1F1-BE41-EA7B-8FD8-4AA17BB4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37667"/>
          <a:ext cx="4550979" cy="169964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7</xdr:col>
      <xdr:colOff>357877</xdr:colOff>
      <xdr:row>51</xdr:row>
      <xdr:rowOff>110643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78D88-846A-4B1A-8DDE-6C8B3A96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4552" y="10300138"/>
          <a:ext cx="4204663" cy="14349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10</xdr:col>
      <xdr:colOff>473108</xdr:colOff>
      <xdr:row>34</xdr:row>
      <xdr:rowOff>38468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D261CC7-9FC8-4D2C-8286-E0F4BCE01A53}"/>
            </a:ext>
          </a:extLst>
        </xdr:cNvPr>
        <xdr:cNvGrpSpPr/>
      </xdr:nvGrpSpPr>
      <xdr:grpSpPr>
        <a:xfrm>
          <a:off x="4099560" y="2171700"/>
          <a:ext cx="8474108" cy="4069448"/>
          <a:chOff x="3688080" y="2385060"/>
          <a:chExt cx="7704488" cy="42447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E3373F5-3C7D-CD9C-581D-C6F8E259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688080" y="2385060"/>
            <a:ext cx="7704488" cy="4244708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631FA29-FFE2-9191-4137-DAB97E9363F2}"/>
              </a:ext>
            </a:extLst>
          </xdr:cNvPr>
          <xdr:cNvSpPr/>
        </xdr:nvSpPr>
        <xdr:spPr>
          <a:xfrm>
            <a:off x="3840480" y="5394960"/>
            <a:ext cx="7399020" cy="1104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30480</xdr:rowOff>
    </xdr:from>
    <xdr:to>
      <xdr:col>7</xdr:col>
      <xdr:colOff>572068</xdr:colOff>
      <xdr:row>105</xdr:row>
      <xdr:rowOff>39691</xdr:rowOff>
    </xdr:to>
    <xdr:pic>
      <xdr:nvPicPr>
        <xdr:cNvPr id="2" name="รูปภาพ 6" descr="A table of data with numbers and text&#10;&#10;Description automatically generated with medium confidence">
          <a:extLst>
            <a:ext uri="{FF2B5EF4-FFF2-40B4-BE49-F238E27FC236}">
              <a16:creationId xmlns:a16="http://schemas.microsoft.com/office/drawing/2014/main" id="{9912F516-98E3-4D5B-87E5-A83629F5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33120"/>
          <a:ext cx="6149908" cy="4032571"/>
        </a:xfrm>
        <a:prstGeom prst="rect">
          <a:avLst/>
        </a:prstGeom>
      </xdr:spPr>
    </xdr:pic>
    <xdr:clientData/>
  </xdr:twoCellAnchor>
  <xdr:twoCellAnchor editAs="oneCell">
    <xdr:from>
      <xdr:col>4</xdr:col>
      <xdr:colOff>726579</xdr:colOff>
      <xdr:row>83</xdr:row>
      <xdr:rowOff>205493</xdr:rowOff>
    </xdr:from>
    <xdr:to>
      <xdr:col>15</xdr:col>
      <xdr:colOff>487970</xdr:colOff>
      <xdr:row>106</xdr:row>
      <xdr:rowOff>44049</xdr:rowOff>
    </xdr:to>
    <xdr:pic>
      <xdr:nvPicPr>
        <xdr:cNvPr id="3" name="รูปภาพ 8" descr="A table of water quality control&#10;&#10;Description automatically generated with medium confidence">
          <a:extLst>
            <a:ext uri="{FF2B5EF4-FFF2-40B4-BE49-F238E27FC236}">
              <a16:creationId xmlns:a16="http://schemas.microsoft.com/office/drawing/2014/main" id="{963636ED-1A2A-4EA2-8AB2-BBC30D90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1059" y="13708133"/>
          <a:ext cx="5865011" cy="406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183597</xdr:rowOff>
    </xdr:from>
    <xdr:to>
      <xdr:col>8</xdr:col>
      <xdr:colOff>54644</xdr:colOff>
      <xdr:row>118</xdr:row>
      <xdr:rowOff>157274</xdr:rowOff>
    </xdr:to>
    <xdr:pic>
      <xdr:nvPicPr>
        <xdr:cNvPr id="4" name="รูปภาพ 1" descr="A white paper with black text&#10;&#10;Description automatically generated">
          <a:extLst>
            <a:ext uri="{FF2B5EF4-FFF2-40B4-BE49-F238E27FC236}">
              <a16:creationId xmlns:a16="http://schemas.microsoft.com/office/drawing/2014/main" id="{F7FBF534-40F1-4CF1-B04D-06FA713F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86737"/>
          <a:ext cx="6554504" cy="3631277"/>
        </a:xfrm>
        <a:prstGeom prst="rect">
          <a:avLst/>
        </a:prstGeom>
      </xdr:spPr>
    </xdr:pic>
    <xdr:clientData/>
  </xdr:twoCellAnchor>
  <xdr:twoCellAnchor editAs="oneCell">
    <xdr:from>
      <xdr:col>4</xdr:col>
      <xdr:colOff>1198055</xdr:colOff>
      <xdr:row>98</xdr:row>
      <xdr:rowOff>121568</xdr:rowOff>
    </xdr:from>
    <xdr:to>
      <xdr:col>17</xdr:col>
      <xdr:colOff>456817</xdr:colOff>
      <xdr:row>110</xdr:row>
      <xdr:rowOff>133060</xdr:rowOff>
    </xdr:to>
    <xdr:pic>
      <xdr:nvPicPr>
        <xdr:cNvPr id="5" name="รูปภาพ 2" descr="A black and white paper with black text&#10;&#10;Description automatically generated">
          <a:extLst>
            <a:ext uri="{FF2B5EF4-FFF2-40B4-BE49-F238E27FC236}">
              <a16:creationId xmlns:a16="http://schemas.microsoft.com/office/drawing/2014/main" id="{8EB58AF4-81B8-44A1-8F64-A3B5C240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2535" y="17624708"/>
          <a:ext cx="6452042" cy="2206052"/>
        </a:xfrm>
        <a:prstGeom prst="rect">
          <a:avLst/>
        </a:prstGeom>
      </xdr:spPr>
    </xdr:pic>
    <xdr:clientData/>
  </xdr:twoCellAnchor>
  <xdr:twoCellAnchor editAs="oneCell">
    <xdr:from>
      <xdr:col>4</xdr:col>
      <xdr:colOff>1021571</xdr:colOff>
      <xdr:row>106</xdr:row>
      <xdr:rowOff>202519</xdr:rowOff>
    </xdr:from>
    <xdr:to>
      <xdr:col>17</xdr:col>
      <xdr:colOff>526286</xdr:colOff>
      <xdr:row>115</xdr:row>
      <xdr:rowOff>115856</xdr:rowOff>
    </xdr:to>
    <xdr:pic>
      <xdr:nvPicPr>
        <xdr:cNvPr id="6" name="รูปภาพ 3" descr="A close-up of a math problem&#10;&#10;Description automatically generated">
          <a:extLst>
            <a:ext uri="{FF2B5EF4-FFF2-40B4-BE49-F238E27FC236}">
              <a16:creationId xmlns:a16="http://schemas.microsoft.com/office/drawing/2014/main" id="{0295934A-764C-4628-8B78-F2FFF4A2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6051" y="19839259"/>
          <a:ext cx="6697995" cy="15821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61295</xdr:colOff>
      <xdr:row>23</xdr:row>
      <xdr:rowOff>68956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7BDB6-7A2F-4391-83A6-477248D9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4480"/>
          <a:ext cx="3863675" cy="434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213360</xdr:colOff>
      <xdr:row>6</xdr:row>
      <xdr:rowOff>0</xdr:rowOff>
    </xdr:from>
    <xdr:to>
      <xdr:col>15</xdr:col>
      <xdr:colOff>42682</xdr:colOff>
      <xdr:row>18</xdr:row>
      <xdr:rowOff>198471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74821-8460-41FA-AFA5-42FD7D75D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740" y="1219200"/>
          <a:ext cx="4645162" cy="3215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64477</xdr:colOff>
      <xdr:row>19</xdr:row>
      <xdr:rowOff>118989</xdr:rowOff>
    </xdr:from>
    <xdr:to>
      <xdr:col>6</xdr:col>
      <xdr:colOff>40445</xdr:colOff>
      <xdr:row>36</xdr:row>
      <xdr:rowOff>43107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868E8-F677-45C4-E15F-EE8F7515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77" y="3717974"/>
          <a:ext cx="6236091" cy="29135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20</xdr:row>
      <xdr:rowOff>228600</xdr:rowOff>
    </xdr:from>
    <xdr:ext cx="5086350" cy="7972425"/>
    <xdr:pic>
      <xdr:nvPicPr>
        <xdr:cNvPr id="2" name="image269.png">
          <a:extLst>
            <a:ext uri="{FF2B5EF4-FFF2-40B4-BE49-F238E27FC236}">
              <a16:creationId xmlns:a16="http://schemas.microsoft.com/office/drawing/2014/main" id="{44E95E46-41AB-4858-82BC-B2DA2119E0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5074920"/>
          <a:ext cx="5086350" cy="79724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22</xdr:row>
      <xdr:rowOff>9525</xdr:rowOff>
    </xdr:from>
    <xdr:ext cx="4686300" cy="7696200"/>
    <xdr:pic>
      <xdr:nvPicPr>
        <xdr:cNvPr id="3" name="image279.png">
          <a:extLst>
            <a:ext uri="{FF2B5EF4-FFF2-40B4-BE49-F238E27FC236}">
              <a16:creationId xmlns:a16="http://schemas.microsoft.com/office/drawing/2014/main" id="{9669235A-F70E-457C-9158-B942E521F5E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76950" y="5389245"/>
          <a:ext cx="4686300" cy="76962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15</xdr:row>
      <xdr:rowOff>121920</xdr:rowOff>
    </xdr:from>
    <xdr:to>
      <xdr:col>6</xdr:col>
      <xdr:colOff>183741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169DBB-DC6C-4AA0-BAB0-75BE990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18760440"/>
          <a:ext cx="6294980" cy="5029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299085</xdr:colOff>
      <xdr:row>20</xdr:row>
      <xdr:rowOff>38099</xdr:rowOff>
    </xdr:from>
    <xdr:to>
      <xdr:col>3</xdr:col>
      <xdr:colOff>1818281</xdr:colOff>
      <xdr:row>32</xdr:row>
      <xdr:rowOff>98202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753F86-ACE0-4B27-92D8-DFEC68351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20" b="5921"/>
        <a:stretch/>
      </xdr:blipFill>
      <xdr:spPr>
        <a:xfrm>
          <a:off x="299085" y="3771899"/>
          <a:ext cx="4201436" cy="22546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30</xdr:row>
      <xdr:rowOff>38100</xdr:rowOff>
    </xdr:from>
    <xdr:to>
      <xdr:col>3</xdr:col>
      <xdr:colOff>1890671</xdr:colOff>
      <xdr:row>43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8C6BC-0176-4968-81BB-80AAA339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2143720"/>
          <a:ext cx="4268111" cy="2406014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31</xdr:row>
      <xdr:rowOff>152400</xdr:rowOff>
    </xdr:from>
    <xdr:to>
      <xdr:col>7</xdr:col>
      <xdr:colOff>476250</xdr:colOff>
      <xdr:row>33</xdr:row>
      <xdr:rowOff>47625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4C69E0D-03D8-4857-B980-69501B9946C6}"/>
            </a:ext>
          </a:extLst>
        </xdr:cNvPr>
        <xdr:cNvSpPr/>
      </xdr:nvSpPr>
      <xdr:spPr>
        <a:xfrm>
          <a:off x="7338060" y="22524720"/>
          <a:ext cx="81915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23</xdr:row>
      <xdr:rowOff>0</xdr:rowOff>
    </xdr:from>
    <xdr:to>
      <xdr:col>8</xdr:col>
      <xdr:colOff>514350</xdr:colOff>
      <xdr:row>24</xdr:row>
      <xdr:rowOff>85725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A7565DDD-3D20-4D01-BF19-C3160572594F}"/>
            </a:ext>
          </a:extLst>
        </xdr:cNvPr>
        <xdr:cNvSpPr/>
      </xdr:nvSpPr>
      <xdr:spPr>
        <a:xfrm>
          <a:off x="8534400" y="20238720"/>
          <a:ext cx="51435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314325</xdr:colOff>
      <xdr:row>40</xdr:row>
      <xdr:rowOff>47624</xdr:rowOff>
    </xdr:from>
    <xdr:to>
      <xdr:col>3</xdr:col>
      <xdr:colOff>1919246</xdr:colOff>
      <xdr:row>51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38A3DF-DC79-4145-93CD-E7A91EF2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24820244"/>
          <a:ext cx="4287161" cy="2011681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41</xdr:row>
      <xdr:rowOff>142875</xdr:rowOff>
    </xdr:from>
    <xdr:to>
      <xdr:col>6</xdr:col>
      <xdr:colOff>457200</xdr:colOff>
      <xdr:row>43</xdr:row>
      <xdr:rowOff>38100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70245ADF-09AF-42AD-8B10-4BCDB385570D}"/>
            </a:ext>
          </a:extLst>
        </xdr:cNvPr>
        <xdr:cNvSpPr/>
      </xdr:nvSpPr>
      <xdr:spPr>
        <a:xfrm>
          <a:off x="6396990" y="25182195"/>
          <a:ext cx="82677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371475</xdr:colOff>
      <xdr:row>50</xdr:row>
      <xdr:rowOff>161925</xdr:rowOff>
    </xdr:from>
    <xdr:to>
      <xdr:col>8</xdr:col>
      <xdr:colOff>276225</xdr:colOff>
      <xdr:row>52</xdr:row>
      <xdr:rowOff>57150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2E5B7A1-438B-4FFB-9D12-C1064DD3A15E}"/>
            </a:ext>
          </a:extLst>
        </xdr:cNvPr>
        <xdr:cNvSpPr/>
      </xdr:nvSpPr>
      <xdr:spPr>
        <a:xfrm>
          <a:off x="8052435" y="27601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381001</xdr:colOff>
      <xdr:row>49</xdr:row>
      <xdr:rowOff>92501</xdr:rowOff>
    </xdr:from>
    <xdr:to>
      <xdr:col>3</xdr:col>
      <xdr:colOff>1919247</xdr:colOff>
      <xdr:row>61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3F116-7EB0-49A6-9DFA-9F328E7BD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961"/>
        <a:stretch/>
      </xdr:blipFill>
      <xdr:spPr>
        <a:xfrm>
          <a:off x="381001" y="27265421"/>
          <a:ext cx="4220486" cy="2178259"/>
        </a:xfrm>
        <a:prstGeom prst="rect">
          <a:avLst/>
        </a:prstGeom>
      </xdr:spPr>
    </xdr:pic>
    <xdr:clientData/>
  </xdr:twoCellAnchor>
  <xdr:twoCellAnchor editAs="oneCell">
    <xdr:from>
      <xdr:col>0</xdr:col>
      <xdr:colOff>361949</xdr:colOff>
      <xdr:row>59</xdr:row>
      <xdr:rowOff>47625</xdr:rowOff>
    </xdr:from>
    <xdr:to>
      <xdr:col>3</xdr:col>
      <xdr:colOff>1947820</xdr:colOff>
      <xdr:row>71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E916A6-ECF0-42EF-B8BD-484E56F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489" b="6224"/>
        <a:stretch/>
      </xdr:blipFill>
      <xdr:spPr>
        <a:xfrm>
          <a:off x="361949" y="29887545"/>
          <a:ext cx="4268111" cy="2194560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60</xdr:row>
      <xdr:rowOff>161925</xdr:rowOff>
    </xdr:from>
    <xdr:to>
      <xdr:col>8</xdr:col>
      <xdr:colOff>276225</xdr:colOff>
      <xdr:row>62</xdr:row>
      <xdr:rowOff>57150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709C48B-9798-4EF3-AB8F-62564D2F1582}"/>
            </a:ext>
          </a:extLst>
        </xdr:cNvPr>
        <xdr:cNvSpPr/>
      </xdr:nvSpPr>
      <xdr:spPr>
        <a:xfrm>
          <a:off x="8052435" y="30268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69</xdr:row>
      <xdr:rowOff>9526</xdr:rowOff>
    </xdr:from>
    <xdr:to>
      <xdr:col>3</xdr:col>
      <xdr:colOff>1919246</xdr:colOff>
      <xdr:row>81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7A6CE3-E33D-40F9-ABAF-F56B4C807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57" b="6316"/>
        <a:stretch/>
      </xdr:blipFill>
      <xdr:spPr>
        <a:xfrm>
          <a:off x="323850" y="32516446"/>
          <a:ext cx="4277636" cy="2261234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69</xdr:row>
      <xdr:rowOff>152400</xdr:rowOff>
    </xdr:from>
    <xdr:to>
      <xdr:col>8</xdr:col>
      <xdr:colOff>466725</xdr:colOff>
      <xdr:row>71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6830D00C-3DCA-4BF7-8ED1-9561729BE31F}"/>
            </a:ext>
          </a:extLst>
        </xdr:cNvPr>
        <xdr:cNvSpPr/>
      </xdr:nvSpPr>
      <xdr:spPr>
        <a:xfrm>
          <a:off x="8242935" y="32659320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73</xdr:row>
      <xdr:rowOff>15241</xdr:rowOff>
    </xdr:from>
    <xdr:to>
      <xdr:col>2</xdr:col>
      <xdr:colOff>1583056</xdr:colOff>
      <xdr:row>92</xdr:row>
      <xdr:rowOff>7621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EC2CC-A9EA-4327-95C0-8D307181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16360141"/>
          <a:ext cx="3457575" cy="3467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792481</xdr:colOff>
      <xdr:row>72</xdr:row>
      <xdr:rowOff>152401</xdr:rowOff>
    </xdr:from>
    <xdr:to>
      <xdr:col>4</xdr:col>
      <xdr:colOff>1866900</xdr:colOff>
      <xdr:row>92</xdr:row>
      <xdr:rowOff>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38C99-8B50-439E-86B0-1D7CEDB7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81" y="16322041"/>
          <a:ext cx="3444239" cy="35062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</xdr:colOff>
      <xdr:row>72</xdr:row>
      <xdr:rowOff>144780</xdr:rowOff>
    </xdr:from>
    <xdr:to>
      <xdr:col>7</xdr:col>
      <xdr:colOff>24167</xdr:colOff>
      <xdr:row>92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4C042E-A788-4F27-A21D-97D842C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6641" y="16314420"/>
          <a:ext cx="3613186" cy="35128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99060</xdr:colOff>
      <xdr:row>93</xdr:row>
      <xdr:rowOff>60960</xdr:rowOff>
    </xdr:from>
    <xdr:to>
      <xdr:col>2</xdr:col>
      <xdr:colOff>1577339</xdr:colOff>
      <xdr:row>111</xdr:row>
      <xdr:rowOff>156972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B71C6F-16B3-4BA2-A2F1-88D1869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9911060"/>
          <a:ext cx="3474719" cy="338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784860</xdr:colOff>
      <xdr:row>93</xdr:row>
      <xdr:rowOff>76200</xdr:rowOff>
    </xdr:from>
    <xdr:to>
      <xdr:col>4</xdr:col>
      <xdr:colOff>1912620</xdr:colOff>
      <xdr:row>112</xdr:row>
      <xdr:rowOff>52555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8BD14-CA69-42DA-9911-8B7BB52A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8560" y="19926300"/>
          <a:ext cx="3489960" cy="345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93</xdr:row>
      <xdr:rowOff>45719</xdr:rowOff>
    </xdr:from>
    <xdr:to>
      <xdr:col>6</xdr:col>
      <xdr:colOff>1432560</xdr:colOff>
      <xdr:row>112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FC82F7-9342-4FA2-BCD3-8E13F2CA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6640" y="19895819"/>
          <a:ext cx="3573780" cy="34671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1097281</xdr:colOff>
      <xdr:row>93</xdr:row>
      <xdr:rowOff>15241</xdr:rowOff>
    </xdr:from>
    <xdr:to>
      <xdr:col>10</xdr:col>
      <xdr:colOff>321196</xdr:colOff>
      <xdr:row>112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B663E7-92C1-4A8F-8CC7-4638C401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2341" y="19865341"/>
          <a:ext cx="3552075" cy="3497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28</xdr:row>
      <xdr:rowOff>1</xdr:rowOff>
    </xdr:from>
    <xdr:to>
      <xdr:col>7</xdr:col>
      <xdr:colOff>83821</xdr:colOff>
      <xdr:row>44</xdr:row>
      <xdr:rowOff>80295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4219A-B34D-4985-AF3C-6A34B025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15201"/>
          <a:ext cx="5463540" cy="30063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oran\Downloads\Compressed\V%20sheet%20MBAX-TGO-11102567%20-%20Demo1.xlsx" TargetMode="External"/><Relationship Id="rId1" Type="http://schemas.openxmlformats.org/officeDocument/2006/relationships/externalLinkPath" Target="file:///C:\Users\toran\Downloads\Compressed\V%20sheet%20MBAX-TGO-11102567%20-%20Demo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EEN\GET%20solution\CFO-MBAX\Draft\GET_Multibax-CFO.xlsx" TargetMode="External"/><Relationship Id="rId1" Type="http://schemas.openxmlformats.org/officeDocument/2006/relationships/externalLinkPath" Target="https://d.docs.live.net/521611fd4a279560/Desktop/GET_Multibax-C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-01"/>
      <sheetName val="Fr-02"/>
      <sheetName val="Fr-03.1"/>
      <sheetName val="Fr-03.2"/>
      <sheetName val="Screen scope 3"/>
      <sheetName val="Fr-04.1"/>
      <sheetName val="Fr-04.2"/>
      <sheetName val="Fr-05"/>
      <sheetName val="EF TGO AR4"/>
      <sheetName val="EF TGO AR5"/>
      <sheetName val="EF (1)"/>
      <sheetName val="บันทึกการปรับปรุง"/>
      <sheetName val="1.1 Stationary "/>
      <sheetName val="1.2 Mobile"/>
      <sheetName val="1.4 Fugitive Emission"/>
      <sheetName val="1.4.1 สารทำความเย็น"/>
      <sheetName val="1.4.2 สารดับเพลิง"/>
      <sheetName val="1.4.3 Septic tank"/>
      <sheetName val="1.4.4 ปุ๋ย"/>
      <sheetName val="1.4.5 ระบบบำบัดน้ำเสีย WWTP"/>
      <sheetName val="Scope 2.1 Purchased Electricity"/>
      <sheetName val="Scope 3.1.1 วัตถุดิบผลิต"/>
      <sheetName val="Scope 3.1.2 น้ำประปา"/>
      <sheetName val="Scope 3.1.3 กระดาษ A4"/>
      <sheetName val="Scope 3.1.4 จ้างเหมารถพนักงาน"/>
      <sheetName val="Scope 3.4"/>
      <sheetName val="Scope 3.5"/>
      <sheetName val="Scope 3.7"/>
      <sheetName val="Scope 3.9"/>
      <sheetName val="Scope 3.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9">
          <cell r="H59">
            <v>1300</v>
          </cell>
        </row>
        <row r="61">
          <cell r="H61">
            <v>4800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เอกสารทั่วไป"/>
      <sheetName val="1.1 stationary"/>
      <sheetName val="1.2 Mobile"/>
      <sheetName val="1.3 Air_Dryer_Cooling "/>
      <sheetName val="1.4 Air _เครื่องปรับอากาศ"/>
      <sheetName val="1.5 ตู้เย็น ตู้กดน้ำ"/>
      <sheetName val="1.4 ถังดับเพลิง"/>
      <sheetName val="1.4 Septic"/>
      <sheetName val="1.4 ปุ๋ย"/>
      <sheetName val="Scope2"/>
      <sheetName val="Scope 3"/>
      <sheetName val="CAT 1-วัตถุดิบผลิต"/>
      <sheetName val="CAT 1 -กระดาษ"/>
      <sheetName val="CAT 1-น้ำประปา"/>
      <sheetName val="CAT2"/>
      <sheetName val="CAT4"/>
      <sheetName val="CAT5"/>
      <sheetName val="CAT7"/>
      <sheetName val="CAT9"/>
      <sheetName val="CA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F16">
            <v>298</v>
          </cell>
        </row>
        <row r="34">
          <cell r="F34">
            <v>247</v>
          </cell>
        </row>
      </sheetData>
      <sheetData sheetId="8"/>
      <sheetData sheetId="9"/>
      <sheetData sheetId="10"/>
      <sheetData sheetId="11">
        <row r="5">
          <cell r="F5">
            <v>1262250</v>
          </cell>
        </row>
        <row r="6">
          <cell r="F6">
            <v>2625000</v>
          </cell>
        </row>
        <row r="8">
          <cell r="F8">
            <v>1559250</v>
          </cell>
        </row>
        <row r="9">
          <cell r="F9">
            <v>2103750</v>
          </cell>
        </row>
        <row r="10">
          <cell r="F10">
            <v>60000</v>
          </cell>
        </row>
        <row r="11">
          <cell r="F11">
            <v>30000</v>
          </cell>
        </row>
        <row r="13">
          <cell r="F13">
            <v>74250</v>
          </cell>
        </row>
        <row r="14">
          <cell r="F14">
            <v>795000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thaicarbonlabel.tgo.or.th/products_emission/products_emission.pnc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ipcc-nggip.iges.or.jp/public/2006gl/pdf/2_Volume2/V2_3_Ch3_Mobile_Combustion.pdf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www.ipcc-nggip.iges.or.jp/public/2006gl/pdf/2_Volume2/V2_2_Ch2_Stationary_Combustion.pdf" TargetMode="External"/><Relationship Id="rId1" Type="http://schemas.openxmlformats.org/officeDocument/2006/relationships/hyperlink" Target="https://ghgprotocol.org/sites/default/files/ghgp/Global-Warming-Potential-Values%20%28Feb%2016%202016%29_1.pdf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www.epa.gov/system/files/documents/2024-02/ghg-emission-factors-hub-2024.pdf" TargetMode="External"/><Relationship Id="rId4" Type="http://schemas.openxmlformats.org/officeDocument/2006/relationships/hyperlink" Target="https://www.ipcc-nggip.iges.or.jp/public/2006gl/pdf/2_Volume2/V2_1_Ch1_Introduc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1-380003.pdf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6"/>
  <sheetViews>
    <sheetView topLeftCell="A19" zoomScale="74" zoomScaleNormal="74" workbookViewId="0">
      <selection activeCell="M33" sqref="M33"/>
    </sheetView>
  </sheetViews>
  <sheetFormatPr defaultRowHeight="13.8"/>
  <cols>
    <col min="2" max="2" width="10.09765625" bestFit="1" customWidth="1"/>
    <col min="3" max="4" width="16.296875" customWidth="1"/>
    <col min="5" max="5" width="2.59765625" customWidth="1"/>
    <col min="6" max="6" width="6.8984375" customWidth="1"/>
    <col min="7" max="7" width="9.09765625" customWidth="1"/>
    <col min="8" max="8" width="15.296875" customWidth="1"/>
    <col min="9" max="9" width="23.3984375" customWidth="1"/>
    <col min="10" max="10" width="10.8984375" customWidth="1"/>
  </cols>
  <sheetData>
    <row r="1" spans="1:11" s="225" customFormat="1" ht="18.75" customHeight="1">
      <c r="A1" s="945"/>
      <c r="B1" s="948" t="s">
        <v>96</v>
      </c>
      <c r="C1" s="949"/>
      <c r="D1" s="949"/>
      <c r="E1" s="949"/>
      <c r="F1" s="949"/>
      <c r="G1" s="949"/>
      <c r="H1" s="950"/>
      <c r="I1" s="961" t="s">
        <v>265</v>
      </c>
      <c r="J1" s="962"/>
      <c r="K1" s="116"/>
    </row>
    <row r="2" spans="1:11" s="225" customFormat="1" ht="18.75" customHeight="1">
      <c r="A2" s="946"/>
      <c r="B2" s="951"/>
      <c r="C2" s="952"/>
      <c r="D2" s="952"/>
      <c r="E2" s="952"/>
      <c r="F2" s="952"/>
      <c r="G2" s="952"/>
      <c r="H2" s="953"/>
      <c r="I2" s="963"/>
      <c r="J2" s="964"/>
      <c r="K2" s="115"/>
    </row>
    <row r="3" spans="1:11" s="225" customFormat="1" ht="18.75" customHeight="1">
      <c r="A3" s="946"/>
      <c r="B3" s="217" t="s">
        <v>0</v>
      </c>
      <c r="C3" s="954" t="s">
        <v>97</v>
      </c>
      <c r="D3" s="955"/>
      <c r="E3" s="956" t="s">
        <v>98</v>
      </c>
      <c r="F3" s="957"/>
      <c r="G3" s="954" t="str">
        <f>B6</f>
        <v>บริษัท มัลติแบกซ์ จำกัด (มหาชน)</v>
      </c>
      <c r="H3" s="955"/>
      <c r="I3" s="218" t="s">
        <v>99</v>
      </c>
      <c r="J3" s="219">
        <v>1</v>
      </c>
      <c r="K3" s="117"/>
    </row>
    <row r="4" spans="1:11" s="225" customFormat="1" ht="18.75" customHeight="1">
      <c r="A4" s="947"/>
      <c r="B4" s="217" t="s">
        <v>1</v>
      </c>
      <c r="C4" s="954" t="s">
        <v>100</v>
      </c>
      <c r="D4" s="955"/>
      <c r="E4" s="956" t="s">
        <v>101</v>
      </c>
      <c r="F4" s="957"/>
      <c r="G4" s="954" t="s">
        <v>2770</v>
      </c>
      <c r="H4" s="955"/>
      <c r="I4" s="218" t="s">
        <v>102</v>
      </c>
      <c r="J4" s="815">
        <v>243820</v>
      </c>
      <c r="K4" s="117"/>
    </row>
    <row r="5" spans="1:11" ht="18.75" customHeight="1">
      <c r="A5" s="118"/>
      <c r="B5" s="189"/>
      <c r="C5" s="189"/>
      <c r="D5" s="189"/>
      <c r="E5" s="189"/>
      <c r="F5" s="189"/>
      <c r="G5" s="189"/>
      <c r="H5" s="189"/>
      <c r="I5" s="189"/>
      <c r="J5" s="119"/>
      <c r="K5" s="116"/>
    </row>
    <row r="6" spans="1:11">
      <c r="A6" s="120"/>
      <c r="B6" s="966" t="s">
        <v>2767</v>
      </c>
      <c r="C6" s="967"/>
      <c r="D6" s="967"/>
      <c r="E6" s="967"/>
      <c r="F6" s="967"/>
      <c r="G6" s="967"/>
      <c r="H6" s="967"/>
      <c r="I6" s="968"/>
      <c r="J6" s="121"/>
      <c r="K6" s="115"/>
    </row>
    <row r="7" spans="1:11">
      <c r="A7" s="118"/>
      <c r="B7" s="189"/>
      <c r="C7" s="189"/>
      <c r="D7" s="189"/>
      <c r="E7" s="189"/>
      <c r="F7" s="189"/>
      <c r="G7" s="189"/>
      <c r="H7" s="189"/>
      <c r="I7" s="189"/>
      <c r="J7" s="119"/>
      <c r="K7" s="117"/>
    </row>
    <row r="8" spans="1:11" ht="12" customHeight="1">
      <c r="A8" s="1003" t="s">
        <v>103</v>
      </c>
      <c r="B8" s="1004"/>
      <c r="C8" s="1004"/>
      <c r="D8" s="1005"/>
      <c r="E8" s="987"/>
      <c r="F8" s="943" t="s">
        <v>104</v>
      </c>
      <c r="G8" s="990"/>
      <c r="H8" s="990"/>
      <c r="I8" s="990"/>
      <c r="J8" s="944"/>
      <c r="K8" s="117"/>
    </row>
    <row r="9" spans="1:11" ht="18" customHeight="1">
      <c r="A9" s="1006"/>
      <c r="B9" s="1007"/>
      <c r="C9" s="1007"/>
      <c r="D9" s="1008"/>
      <c r="E9" s="988"/>
      <c r="F9" s="928" t="s">
        <v>105</v>
      </c>
      <c r="G9" s="929"/>
      <c r="H9" s="937" t="str">
        <f>'Fr-04.1'!B10</f>
        <v>Stationary combustion</v>
      </c>
      <c r="I9" s="938"/>
      <c r="J9" s="939"/>
      <c r="K9" s="117"/>
    </row>
    <row r="10" spans="1:11" ht="18" customHeight="1">
      <c r="A10" s="1006"/>
      <c r="B10" s="1007"/>
      <c r="C10" s="1007"/>
      <c r="D10" s="1008"/>
      <c r="E10" s="988"/>
      <c r="F10" s="930"/>
      <c r="G10" s="931"/>
      <c r="H10" s="925" t="str">
        <f>'Fr-04.1'!B11</f>
        <v xml:space="preserve">น้ำมัน Diesel B7 (Fire Pump) </v>
      </c>
      <c r="I10" s="926"/>
      <c r="J10" s="927"/>
      <c r="K10" s="117"/>
    </row>
    <row r="11" spans="1:11" ht="18" customHeight="1">
      <c r="A11" s="1006"/>
      <c r="B11" s="1007"/>
      <c r="C11" s="1007"/>
      <c r="D11" s="1008"/>
      <c r="E11" s="988"/>
      <c r="F11" s="930"/>
      <c r="G11" s="931"/>
      <c r="H11" s="925" t="str">
        <f>'Fr-04.1'!B12</f>
        <v>น้ำมัน Gasohol 91/95 (เครื่องตัดหญ้า)</v>
      </c>
      <c r="I11" s="926"/>
      <c r="J11" s="927"/>
      <c r="K11" s="117"/>
    </row>
    <row r="12" spans="1:11" ht="18" customHeight="1">
      <c r="A12" s="1006"/>
      <c r="B12" s="1007"/>
      <c r="C12" s="1007"/>
      <c r="D12" s="1008"/>
      <c r="E12" s="988"/>
      <c r="F12" s="930"/>
      <c r="G12" s="931"/>
      <c r="H12" s="925" t="str">
        <f>'Fr-04.1'!B13</f>
        <v>Acetylene Gas (ซ่อมบำรุง)</v>
      </c>
      <c r="I12" s="926"/>
      <c r="J12" s="927"/>
      <c r="K12" s="117"/>
    </row>
    <row r="13" spans="1:11" ht="18" customHeight="1">
      <c r="A13" s="1006"/>
      <c r="B13" s="1007"/>
      <c r="C13" s="1007"/>
      <c r="D13" s="1008"/>
      <c r="E13" s="988"/>
      <c r="F13" s="930"/>
      <c r="G13" s="931"/>
      <c r="H13" s="925" t="str">
        <f>'Fr-04.1'!B14</f>
        <v>Biodiesel (Stationary combustion)</v>
      </c>
      <c r="I13" s="926"/>
      <c r="J13" s="927"/>
      <c r="K13" s="117"/>
    </row>
    <row r="14" spans="1:11" ht="18" customHeight="1">
      <c r="A14" s="1006"/>
      <c r="B14" s="1007"/>
      <c r="C14" s="1007"/>
      <c r="D14" s="1008"/>
      <c r="E14" s="988"/>
      <c r="F14" s="930"/>
      <c r="G14" s="931"/>
      <c r="H14" s="925" t="str">
        <f>'Fr-04.1'!B15</f>
        <v>Biogasoline (Ethanol) (Stationary combustion)</v>
      </c>
      <c r="I14" s="926"/>
      <c r="J14" s="927"/>
      <c r="K14" s="117"/>
    </row>
    <row r="15" spans="1:11" ht="18" customHeight="1">
      <c r="A15" s="1006"/>
      <c r="B15" s="1007"/>
      <c r="C15" s="1007"/>
      <c r="D15" s="1008"/>
      <c r="E15" s="988"/>
      <c r="F15" s="930"/>
      <c r="G15" s="931"/>
      <c r="H15" s="937" t="str">
        <f>'Fr-04.1'!B16</f>
        <v>Mobile combustion</v>
      </c>
      <c r="I15" s="938"/>
      <c r="J15" s="939"/>
      <c r="K15" s="117"/>
    </row>
    <row r="16" spans="1:11" ht="18" customHeight="1">
      <c r="A16" s="1006"/>
      <c r="B16" s="1007"/>
      <c r="C16" s="1007"/>
      <c r="D16" s="1008"/>
      <c r="E16" s="988"/>
      <c r="F16" s="930"/>
      <c r="G16" s="931"/>
      <c r="H16" s="925" t="str">
        <f>'Fr-04.1'!B17</f>
        <v>น้ำมัน Diesel B7   รถยนต์องค์กร</v>
      </c>
      <c r="I16" s="926"/>
      <c r="J16" s="927"/>
      <c r="K16" s="117"/>
    </row>
    <row r="17" spans="1:11" ht="18" customHeight="1">
      <c r="A17" s="1006"/>
      <c r="B17" s="1007"/>
      <c r="C17" s="1007"/>
      <c r="D17" s="1008"/>
      <c r="E17" s="988"/>
      <c r="F17" s="930"/>
      <c r="G17" s="931"/>
      <c r="H17" s="925" t="str">
        <f>'Fr-04.1'!B19</f>
        <v>น้ำมัน Gasohol 91/95  รถยนต์องค์กร</v>
      </c>
      <c r="I17" s="926"/>
      <c r="J17" s="927"/>
      <c r="K17" s="117"/>
    </row>
    <row r="18" spans="1:11" ht="18" customHeight="1">
      <c r="A18" s="1006"/>
      <c r="B18" s="1007"/>
      <c r="C18" s="1007"/>
      <c r="D18" s="1008"/>
      <c r="E18" s="988"/>
      <c r="F18" s="930"/>
      <c r="G18" s="931"/>
      <c r="H18" s="925" t="str">
        <f>'Fr-04.1'!B21</f>
        <v>น้ำมัน Diesel B7 FL/รถใช้ขนส่งภายในองค์กร (off-road)</v>
      </c>
      <c r="I18" s="926"/>
      <c r="J18" s="927"/>
      <c r="K18" s="117"/>
    </row>
    <row r="19" spans="1:11" ht="18" customHeight="1">
      <c r="A19" s="1006"/>
      <c r="B19" s="1007"/>
      <c r="C19" s="1007"/>
      <c r="D19" s="1008"/>
      <c r="E19" s="988"/>
      <c r="F19" s="930"/>
      <c r="G19" s="931"/>
      <c r="H19" s="925" t="str">
        <f>'Fr-04.1'!B22</f>
        <v>Biodiesel (Mobile combustion-on road)</v>
      </c>
      <c r="I19" s="926"/>
      <c r="J19" s="927"/>
      <c r="K19" s="117"/>
    </row>
    <row r="20" spans="1:11" ht="18" customHeight="1">
      <c r="A20" s="1006"/>
      <c r="B20" s="1007"/>
      <c r="C20" s="1007"/>
      <c r="D20" s="1008"/>
      <c r="E20" s="988"/>
      <c r="F20" s="930"/>
      <c r="G20" s="931"/>
      <c r="H20" s="925" t="str">
        <f>'Fr-04.1'!B24</f>
        <v>Biogasoline (Ethanol) (Mobile combustion)</v>
      </c>
      <c r="I20" s="926"/>
      <c r="J20" s="927"/>
      <c r="K20" s="117"/>
    </row>
    <row r="21" spans="1:11" ht="18" customHeight="1">
      <c r="A21" s="1006"/>
      <c r="B21" s="1007"/>
      <c r="C21" s="1007"/>
      <c r="D21" s="1008"/>
      <c r="E21" s="988"/>
      <c r="F21" s="930"/>
      <c r="G21" s="931"/>
      <c r="H21" s="937" t="str">
        <f>'Fr-04.1'!B25</f>
        <v>Fugitive</v>
      </c>
      <c r="I21" s="938"/>
      <c r="J21" s="939"/>
      <c r="K21" s="117"/>
    </row>
    <row r="22" spans="1:11" ht="18" customHeight="1">
      <c r="A22" s="1006"/>
      <c r="B22" s="1007"/>
      <c r="C22" s="1007"/>
      <c r="D22" s="1008"/>
      <c r="E22" s="988"/>
      <c r="F22" s="930"/>
      <c r="G22" s="931"/>
      <c r="H22" s="925" t="str">
        <f>'Fr-04.1'!B26</f>
        <v>สารทำความเย็น R-32 -ครื่องปรับอากาศ</v>
      </c>
      <c r="I22" s="926"/>
      <c r="J22" s="927"/>
      <c r="K22" s="117"/>
    </row>
    <row r="23" spans="1:11" ht="18" customHeight="1">
      <c r="A23" s="1006"/>
      <c r="B23" s="1007"/>
      <c r="C23" s="1007"/>
      <c r="D23" s="1008"/>
      <c r="E23" s="988"/>
      <c r="F23" s="930"/>
      <c r="G23" s="931"/>
      <c r="H23" s="925" t="str">
        <f>'Fr-04.1'!B27</f>
        <v>สารทำความเย็น R-410a - เครื่องปรับอากาศ</v>
      </c>
      <c r="I23" s="926"/>
      <c r="J23" s="927"/>
      <c r="K23" s="117"/>
    </row>
    <row r="24" spans="1:11" ht="18" customHeight="1">
      <c r="A24" s="1006"/>
      <c r="B24" s="1007"/>
      <c r="C24" s="1007"/>
      <c r="D24" s="1008"/>
      <c r="E24" s="988"/>
      <c r="F24" s="930"/>
      <c r="G24" s="931"/>
      <c r="H24" s="925" t="str">
        <f>'Fr-04.1'!B28</f>
        <v>สารทำความเย็น R-134a - ตู้แอร์ระบายความร้อน</v>
      </c>
      <c r="I24" s="926"/>
      <c r="J24" s="927"/>
      <c r="K24" s="117"/>
    </row>
    <row r="25" spans="1:11" ht="18" customHeight="1">
      <c r="A25" s="1006"/>
      <c r="B25" s="1007"/>
      <c r="C25" s="1007"/>
      <c r="D25" s="1008"/>
      <c r="E25" s="988"/>
      <c r="F25" s="930"/>
      <c r="G25" s="931"/>
      <c r="H25" s="925" t="str">
        <f>'Fr-04.1'!B29</f>
        <v>สารทำความเย็น R-407c - Air dryer/Chiller</v>
      </c>
      <c r="I25" s="926"/>
      <c r="J25" s="927"/>
      <c r="K25" s="117"/>
    </row>
    <row r="26" spans="1:11" ht="18" customHeight="1">
      <c r="A26" s="1006"/>
      <c r="B26" s="1007"/>
      <c r="C26" s="1007"/>
      <c r="D26" s="1008"/>
      <c r="E26" s="988"/>
      <c r="F26" s="930"/>
      <c r="G26" s="931"/>
      <c r="H26" s="925" t="str">
        <f>'Fr-04.1'!B30</f>
        <v>สารดับเพลิง CO2</v>
      </c>
      <c r="I26" s="926"/>
      <c r="J26" s="927"/>
      <c r="K26" s="117"/>
    </row>
    <row r="27" spans="1:11" ht="18" customHeight="1">
      <c r="A27" s="1006"/>
      <c r="B27" s="1007"/>
      <c r="C27" s="1007"/>
      <c r="D27" s="1008"/>
      <c r="E27" s="988"/>
      <c r="F27" s="930"/>
      <c r="G27" s="931"/>
      <c r="H27" s="925" t="str">
        <f>'Fr-04.1'!B31</f>
        <v>Septic tank</v>
      </c>
      <c r="I27" s="926"/>
      <c r="J27" s="927"/>
      <c r="K27" s="117"/>
    </row>
    <row r="28" spans="1:11" ht="18" customHeight="1">
      <c r="A28" s="1006"/>
      <c r="B28" s="1007"/>
      <c r="C28" s="1007"/>
      <c r="D28" s="1008"/>
      <c r="E28" s="988"/>
      <c r="F28" s="932"/>
      <c r="G28" s="933"/>
      <c r="H28" s="925" t="str">
        <f>'Fr-04.1'!B32</f>
        <v>ปุ๋ยเคมี 16-16-16</v>
      </c>
      <c r="I28" s="926"/>
      <c r="J28" s="927"/>
      <c r="K28" s="117"/>
    </row>
    <row r="29" spans="1:11" ht="17.25" customHeight="1">
      <c r="A29" s="1006"/>
      <c r="B29" s="1007"/>
      <c r="C29" s="1007"/>
      <c r="D29" s="1008"/>
      <c r="E29" s="988"/>
      <c r="F29" s="928" t="s">
        <v>106</v>
      </c>
      <c r="G29" s="929"/>
      <c r="H29" s="925" t="str">
        <f>'Fr-04.1'!B45</f>
        <v>การใช้ไฟฟ้า โรงงาน/สำนักงาน</v>
      </c>
      <c r="I29" s="926"/>
      <c r="J29" s="927"/>
      <c r="K29" s="117"/>
    </row>
    <row r="30" spans="1:11" ht="17.25" customHeight="1">
      <c r="A30" s="1006"/>
      <c r="B30" s="1007"/>
      <c r="C30" s="1007"/>
      <c r="D30" s="1008"/>
      <c r="E30" s="988"/>
      <c r="F30" s="930"/>
      <c r="G30" s="931"/>
      <c r="H30" s="925"/>
      <c r="I30" s="926"/>
      <c r="J30" s="927"/>
      <c r="K30" s="117"/>
    </row>
    <row r="31" spans="1:11" ht="17.25" customHeight="1">
      <c r="A31" s="1006"/>
      <c r="B31" s="1007"/>
      <c r="C31" s="1007"/>
      <c r="D31" s="1008"/>
      <c r="E31" s="988"/>
      <c r="F31" s="932"/>
      <c r="G31" s="933"/>
      <c r="H31" s="195"/>
      <c r="I31" s="196"/>
      <c r="J31" s="197"/>
      <c r="K31" s="117"/>
    </row>
    <row r="32" spans="1:11">
      <c r="A32" s="1006"/>
      <c r="B32" s="1007"/>
      <c r="C32" s="1007"/>
      <c r="D32" s="1008"/>
      <c r="E32" s="988"/>
      <c r="F32" s="928" t="s">
        <v>107</v>
      </c>
      <c r="G32" s="929"/>
      <c r="H32" s="971" t="str">
        <f>'Fr-04.1'!B50</f>
        <v>#Cat 1</v>
      </c>
      <c r="I32" s="972"/>
      <c r="J32" s="973"/>
      <c r="K32" s="114"/>
    </row>
    <row r="33" spans="1:11">
      <c r="A33" s="1006"/>
      <c r="B33" s="1007"/>
      <c r="C33" s="1007"/>
      <c r="D33" s="1008"/>
      <c r="E33" s="988"/>
      <c r="F33" s="930"/>
      <c r="G33" s="931"/>
      <c r="H33" s="934" t="str">
        <f>'Fr-04.1'!B51</f>
        <v>เม็ดพลาสติก LDPE</v>
      </c>
      <c r="I33" s="935"/>
      <c r="J33" s="936"/>
      <c r="K33" s="114"/>
    </row>
    <row r="34" spans="1:11">
      <c r="A34" s="1006"/>
      <c r="B34" s="1007"/>
      <c r="C34" s="1007"/>
      <c r="D34" s="1008"/>
      <c r="E34" s="988"/>
      <c r="F34" s="930"/>
      <c r="G34" s="931"/>
      <c r="H34" s="934" t="str">
        <f>'Fr-04.1'!B52</f>
        <v>เม็ดพลาสติก LLDPE</v>
      </c>
      <c r="I34" s="935"/>
      <c r="J34" s="936"/>
      <c r="K34" s="114"/>
    </row>
    <row r="35" spans="1:11">
      <c r="A35" s="1006"/>
      <c r="B35" s="1007"/>
      <c r="C35" s="1007"/>
      <c r="D35" s="1008"/>
      <c r="E35" s="988"/>
      <c r="F35" s="932"/>
      <c r="G35" s="933"/>
      <c r="H35" s="934" t="str">
        <f>'Fr-04.1'!B53</f>
        <v>เม็ดพลาสติก HDPE</v>
      </c>
      <c r="I35" s="935"/>
      <c r="J35" s="936"/>
      <c r="K35" s="114"/>
    </row>
    <row r="36" spans="1:11">
      <c r="A36" s="1006"/>
      <c r="B36" s="1007"/>
      <c r="C36" s="1007"/>
      <c r="D36" s="1008"/>
      <c r="E36" s="988"/>
      <c r="F36" s="965" t="s">
        <v>108</v>
      </c>
      <c r="G36" s="965"/>
      <c r="H36" s="940" t="s">
        <v>2808</v>
      </c>
      <c r="I36" s="941"/>
      <c r="J36" s="942"/>
      <c r="K36" s="114"/>
    </row>
    <row r="37" spans="1:11">
      <c r="A37" s="1006"/>
      <c r="B37" s="1007"/>
      <c r="C37" s="1007"/>
      <c r="D37" s="1008"/>
      <c r="E37" s="988"/>
      <c r="F37" s="943" t="s">
        <v>179</v>
      </c>
      <c r="G37" s="944"/>
      <c r="H37" s="969">
        <v>9586</v>
      </c>
      <c r="I37" s="970"/>
      <c r="J37" s="190" t="s">
        <v>2771</v>
      </c>
      <c r="K37" s="114"/>
    </row>
    <row r="38" spans="1:11">
      <c r="A38" s="1006"/>
      <c r="B38" s="1007"/>
      <c r="C38" s="1007"/>
      <c r="D38" s="1008"/>
      <c r="E38" s="988"/>
      <c r="F38" s="965" t="s">
        <v>203</v>
      </c>
      <c r="G38" s="965"/>
      <c r="H38" s="940" t="s">
        <v>2808</v>
      </c>
      <c r="I38" s="941"/>
      <c r="J38" s="942"/>
      <c r="K38" s="114"/>
    </row>
    <row r="39" spans="1:11">
      <c r="A39" s="1006"/>
      <c r="B39" s="1007"/>
      <c r="C39" s="1007"/>
      <c r="D39" s="1008"/>
      <c r="E39" s="988"/>
      <c r="F39" s="943" t="s">
        <v>208</v>
      </c>
      <c r="G39" s="944"/>
      <c r="H39" s="969">
        <v>9586</v>
      </c>
      <c r="I39" s="970"/>
      <c r="J39" s="190" t="str">
        <f>J37</f>
        <v>ตัน</v>
      </c>
      <c r="K39" s="114"/>
    </row>
    <row r="40" spans="1:11">
      <c r="A40" s="1006"/>
      <c r="B40" s="1007"/>
      <c r="C40" s="1007"/>
      <c r="D40" s="1008"/>
      <c r="E40" s="989"/>
      <c r="F40" s="974" t="s">
        <v>109</v>
      </c>
      <c r="G40" s="975"/>
      <c r="H40" s="975"/>
      <c r="I40" s="975"/>
      <c r="J40" s="976"/>
      <c r="K40" s="114"/>
    </row>
    <row r="41" spans="1:11">
      <c r="A41" s="1006"/>
      <c r="B41" s="1007"/>
      <c r="C41" s="1007"/>
      <c r="D41" s="1008"/>
      <c r="E41" s="989"/>
      <c r="F41" s="122">
        <v>1</v>
      </c>
      <c r="G41" s="977" t="s">
        <v>2768</v>
      </c>
      <c r="H41" s="978"/>
      <c r="I41" s="978"/>
      <c r="J41" s="979"/>
      <c r="K41" s="114"/>
    </row>
    <row r="42" spans="1:11">
      <c r="A42" s="1006"/>
      <c r="B42" s="1007"/>
      <c r="C42" s="1007"/>
      <c r="D42" s="1008"/>
      <c r="E42" s="989"/>
      <c r="F42" s="122">
        <v>2</v>
      </c>
      <c r="G42" s="980" t="s">
        <v>2769</v>
      </c>
      <c r="H42" s="980"/>
      <c r="I42" s="981"/>
      <c r="J42" s="981"/>
      <c r="K42" s="115"/>
    </row>
    <row r="43" spans="1:11">
      <c r="A43" s="1006"/>
      <c r="B43" s="1007"/>
      <c r="C43" s="1007"/>
      <c r="D43" s="1008"/>
      <c r="E43" s="989"/>
      <c r="F43" s="122">
        <v>3</v>
      </c>
      <c r="G43" s="980"/>
      <c r="H43" s="980"/>
      <c r="I43" s="981"/>
      <c r="J43" s="981"/>
      <c r="K43" s="115"/>
    </row>
    <row r="44" spans="1:11">
      <c r="A44" s="1006"/>
      <c r="B44" s="1007"/>
      <c r="C44" s="1007"/>
      <c r="D44" s="1008"/>
      <c r="E44" s="989"/>
      <c r="F44" s="122">
        <v>4</v>
      </c>
      <c r="G44" s="980"/>
      <c r="H44" s="980"/>
      <c r="I44" s="981"/>
      <c r="J44" s="981"/>
      <c r="K44" s="114"/>
    </row>
    <row r="45" spans="1:11">
      <c r="A45" s="1006"/>
      <c r="B45" s="1007"/>
      <c r="C45" s="1007"/>
      <c r="D45" s="1008"/>
      <c r="E45" s="989"/>
      <c r="F45" s="122">
        <v>5</v>
      </c>
      <c r="G45" s="980"/>
      <c r="H45" s="980"/>
      <c r="I45" s="981"/>
      <c r="J45" s="981"/>
      <c r="K45" s="114"/>
    </row>
    <row r="46" spans="1:11">
      <c r="A46" s="1006"/>
      <c r="B46" s="1007"/>
      <c r="C46" s="1007"/>
      <c r="D46" s="1008"/>
      <c r="E46" s="989"/>
      <c r="F46" s="943" t="s">
        <v>110</v>
      </c>
      <c r="G46" s="960"/>
      <c r="H46" s="170"/>
      <c r="I46" s="926" t="s">
        <v>2809</v>
      </c>
      <c r="J46" s="959"/>
      <c r="K46" s="117"/>
    </row>
    <row r="47" spans="1:11">
      <c r="A47" s="1009"/>
      <c r="B47" s="1010"/>
      <c r="C47" s="1010"/>
      <c r="D47" s="1011"/>
      <c r="E47" s="989"/>
      <c r="F47" s="943" t="s">
        <v>111</v>
      </c>
      <c r="G47" s="960"/>
      <c r="H47" s="170"/>
      <c r="I47" s="958">
        <v>243865</v>
      </c>
      <c r="J47" s="959"/>
      <c r="K47" s="114"/>
    </row>
    <row r="48" spans="1:11">
      <c r="A48" s="984"/>
      <c r="B48" s="985"/>
      <c r="C48" s="985"/>
      <c r="D48" s="985"/>
      <c r="E48" s="985"/>
      <c r="F48" s="985"/>
      <c r="G48" s="985"/>
      <c r="H48" s="985"/>
      <c r="I48" s="985"/>
      <c r="J48" s="986"/>
      <c r="K48" s="114"/>
    </row>
    <row r="49" spans="1:11">
      <c r="A49" s="1012" t="s">
        <v>112</v>
      </c>
      <c r="B49" s="1013"/>
      <c r="C49" s="1013"/>
      <c r="D49" s="1014"/>
      <c r="E49" s="982"/>
      <c r="F49" s="1012" t="s">
        <v>113</v>
      </c>
      <c r="G49" s="1013"/>
      <c r="H49" s="1013"/>
      <c r="I49" s="1013"/>
      <c r="J49" s="1014"/>
      <c r="K49" s="114"/>
    </row>
    <row r="50" spans="1:11">
      <c r="A50" s="991"/>
      <c r="B50" s="998"/>
      <c r="C50" s="998"/>
      <c r="D50" s="999"/>
      <c r="E50" s="982"/>
      <c r="F50" s="991"/>
      <c r="G50" s="992"/>
      <c r="H50" s="992"/>
      <c r="I50" s="992"/>
      <c r="J50" s="993"/>
      <c r="K50" s="114"/>
    </row>
    <row r="51" spans="1:11">
      <c r="A51" s="991"/>
      <c r="B51" s="998"/>
      <c r="C51" s="998"/>
      <c r="D51" s="999"/>
      <c r="E51" s="982"/>
      <c r="F51" s="994"/>
      <c r="G51" s="992"/>
      <c r="H51" s="992"/>
      <c r="I51" s="992"/>
      <c r="J51" s="993"/>
      <c r="K51" s="114"/>
    </row>
    <row r="52" spans="1:11">
      <c r="A52" s="991"/>
      <c r="B52" s="998"/>
      <c r="C52" s="998"/>
      <c r="D52" s="999"/>
      <c r="E52" s="982"/>
      <c r="F52" s="994"/>
      <c r="G52" s="992"/>
      <c r="H52" s="992"/>
      <c r="I52" s="992"/>
      <c r="J52" s="993"/>
      <c r="K52" s="114"/>
    </row>
    <row r="53" spans="1:11">
      <c r="A53" s="991"/>
      <c r="B53" s="998"/>
      <c r="C53" s="998"/>
      <c r="D53" s="999"/>
      <c r="E53" s="982"/>
      <c r="F53" s="994"/>
      <c r="G53" s="992"/>
      <c r="H53" s="992"/>
      <c r="I53" s="992"/>
      <c r="J53" s="993"/>
      <c r="K53" s="114"/>
    </row>
    <row r="54" spans="1:11">
      <c r="A54" s="991"/>
      <c r="B54" s="998"/>
      <c r="C54" s="998"/>
      <c r="D54" s="999"/>
      <c r="E54" s="982"/>
      <c r="F54" s="994"/>
      <c r="G54" s="992"/>
      <c r="H54" s="992"/>
      <c r="I54" s="992"/>
      <c r="J54" s="993"/>
      <c r="K54" s="114"/>
    </row>
    <row r="55" spans="1:11">
      <c r="A55" s="991"/>
      <c r="B55" s="998"/>
      <c r="C55" s="998"/>
      <c r="D55" s="999"/>
      <c r="E55" s="982"/>
      <c r="F55" s="994"/>
      <c r="G55" s="992"/>
      <c r="H55" s="992"/>
      <c r="I55" s="992"/>
      <c r="J55" s="993"/>
      <c r="K55" s="114"/>
    </row>
    <row r="56" spans="1:11">
      <c r="A56" s="991"/>
      <c r="B56" s="998"/>
      <c r="C56" s="998"/>
      <c r="D56" s="999"/>
      <c r="E56" s="982"/>
      <c r="F56" s="994"/>
      <c r="G56" s="992"/>
      <c r="H56" s="992"/>
      <c r="I56" s="992"/>
      <c r="J56" s="993"/>
      <c r="K56" s="114"/>
    </row>
    <row r="57" spans="1:11">
      <c r="A57" s="991"/>
      <c r="B57" s="998"/>
      <c r="C57" s="998"/>
      <c r="D57" s="999"/>
      <c r="E57" s="982"/>
      <c r="F57" s="994"/>
      <c r="G57" s="992"/>
      <c r="H57" s="992"/>
      <c r="I57" s="992"/>
      <c r="J57" s="993"/>
      <c r="K57" s="114"/>
    </row>
    <row r="58" spans="1:11">
      <c r="A58" s="991"/>
      <c r="B58" s="998"/>
      <c r="C58" s="998"/>
      <c r="D58" s="999"/>
      <c r="E58" s="982"/>
      <c r="F58" s="994"/>
      <c r="G58" s="992"/>
      <c r="H58" s="992"/>
      <c r="I58" s="992"/>
      <c r="J58" s="993"/>
      <c r="K58" s="114"/>
    </row>
    <row r="59" spans="1:11">
      <c r="A59" s="991"/>
      <c r="B59" s="998"/>
      <c r="C59" s="998"/>
      <c r="D59" s="999"/>
      <c r="E59" s="982"/>
      <c r="F59" s="994"/>
      <c r="G59" s="992"/>
      <c r="H59" s="992"/>
      <c r="I59" s="992"/>
      <c r="J59" s="993"/>
      <c r="K59" s="114"/>
    </row>
    <row r="60" spans="1:11">
      <c r="A60" s="991"/>
      <c r="B60" s="998"/>
      <c r="C60" s="998"/>
      <c r="D60" s="999"/>
      <c r="E60" s="982"/>
      <c r="F60" s="994"/>
      <c r="G60" s="992"/>
      <c r="H60" s="992"/>
      <c r="I60" s="992"/>
      <c r="J60" s="993"/>
      <c r="K60" s="114"/>
    </row>
    <row r="61" spans="1:11">
      <c r="A61" s="991"/>
      <c r="B61" s="998"/>
      <c r="C61" s="998"/>
      <c r="D61" s="999"/>
      <c r="E61" s="982"/>
      <c r="F61" s="994"/>
      <c r="G61" s="992"/>
      <c r="H61" s="992"/>
      <c r="I61" s="992"/>
      <c r="J61" s="993"/>
      <c r="K61" s="114"/>
    </row>
    <row r="62" spans="1:11" ht="9.75" customHeight="1">
      <c r="A62" s="991"/>
      <c r="B62" s="998"/>
      <c r="C62" s="998"/>
      <c r="D62" s="999"/>
      <c r="E62" s="982"/>
      <c r="F62" s="994"/>
      <c r="G62" s="992"/>
      <c r="H62" s="992"/>
      <c r="I62" s="992"/>
      <c r="J62" s="993"/>
      <c r="K62" s="115"/>
    </row>
    <row r="63" spans="1:11">
      <c r="A63" s="991"/>
      <c r="B63" s="998"/>
      <c r="C63" s="998"/>
      <c r="D63" s="999"/>
      <c r="E63" s="982"/>
      <c r="F63" s="994"/>
      <c r="G63" s="992"/>
      <c r="H63" s="992"/>
      <c r="I63" s="992"/>
      <c r="J63" s="993"/>
      <c r="K63" s="114"/>
    </row>
    <row r="64" spans="1:11" ht="8.25" customHeight="1">
      <c r="A64" s="1000"/>
      <c r="B64" s="1001"/>
      <c r="C64" s="1001"/>
      <c r="D64" s="1002"/>
      <c r="E64" s="983"/>
      <c r="F64" s="995"/>
      <c r="G64" s="996"/>
      <c r="H64" s="996"/>
      <c r="I64" s="996"/>
      <c r="J64" s="997"/>
      <c r="K64" s="114"/>
    </row>
    <row r="65" spans="1:1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4"/>
    </row>
    <row r="66" spans="1:1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4"/>
    </row>
    <row r="67" spans="1:1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4"/>
    </row>
    <row r="68" spans="1:1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4"/>
    </row>
    <row r="69" spans="1:1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4"/>
    </row>
    <row r="70" spans="1:1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4"/>
    </row>
    <row r="71" spans="1:1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4"/>
    </row>
    <row r="72" spans="1:1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4"/>
    </row>
    <row r="73" spans="1:1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4"/>
    </row>
    <row r="74" spans="1:1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4"/>
    </row>
    <row r="75" spans="1:11">
      <c r="A75" s="115"/>
      <c r="B75" s="115"/>
      <c r="C75" s="115"/>
      <c r="D75" s="115"/>
      <c r="E75" s="115"/>
      <c r="F75" s="115"/>
      <c r="G75" s="115"/>
      <c r="H75" s="115"/>
      <c r="I75" s="115"/>
      <c r="J75" s="115"/>
    </row>
    <row r="76" spans="1:11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</sheetData>
  <mergeCells count="66">
    <mergeCell ref="G41:J41"/>
    <mergeCell ref="G42:J42"/>
    <mergeCell ref="E49:E64"/>
    <mergeCell ref="A48:J48"/>
    <mergeCell ref="E8:E47"/>
    <mergeCell ref="F8:J8"/>
    <mergeCell ref="F50:J64"/>
    <mergeCell ref="A50:D64"/>
    <mergeCell ref="A8:D47"/>
    <mergeCell ref="G43:J43"/>
    <mergeCell ref="G44:J44"/>
    <mergeCell ref="G45:J45"/>
    <mergeCell ref="A49:D49"/>
    <mergeCell ref="H39:I39"/>
    <mergeCell ref="F49:J49"/>
    <mergeCell ref="I46:J46"/>
    <mergeCell ref="I47:J47"/>
    <mergeCell ref="F47:G47"/>
    <mergeCell ref="I1:J2"/>
    <mergeCell ref="F36:G36"/>
    <mergeCell ref="B6:I6"/>
    <mergeCell ref="F46:G46"/>
    <mergeCell ref="F37:G37"/>
    <mergeCell ref="H37:I37"/>
    <mergeCell ref="H9:J9"/>
    <mergeCell ref="H29:J29"/>
    <mergeCell ref="H32:J32"/>
    <mergeCell ref="H36:J36"/>
    <mergeCell ref="F29:G31"/>
    <mergeCell ref="F9:G28"/>
    <mergeCell ref="F40:J40"/>
    <mergeCell ref="F38:G38"/>
    <mergeCell ref="H38:J38"/>
    <mergeCell ref="F39:G39"/>
    <mergeCell ref="A1:A4"/>
    <mergeCell ref="B1:H2"/>
    <mergeCell ref="C3:D3"/>
    <mergeCell ref="G3:H3"/>
    <mergeCell ref="C4:D4"/>
    <mergeCell ref="G4:H4"/>
    <mergeCell ref="E3:F3"/>
    <mergeCell ref="E4:F4"/>
    <mergeCell ref="H10:J10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F32:G35"/>
    <mergeCell ref="H33:J33"/>
    <mergeCell ref="H34:J34"/>
    <mergeCell ref="H35:J35"/>
    <mergeCell ref="H30:J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9"/>
  <sheetViews>
    <sheetView zoomScale="130" zoomScaleNormal="130" workbookViewId="0">
      <selection activeCell="O84" sqref="O84"/>
    </sheetView>
  </sheetViews>
  <sheetFormatPr defaultRowHeight="13.8"/>
  <cols>
    <col min="13" max="13" width="9.59765625" bestFit="1" customWidth="1"/>
  </cols>
  <sheetData>
    <row r="1" spans="1:15" s="99" customFormat="1" ht="18.75" customHeight="1">
      <c r="A1" s="1015"/>
      <c r="B1" s="1027" t="s">
        <v>114</v>
      </c>
      <c r="C1" s="1028"/>
      <c r="D1" s="1028"/>
      <c r="E1" s="1028"/>
      <c r="F1" s="1028"/>
      <c r="G1" s="1028"/>
      <c r="H1" s="1028"/>
      <c r="I1" s="1028"/>
      <c r="J1" s="1028"/>
      <c r="K1" s="1029"/>
      <c r="L1" s="961" t="s">
        <v>265</v>
      </c>
      <c r="M1" s="962"/>
    </row>
    <row r="2" spans="1:15" s="98" customFormat="1" ht="18.75" customHeight="1">
      <c r="A2" s="1016"/>
      <c r="B2" s="1030"/>
      <c r="C2" s="1031"/>
      <c r="D2" s="1031"/>
      <c r="E2" s="1031"/>
      <c r="F2" s="1031"/>
      <c r="G2" s="1031"/>
      <c r="H2" s="1031"/>
      <c r="I2" s="1031"/>
      <c r="J2" s="1031"/>
      <c r="K2" s="1032"/>
      <c r="L2" s="963"/>
      <c r="M2" s="964"/>
      <c r="N2" s="99"/>
      <c r="O2" s="99"/>
    </row>
    <row r="3" spans="1:15" s="98" customFormat="1" ht="18.75" customHeight="1">
      <c r="A3" s="1016"/>
      <c r="B3" s="243" t="s">
        <v>0</v>
      </c>
      <c r="C3" s="954" t="s">
        <v>97</v>
      </c>
      <c r="D3" s="955"/>
      <c r="E3" s="1033"/>
      <c r="F3" s="244" t="s">
        <v>98</v>
      </c>
      <c r="G3" s="954" t="str">
        <f>'Fr-01'!$B$6</f>
        <v>บริษัท มัลติแบกซ์ จำกัด (มหาชน)</v>
      </c>
      <c r="H3" s="955"/>
      <c r="I3" s="1033"/>
      <c r="J3" s="1034"/>
      <c r="K3" s="1035"/>
      <c r="L3" s="245" t="s">
        <v>99</v>
      </c>
      <c r="M3" s="246">
        <v>2</v>
      </c>
      <c r="N3" s="99"/>
      <c r="O3" s="99"/>
    </row>
    <row r="4" spans="1:15" s="85" customFormat="1" ht="18.75" customHeight="1">
      <c r="A4" s="1017"/>
      <c r="B4" s="243" t="s">
        <v>1</v>
      </c>
      <c r="C4" s="954" t="s">
        <v>115</v>
      </c>
      <c r="D4" s="955"/>
      <c r="E4" s="1033"/>
      <c r="F4" s="244" t="s">
        <v>101</v>
      </c>
      <c r="G4" s="954" t="str">
        <f>'Fr-01'!$G$4</f>
        <v>บริษัท อีโค เซ็นทริก คอร์ปอเรชั่น จำกัด</v>
      </c>
      <c r="H4" s="955"/>
      <c r="I4" s="1033"/>
      <c r="J4" s="1034"/>
      <c r="K4" s="1035"/>
      <c r="L4" s="245" t="s">
        <v>116</v>
      </c>
      <c r="M4" s="816">
        <f>'Fr-01'!J4</f>
        <v>243820</v>
      </c>
    </row>
    <row r="5" spans="1:15" s="85" customFormat="1" ht="18.75" customHeight="1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5"/>
    </row>
    <row r="6" spans="1:15">
      <c r="A6" s="1018"/>
      <c r="B6" s="1019"/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20"/>
    </row>
    <row r="7" spans="1:15">
      <c r="A7" s="1021"/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3"/>
    </row>
    <row r="8" spans="1:15">
      <c r="A8" s="1021"/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3"/>
    </row>
    <row r="9" spans="1:15">
      <c r="A9" s="1021"/>
      <c r="B9" s="1022"/>
      <c r="C9" s="1022"/>
      <c r="D9" s="1022"/>
      <c r="E9" s="1022"/>
      <c r="F9" s="1022"/>
      <c r="G9" s="1022"/>
      <c r="H9" s="1022"/>
      <c r="I9" s="1022"/>
      <c r="J9" s="1022"/>
      <c r="K9" s="1022"/>
      <c r="L9" s="1022"/>
      <c r="M9" s="1023"/>
    </row>
    <row r="10" spans="1:15">
      <c r="A10" s="1021"/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3"/>
    </row>
    <row r="11" spans="1:15">
      <c r="A11" s="1021"/>
      <c r="B11" s="1022"/>
      <c r="C11" s="1022"/>
      <c r="D11" s="1022"/>
      <c r="E11" s="1022"/>
      <c r="F11" s="1022"/>
      <c r="G11" s="1022"/>
      <c r="H11" s="1022"/>
      <c r="I11" s="1022"/>
      <c r="J11" s="1022"/>
      <c r="K11" s="1022"/>
      <c r="L11" s="1022"/>
      <c r="M11" s="1023"/>
    </row>
    <row r="12" spans="1:15">
      <c r="A12" s="1021"/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3"/>
    </row>
    <row r="13" spans="1:15">
      <c r="A13" s="1021"/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3"/>
    </row>
    <row r="14" spans="1:15">
      <c r="A14" s="1021"/>
      <c r="B14" s="1022"/>
      <c r="C14" s="1022"/>
      <c r="D14" s="1022"/>
      <c r="E14" s="1022"/>
      <c r="F14" s="1022"/>
      <c r="G14" s="1022"/>
      <c r="H14" s="1022"/>
      <c r="I14" s="1022"/>
      <c r="J14" s="1022"/>
      <c r="K14" s="1022"/>
      <c r="L14" s="1022"/>
      <c r="M14" s="1023"/>
    </row>
    <row r="15" spans="1:15">
      <c r="A15" s="1021"/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3"/>
    </row>
    <row r="16" spans="1:15">
      <c r="A16" s="1021"/>
      <c r="B16" s="1022"/>
      <c r="C16" s="1022"/>
      <c r="D16" s="1022"/>
      <c r="E16" s="1022"/>
      <c r="F16" s="1022"/>
      <c r="G16" s="1022"/>
      <c r="H16" s="1022"/>
      <c r="I16" s="1022"/>
      <c r="J16" s="1022"/>
      <c r="K16" s="1022"/>
      <c r="L16" s="1022"/>
      <c r="M16" s="1023"/>
    </row>
    <row r="17" spans="1:13">
      <c r="A17" s="1021"/>
      <c r="B17" s="1022"/>
      <c r="C17" s="1022"/>
      <c r="D17" s="1022"/>
      <c r="E17" s="1022"/>
      <c r="F17" s="1022"/>
      <c r="G17" s="1022"/>
      <c r="H17" s="1022"/>
      <c r="I17" s="1022"/>
      <c r="J17" s="1022"/>
      <c r="K17" s="1022"/>
      <c r="L17" s="1022"/>
      <c r="M17" s="1023"/>
    </row>
    <row r="18" spans="1:13">
      <c r="A18" s="1021"/>
      <c r="B18" s="1022"/>
      <c r="C18" s="1022"/>
      <c r="D18" s="1022"/>
      <c r="E18" s="1022"/>
      <c r="F18" s="1022"/>
      <c r="G18" s="1022"/>
      <c r="H18" s="1022"/>
      <c r="I18" s="1022"/>
      <c r="J18" s="1022"/>
      <c r="K18" s="1022"/>
      <c r="L18" s="1022"/>
      <c r="M18" s="1023"/>
    </row>
    <row r="19" spans="1:13">
      <c r="A19" s="1021"/>
      <c r="B19" s="1022"/>
      <c r="C19" s="1022"/>
      <c r="D19" s="1022"/>
      <c r="E19" s="1022"/>
      <c r="F19" s="1022"/>
      <c r="G19" s="1022"/>
      <c r="H19" s="1022"/>
      <c r="I19" s="1022"/>
      <c r="J19" s="1022"/>
      <c r="K19" s="1022"/>
      <c r="L19" s="1022"/>
      <c r="M19" s="1023"/>
    </row>
    <row r="20" spans="1:13">
      <c r="A20" s="1021"/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3"/>
    </row>
    <row r="21" spans="1:13">
      <c r="A21" s="1021"/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3"/>
    </row>
    <row r="22" spans="1:13">
      <c r="A22" s="1021"/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3"/>
    </row>
    <row r="23" spans="1:13">
      <c r="A23" s="1021"/>
      <c r="B23" s="1022"/>
      <c r="C23" s="1022"/>
      <c r="D23" s="1022"/>
      <c r="E23" s="1022"/>
      <c r="F23" s="1022"/>
      <c r="G23" s="1022"/>
      <c r="H23" s="1022"/>
      <c r="I23" s="1022"/>
      <c r="J23" s="1022"/>
      <c r="K23" s="1022"/>
      <c r="L23" s="1022"/>
      <c r="M23" s="1023"/>
    </row>
    <row r="24" spans="1:13">
      <c r="A24" s="1021"/>
      <c r="B24" s="1022"/>
      <c r="C24" s="1022"/>
      <c r="D24" s="1022"/>
      <c r="E24" s="1022"/>
      <c r="F24" s="1022"/>
      <c r="G24" s="1022"/>
      <c r="H24" s="1022"/>
      <c r="I24" s="1022"/>
      <c r="J24" s="1022"/>
      <c r="K24" s="1022"/>
      <c r="L24" s="1022"/>
      <c r="M24" s="1023"/>
    </row>
    <row r="25" spans="1:13">
      <c r="A25" s="1021"/>
      <c r="B25" s="1022"/>
      <c r="C25" s="1022"/>
      <c r="D25" s="1022"/>
      <c r="E25" s="1022"/>
      <c r="F25" s="1022"/>
      <c r="G25" s="1022"/>
      <c r="H25" s="1022"/>
      <c r="I25" s="1022"/>
      <c r="J25" s="1022"/>
      <c r="K25" s="1022"/>
      <c r="L25" s="1022"/>
      <c r="M25" s="1023"/>
    </row>
    <row r="26" spans="1:13">
      <c r="A26" s="1021"/>
      <c r="B26" s="1022"/>
      <c r="C26" s="1022"/>
      <c r="D26" s="1022"/>
      <c r="E26" s="1022"/>
      <c r="F26" s="1022"/>
      <c r="G26" s="1022"/>
      <c r="H26" s="1022"/>
      <c r="I26" s="1022"/>
      <c r="J26" s="1022"/>
      <c r="K26" s="1022"/>
      <c r="L26" s="1022"/>
      <c r="M26" s="1023"/>
    </row>
    <row r="27" spans="1:13">
      <c r="A27" s="1021"/>
      <c r="B27" s="1022"/>
      <c r="C27" s="1022"/>
      <c r="D27" s="1022"/>
      <c r="E27" s="1022"/>
      <c r="F27" s="1022"/>
      <c r="G27" s="1022"/>
      <c r="H27" s="1022"/>
      <c r="I27" s="1022"/>
      <c r="J27" s="1022"/>
      <c r="K27" s="1022"/>
      <c r="L27" s="1022"/>
      <c r="M27" s="1023"/>
    </row>
    <row r="28" spans="1:13">
      <c r="A28" s="1021"/>
      <c r="B28" s="1022"/>
      <c r="C28" s="1022"/>
      <c r="D28" s="1022"/>
      <c r="E28" s="1022"/>
      <c r="F28" s="1022"/>
      <c r="G28" s="1022"/>
      <c r="H28" s="1022"/>
      <c r="I28" s="1022"/>
      <c r="J28" s="1022"/>
      <c r="K28" s="1022"/>
      <c r="L28" s="1022"/>
      <c r="M28" s="1023"/>
    </row>
    <row r="29" spans="1:13">
      <c r="A29" s="1021"/>
      <c r="B29" s="1022"/>
      <c r="C29" s="1022"/>
      <c r="D29" s="1022"/>
      <c r="E29" s="1022"/>
      <c r="F29" s="1022"/>
      <c r="G29" s="1022"/>
      <c r="H29" s="1022"/>
      <c r="I29" s="1022"/>
      <c r="J29" s="1022"/>
      <c r="K29" s="1022"/>
      <c r="L29" s="1022"/>
      <c r="M29" s="1023"/>
    </row>
    <row r="30" spans="1:13">
      <c r="A30" s="1021"/>
      <c r="B30" s="1022"/>
      <c r="C30" s="1022"/>
      <c r="D30" s="1022"/>
      <c r="E30" s="1022"/>
      <c r="F30" s="1022"/>
      <c r="G30" s="1022"/>
      <c r="H30" s="1022"/>
      <c r="I30" s="1022"/>
      <c r="J30" s="1022"/>
      <c r="K30" s="1022"/>
      <c r="L30" s="1022"/>
      <c r="M30" s="1023"/>
    </row>
    <row r="31" spans="1:13">
      <c r="A31" s="1021"/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3"/>
    </row>
    <row r="32" spans="1:13">
      <c r="A32" s="1021"/>
      <c r="B32" s="1022"/>
      <c r="C32" s="1022"/>
      <c r="D32" s="1022"/>
      <c r="E32" s="1022"/>
      <c r="F32" s="1022"/>
      <c r="G32" s="1022"/>
      <c r="H32" s="1022"/>
      <c r="I32" s="1022"/>
      <c r="J32" s="1022"/>
      <c r="K32" s="1022"/>
      <c r="L32" s="1022"/>
      <c r="M32" s="1023"/>
    </row>
    <row r="33" spans="1:13">
      <c r="A33" s="1021"/>
      <c r="B33" s="1022"/>
      <c r="C33" s="1022"/>
      <c r="D33" s="1022"/>
      <c r="E33" s="1022"/>
      <c r="F33" s="1022"/>
      <c r="G33" s="1022"/>
      <c r="H33" s="1022"/>
      <c r="I33" s="1022"/>
      <c r="J33" s="1022"/>
      <c r="K33" s="1022"/>
      <c r="L33" s="1022"/>
      <c r="M33" s="1023"/>
    </row>
    <row r="34" spans="1:13">
      <c r="A34" s="1021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3"/>
    </row>
    <row r="35" spans="1:13">
      <c r="A35" s="1021"/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3"/>
    </row>
    <row r="36" spans="1:13">
      <c r="A36" s="1021"/>
      <c r="B36" s="1022"/>
      <c r="C36" s="1022"/>
      <c r="D36" s="1022"/>
      <c r="E36" s="1022"/>
      <c r="F36" s="1022"/>
      <c r="G36" s="1022"/>
      <c r="H36" s="1022"/>
      <c r="I36" s="1022"/>
      <c r="J36" s="1022"/>
      <c r="K36" s="1022"/>
      <c r="L36" s="1022"/>
      <c r="M36" s="1023"/>
    </row>
    <row r="37" spans="1:13">
      <c r="A37" s="1021"/>
      <c r="B37" s="1022"/>
      <c r="C37" s="1022"/>
      <c r="D37" s="1022"/>
      <c r="E37" s="1022"/>
      <c r="F37" s="1022"/>
      <c r="G37" s="1022"/>
      <c r="H37" s="1022"/>
      <c r="I37" s="1022"/>
      <c r="J37" s="1022"/>
      <c r="K37" s="1022"/>
      <c r="L37" s="1022"/>
      <c r="M37" s="1023"/>
    </row>
    <row r="38" spans="1:13">
      <c r="A38" s="1021"/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3"/>
    </row>
    <row r="39" spans="1:13">
      <c r="A39" s="1021"/>
      <c r="B39" s="1022"/>
      <c r="C39" s="1022"/>
      <c r="D39" s="1022"/>
      <c r="E39" s="1022"/>
      <c r="F39" s="1022"/>
      <c r="G39" s="1022"/>
      <c r="H39" s="1022"/>
      <c r="I39" s="1022"/>
      <c r="J39" s="1022"/>
      <c r="K39" s="1022"/>
      <c r="L39" s="1022"/>
      <c r="M39" s="1023"/>
    </row>
    <row r="40" spans="1:13">
      <c r="A40" s="1021"/>
      <c r="B40" s="1022"/>
      <c r="C40" s="1022"/>
      <c r="D40" s="1022"/>
      <c r="E40" s="1022"/>
      <c r="F40" s="1022"/>
      <c r="G40" s="1022"/>
      <c r="H40" s="1022"/>
      <c r="I40" s="1022"/>
      <c r="J40" s="1022"/>
      <c r="K40" s="1022"/>
      <c r="L40" s="1022"/>
      <c r="M40" s="1023"/>
    </row>
    <row r="41" spans="1:13">
      <c r="A41" s="1021"/>
      <c r="B41" s="1022"/>
      <c r="C41" s="1022"/>
      <c r="D41" s="1022"/>
      <c r="E41" s="1022"/>
      <c r="F41" s="1022"/>
      <c r="G41" s="1022"/>
      <c r="H41" s="1022"/>
      <c r="I41" s="1022"/>
      <c r="J41" s="1022"/>
      <c r="K41" s="1022"/>
      <c r="L41" s="1022"/>
      <c r="M41" s="1023"/>
    </row>
    <row r="42" spans="1:13">
      <c r="A42" s="1021"/>
      <c r="B42" s="1022"/>
      <c r="C42" s="1022"/>
      <c r="D42" s="1022"/>
      <c r="E42" s="1022"/>
      <c r="F42" s="1022"/>
      <c r="G42" s="1022"/>
      <c r="H42" s="1022"/>
      <c r="I42" s="1022"/>
      <c r="J42" s="1022"/>
      <c r="K42" s="1022"/>
      <c r="L42" s="1022"/>
      <c r="M42" s="1023"/>
    </row>
    <row r="43" spans="1:13">
      <c r="A43" s="1021"/>
      <c r="B43" s="1022"/>
      <c r="C43" s="1022"/>
      <c r="D43" s="1022"/>
      <c r="E43" s="1022"/>
      <c r="F43" s="1022"/>
      <c r="G43" s="1022"/>
      <c r="H43" s="1022"/>
      <c r="I43" s="1022"/>
      <c r="J43" s="1022"/>
      <c r="K43" s="1022"/>
      <c r="L43" s="1022"/>
      <c r="M43" s="1023"/>
    </row>
    <row r="44" spans="1:13">
      <c r="A44" s="1021"/>
      <c r="B44" s="1022"/>
      <c r="C44" s="1022"/>
      <c r="D44" s="1022"/>
      <c r="E44" s="1022"/>
      <c r="F44" s="1022"/>
      <c r="G44" s="1022"/>
      <c r="H44" s="1022"/>
      <c r="I44" s="1022"/>
      <c r="J44" s="1022"/>
      <c r="K44" s="1022"/>
      <c r="L44" s="1022"/>
      <c r="M44" s="1023"/>
    </row>
    <row r="45" spans="1:13">
      <c r="A45" s="1021"/>
      <c r="B45" s="1022"/>
      <c r="C45" s="1022"/>
      <c r="D45" s="1022"/>
      <c r="E45" s="1022"/>
      <c r="F45" s="1022"/>
      <c r="G45" s="1022"/>
      <c r="H45" s="1022"/>
      <c r="I45" s="1022"/>
      <c r="J45" s="1022"/>
      <c r="K45" s="1022"/>
      <c r="L45" s="1022"/>
      <c r="M45" s="1023"/>
    </row>
    <row r="46" spans="1:13">
      <c r="A46" s="1021"/>
      <c r="B46" s="1022"/>
      <c r="C46" s="1022"/>
      <c r="D46" s="1022"/>
      <c r="E46" s="1022"/>
      <c r="F46" s="1022"/>
      <c r="G46" s="1022"/>
      <c r="H46" s="1022"/>
      <c r="I46" s="1022"/>
      <c r="J46" s="1022"/>
      <c r="K46" s="1022"/>
      <c r="L46" s="1022"/>
      <c r="M46" s="1023"/>
    </row>
    <row r="47" spans="1:13">
      <c r="A47" s="1021"/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3"/>
    </row>
    <row r="48" spans="1:13">
      <c r="A48" s="1021"/>
      <c r="B48" s="1022"/>
      <c r="C48" s="1022"/>
      <c r="D48" s="1022"/>
      <c r="E48" s="1022"/>
      <c r="F48" s="1022"/>
      <c r="G48" s="1022"/>
      <c r="H48" s="1022"/>
      <c r="I48" s="1022"/>
      <c r="J48" s="1022"/>
      <c r="K48" s="1022"/>
      <c r="L48" s="1022"/>
      <c r="M48" s="1023"/>
    </row>
    <row r="49" spans="1:13">
      <c r="A49" s="1021"/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3"/>
    </row>
    <row r="50" spans="1:13">
      <c r="A50" s="1021"/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3"/>
    </row>
    <row r="51" spans="1:13">
      <c r="A51" s="1021"/>
      <c r="B51" s="1022"/>
      <c r="C51" s="1022"/>
      <c r="D51" s="1022"/>
      <c r="E51" s="1022"/>
      <c r="F51" s="1022"/>
      <c r="G51" s="1022"/>
      <c r="H51" s="1022"/>
      <c r="I51" s="1022"/>
      <c r="J51" s="1022"/>
      <c r="K51" s="1022"/>
      <c r="L51" s="1022"/>
      <c r="M51" s="1023"/>
    </row>
    <row r="52" spans="1:13">
      <c r="A52" s="1021"/>
      <c r="B52" s="1022"/>
      <c r="C52" s="1022"/>
      <c r="D52" s="1022"/>
      <c r="E52" s="1022"/>
      <c r="F52" s="1022"/>
      <c r="G52" s="1022"/>
      <c r="H52" s="1022"/>
      <c r="I52" s="1022"/>
      <c r="J52" s="1022"/>
      <c r="K52" s="1022"/>
      <c r="L52" s="1022"/>
      <c r="M52" s="1023"/>
    </row>
    <row r="53" spans="1:13">
      <c r="A53" s="1021"/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3"/>
    </row>
    <row r="54" spans="1:13">
      <c r="A54" s="1021"/>
      <c r="B54" s="1022"/>
      <c r="C54" s="1022"/>
      <c r="D54" s="1022"/>
      <c r="E54" s="1022"/>
      <c r="F54" s="1022"/>
      <c r="G54" s="1022"/>
      <c r="H54" s="1022"/>
      <c r="I54" s="1022"/>
      <c r="J54" s="1022"/>
      <c r="K54" s="1022"/>
      <c r="L54" s="1022"/>
      <c r="M54" s="1023"/>
    </row>
    <row r="55" spans="1:13">
      <c r="A55" s="1021"/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3"/>
    </row>
    <row r="56" spans="1:13">
      <c r="A56" s="1021"/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3"/>
    </row>
    <row r="57" spans="1:13">
      <c r="A57" s="1021"/>
      <c r="B57" s="1022"/>
      <c r="C57" s="1022"/>
      <c r="D57" s="1022"/>
      <c r="E57" s="1022"/>
      <c r="F57" s="1022"/>
      <c r="G57" s="1022"/>
      <c r="H57" s="1022"/>
      <c r="I57" s="1022"/>
      <c r="J57" s="1022"/>
      <c r="K57" s="1022"/>
      <c r="L57" s="1022"/>
      <c r="M57" s="1023"/>
    </row>
    <row r="58" spans="1:13">
      <c r="A58" s="1021"/>
      <c r="B58" s="1022"/>
      <c r="C58" s="1022"/>
      <c r="D58" s="1022"/>
      <c r="E58" s="1022"/>
      <c r="F58" s="1022"/>
      <c r="G58" s="1022"/>
      <c r="H58" s="1022"/>
      <c r="I58" s="1022"/>
      <c r="J58" s="1022"/>
      <c r="K58" s="1022"/>
      <c r="L58" s="1022"/>
      <c r="M58" s="1023"/>
    </row>
    <row r="59" spans="1:13">
      <c r="A59" s="1021"/>
      <c r="B59" s="1022"/>
      <c r="C59" s="1022"/>
      <c r="D59" s="1022"/>
      <c r="E59" s="1022"/>
      <c r="F59" s="1022"/>
      <c r="G59" s="1022"/>
      <c r="H59" s="1022"/>
      <c r="I59" s="1022"/>
      <c r="J59" s="1022"/>
      <c r="K59" s="1022"/>
      <c r="L59" s="1022"/>
      <c r="M59" s="1023"/>
    </row>
    <row r="60" spans="1:13">
      <c r="A60" s="1021"/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3"/>
    </row>
    <row r="61" spans="1:13">
      <c r="A61" s="1021"/>
      <c r="B61" s="1022"/>
      <c r="C61" s="1022"/>
      <c r="D61" s="1022"/>
      <c r="E61" s="1022"/>
      <c r="F61" s="1022"/>
      <c r="G61" s="1022"/>
      <c r="H61" s="1022"/>
      <c r="I61" s="1022"/>
      <c r="J61" s="1022"/>
      <c r="K61" s="1022"/>
      <c r="L61" s="1022"/>
      <c r="M61" s="1023"/>
    </row>
    <row r="62" spans="1:13">
      <c r="A62" s="1021"/>
      <c r="B62" s="1022"/>
      <c r="C62" s="1022"/>
      <c r="D62" s="1022"/>
      <c r="E62" s="1022"/>
      <c r="F62" s="1022"/>
      <c r="G62" s="1022"/>
      <c r="H62" s="1022"/>
      <c r="I62" s="1022"/>
      <c r="J62" s="1022"/>
      <c r="K62" s="1022"/>
      <c r="L62" s="1022"/>
      <c r="M62" s="1023"/>
    </row>
    <row r="63" spans="1:13">
      <c r="A63" s="1021"/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3"/>
    </row>
    <row r="64" spans="1:13">
      <c r="A64" s="1021"/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3"/>
    </row>
    <row r="65" spans="1:13">
      <c r="A65" s="1021"/>
      <c r="B65" s="1022"/>
      <c r="C65" s="1022"/>
      <c r="D65" s="1022"/>
      <c r="E65" s="1022"/>
      <c r="F65" s="1022"/>
      <c r="G65" s="1022"/>
      <c r="H65" s="1022"/>
      <c r="I65" s="1022"/>
      <c r="J65" s="1022"/>
      <c r="K65" s="1022"/>
      <c r="L65" s="1022"/>
      <c r="M65" s="1023"/>
    </row>
    <row r="66" spans="1:13">
      <c r="A66" s="1021"/>
      <c r="B66" s="1022"/>
      <c r="C66" s="1022"/>
      <c r="D66" s="1022"/>
      <c r="E66" s="1022"/>
      <c r="F66" s="1022"/>
      <c r="G66" s="1022"/>
      <c r="H66" s="1022"/>
      <c r="I66" s="1022"/>
      <c r="J66" s="1022"/>
      <c r="K66" s="1022"/>
      <c r="L66" s="1022"/>
      <c r="M66" s="1023"/>
    </row>
    <row r="67" spans="1:13">
      <c r="A67" s="1021"/>
      <c r="B67" s="1022"/>
      <c r="C67" s="1022"/>
      <c r="D67" s="1022"/>
      <c r="E67" s="1022"/>
      <c r="F67" s="1022"/>
      <c r="G67" s="1022"/>
      <c r="H67" s="1022"/>
      <c r="I67" s="1022"/>
      <c r="J67" s="1022"/>
      <c r="K67" s="1022"/>
      <c r="L67" s="1022"/>
      <c r="M67" s="1023"/>
    </row>
    <row r="68" spans="1:13">
      <c r="A68" s="1021"/>
      <c r="B68" s="1022"/>
      <c r="C68" s="1022"/>
      <c r="D68" s="1022"/>
      <c r="E68" s="1022"/>
      <c r="F68" s="1022"/>
      <c r="G68" s="1022"/>
      <c r="H68" s="1022"/>
      <c r="I68" s="1022"/>
      <c r="J68" s="1022"/>
      <c r="K68" s="1022"/>
      <c r="L68" s="1022"/>
      <c r="M68" s="1023"/>
    </row>
    <row r="69" spans="1:13">
      <c r="A69" s="1021"/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3"/>
    </row>
    <row r="70" spans="1:13">
      <c r="A70" s="1021"/>
      <c r="B70" s="1022"/>
      <c r="C70" s="1022"/>
      <c r="D70" s="1022"/>
      <c r="E70" s="1022"/>
      <c r="F70" s="1022"/>
      <c r="G70" s="1022"/>
      <c r="H70" s="1022"/>
      <c r="I70" s="1022"/>
      <c r="J70" s="1022"/>
      <c r="K70" s="1022"/>
      <c r="L70" s="1022"/>
      <c r="M70" s="1023"/>
    </row>
    <row r="71" spans="1:13">
      <c r="A71" s="1021"/>
      <c r="B71" s="1022"/>
      <c r="C71" s="1022"/>
      <c r="D71" s="1022"/>
      <c r="E71" s="1022"/>
      <c r="F71" s="1022"/>
      <c r="G71" s="1022"/>
      <c r="H71" s="1022"/>
      <c r="I71" s="1022"/>
      <c r="J71" s="1022"/>
      <c r="K71" s="1022"/>
      <c r="L71" s="1022"/>
      <c r="M71" s="1023"/>
    </row>
    <row r="72" spans="1:13">
      <c r="A72" s="1021"/>
      <c r="B72" s="1022"/>
      <c r="C72" s="1022"/>
      <c r="D72" s="1022"/>
      <c r="E72" s="1022"/>
      <c r="F72" s="1022"/>
      <c r="G72" s="1022"/>
      <c r="H72" s="1022"/>
      <c r="I72" s="1022"/>
      <c r="J72" s="1022"/>
      <c r="K72" s="1022"/>
      <c r="L72" s="1022"/>
      <c r="M72" s="1023"/>
    </row>
    <row r="73" spans="1:13">
      <c r="A73" s="1021"/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3"/>
    </row>
    <row r="74" spans="1:13">
      <c r="A74" s="1021"/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3"/>
    </row>
    <row r="75" spans="1:13">
      <c r="A75" s="1021"/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3"/>
    </row>
    <row r="76" spans="1:13">
      <c r="A76" s="1021"/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3"/>
    </row>
    <row r="77" spans="1:13">
      <c r="A77" s="1021"/>
      <c r="B77" s="1022"/>
      <c r="C77" s="1022"/>
      <c r="D77" s="1022"/>
      <c r="E77" s="1022"/>
      <c r="F77" s="1022"/>
      <c r="G77" s="1022"/>
      <c r="H77" s="1022"/>
      <c r="I77" s="1022"/>
      <c r="J77" s="1022"/>
      <c r="K77" s="1022"/>
      <c r="L77" s="1022"/>
      <c r="M77" s="1023"/>
    </row>
    <row r="78" spans="1:13">
      <c r="A78" s="1021"/>
      <c r="B78" s="1022"/>
      <c r="C78" s="1022"/>
      <c r="D78" s="1022"/>
      <c r="E78" s="1022"/>
      <c r="F78" s="1022"/>
      <c r="G78" s="1022"/>
      <c r="H78" s="1022"/>
      <c r="I78" s="1022"/>
      <c r="J78" s="1022"/>
      <c r="K78" s="1022"/>
      <c r="L78" s="1022"/>
      <c r="M78" s="1023"/>
    </row>
    <row r="79" spans="1:13">
      <c r="A79" s="1021"/>
      <c r="B79" s="1022"/>
      <c r="C79" s="1022"/>
      <c r="D79" s="1022"/>
      <c r="E79" s="1022"/>
      <c r="F79" s="1022"/>
      <c r="G79" s="1022"/>
      <c r="H79" s="1022"/>
      <c r="I79" s="1022"/>
      <c r="J79" s="1022"/>
      <c r="K79" s="1022"/>
      <c r="L79" s="1022"/>
      <c r="M79" s="1023"/>
    </row>
    <row r="80" spans="1:13">
      <c r="A80" s="1021"/>
      <c r="B80" s="1022"/>
      <c r="C80" s="1022"/>
      <c r="D80" s="1022"/>
      <c r="E80" s="1022"/>
      <c r="F80" s="1022"/>
      <c r="G80" s="1022"/>
      <c r="H80" s="1022"/>
      <c r="I80" s="1022"/>
      <c r="J80" s="1022"/>
      <c r="K80" s="1022"/>
      <c r="L80" s="1022"/>
      <c r="M80" s="1023"/>
    </row>
    <row r="81" spans="1:13">
      <c r="A81" s="1021"/>
      <c r="B81" s="1022"/>
      <c r="C81" s="1022"/>
      <c r="D81" s="1022"/>
      <c r="E81" s="1022"/>
      <c r="F81" s="1022"/>
      <c r="G81" s="1022"/>
      <c r="H81" s="1022"/>
      <c r="I81" s="1022"/>
      <c r="J81" s="1022"/>
      <c r="K81" s="1022"/>
      <c r="L81" s="1022"/>
      <c r="M81" s="1023"/>
    </row>
    <row r="82" spans="1:13">
      <c r="A82" s="1021"/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3"/>
    </row>
    <row r="83" spans="1:13">
      <c r="A83" s="1021"/>
      <c r="B83" s="1022"/>
      <c r="C83" s="1022"/>
      <c r="D83" s="1022"/>
      <c r="E83" s="1022"/>
      <c r="F83" s="1022"/>
      <c r="G83" s="1022"/>
      <c r="H83" s="1022"/>
      <c r="I83" s="1022"/>
      <c r="J83" s="1022"/>
      <c r="K83" s="1022"/>
      <c r="L83" s="1022"/>
      <c r="M83" s="1023"/>
    </row>
    <row r="84" spans="1:13">
      <c r="A84" s="1021"/>
      <c r="B84" s="1022"/>
      <c r="C84" s="1022"/>
      <c r="D84" s="1022"/>
      <c r="E84" s="1022"/>
      <c r="F84" s="1022"/>
      <c r="G84" s="1022"/>
      <c r="H84" s="1022"/>
      <c r="I84" s="1022"/>
      <c r="J84" s="1022"/>
      <c r="K84" s="1022"/>
      <c r="L84" s="1022"/>
      <c r="M84" s="1023"/>
    </row>
    <row r="85" spans="1:13">
      <c r="A85" s="1021"/>
      <c r="B85" s="1022"/>
      <c r="C85" s="1022"/>
      <c r="D85" s="1022"/>
      <c r="E85" s="1022"/>
      <c r="F85" s="1022"/>
      <c r="G85" s="1022"/>
      <c r="H85" s="1022"/>
      <c r="I85" s="1022"/>
      <c r="J85" s="1022"/>
      <c r="K85" s="1022"/>
      <c r="L85" s="1022"/>
      <c r="M85" s="1023"/>
    </row>
    <row r="86" spans="1:13">
      <c r="A86" s="1021"/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3"/>
    </row>
    <row r="87" spans="1:13">
      <c r="A87" s="1021"/>
      <c r="B87" s="1022"/>
      <c r="C87" s="1022"/>
      <c r="D87" s="1022"/>
      <c r="E87" s="1022"/>
      <c r="F87" s="1022"/>
      <c r="G87" s="1022"/>
      <c r="H87" s="1022"/>
      <c r="I87" s="1022"/>
      <c r="J87" s="1022"/>
      <c r="K87" s="1022"/>
      <c r="L87" s="1022"/>
      <c r="M87" s="1023"/>
    </row>
    <row r="88" spans="1:13">
      <c r="A88" s="1021"/>
      <c r="B88" s="1022"/>
      <c r="C88" s="1022"/>
      <c r="D88" s="1022"/>
      <c r="E88" s="1022"/>
      <c r="F88" s="1022"/>
      <c r="G88" s="1022"/>
      <c r="H88" s="1022"/>
      <c r="I88" s="1022"/>
      <c r="J88" s="1022"/>
      <c r="K88" s="1022"/>
      <c r="L88" s="1022"/>
      <c r="M88" s="1023"/>
    </row>
    <row r="89" spans="1:13">
      <c r="A89" s="1021"/>
      <c r="B89" s="1022"/>
      <c r="C89" s="1022"/>
      <c r="D89" s="1022"/>
      <c r="E89" s="1022"/>
      <c r="F89" s="1022"/>
      <c r="G89" s="1022"/>
      <c r="H89" s="1022"/>
      <c r="I89" s="1022"/>
      <c r="J89" s="1022"/>
      <c r="K89" s="1022"/>
      <c r="L89" s="1022"/>
      <c r="M89" s="1023"/>
    </row>
    <row r="90" spans="1:13">
      <c r="A90" s="1021"/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3"/>
    </row>
    <row r="91" spans="1:13">
      <c r="A91" s="1021"/>
      <c r="B91" s="1022"/>
      <c r="C91" s="1022"/>
      <c r="D91" s="1022"/>
      <c r="E91" s="1022"/>
      <c r="F91" s="1022"/>
      <c r="G91" s="1022"/>
      <c r="H91" s="1022"/>
      <c r="I91" s="1022"/>
      <c r="J91" s="1022"/>
      <c r="K91" s="1022"/>
      <c r="L91" s="1022"/>
      <c r="M91" s="1023"/>
    </row>
    <row r="92" spans="1:13">
      <c r="A92" s="1021"/>
      <c r="B92" s="1022"/>
      <c r="C92" s="1022"/>
      <c r="D92" s="1022"/>
      <c r="E92" s="1022"/>
      <c r="F92" s="1022"/>
      <c r="G92" s="1022"/>
      <c r="H92" s="1022"/>
      <c r="I92" s="1022"/>
      <c r="J92" s="1022"/>
      <c r="K92" s="1022"/>
      <c r="L92" s="1022"/>
      <c r="M92" s="1023"/>
    </row>
    <row r="93" spans="1:13">
      <c r="A93" s="1021"/>
      <c r="B93" s="1022"/>
      <c r="C93" s="1022"/>
      <c r="D93" s="1022"/>
      <c r="E93" s="1022"/>
      <c r="F93" s="1022"/>
      <c r="G93" s="1022"/>
      <c r="H93" s="1022"/>
      <c r="I93" s="1022"/>
      <c r="J93" s="1022"/>
      <c r="K93" s="1022"/>
      <c r="L93" s="1022"/>
      <c r="M93" s="1023"/>
    </row>
    <row r="94" spans="1:13">
      <c r="A94" s="1021"/>
      <c r="B94" s="1022"/>
      <c r="C94" s="1022"/>
      <c r="D94" s="1022"/>
      <c r="E94" s="1022"/>
      <c r="F94" s="1022"/>
      <c r="G94" s="1022"/>
      <c r="H94" s="1022"/>
      <c r="I94" s="1022"/>
      <c r="J94" s="1022"/>
      <c r="K94" s="1022"/>
      <c r="L94" s="1022"/>
      <c r="M94" s="1023"/>
    </row>
    <row r="95" spans="1:13">
      <c r="A95" s="1021"/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3"/>
    </row>
    <row r="96" spans="1:13">
      <c r="A96" s="1021"/>
      <c r="B96" s="1022"/>
      <c r="C96" s="1022"/>
      <c r="D96" s="1022"/>
      <c r="E96" s="1022"/>
      <c r="F96" s="1022"/>
      <c r="G96" s="1022"/>
      <c r="H96" s="1022"/>
      <c r="I96" s="1022"/>
      <c r="J96" s="1022"/>
      <c r="K96" s="1022"/>
      <c r="L96" s="1022"/>
      <c r="M96" s="1023"/>
    </row>
    <row r="97" spans="1:13">
      <c r="A97" s="1021"/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3"/>
    </row>
    <row r="98" spans="1:13">
      <c r="A98" s="1021"/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3"/>
    </row>
    <row r="99" spans="1:13">
      <c r="A99" s="1021"/>
      <c r="B99" s="1022"/>
      <c r="C99" s="1022"/>
      <c r="D99" s="1022"/>
      <c r="E99" s="1022"/>
      <c r="F99" s="1022"/>
      <c r="G99" s="1022"/>
      <c r="H99" s="1022"/>
      <c r="I99" s="1022"/>
      <c r="J99" s="1022"/>
      <c r="K99" s="1022"/>
      <c r="L99" s="1022"/>
      <c r="M99" s="1023"/>
    </row>
    <row r="100" spans="1:13">
      <c r="A100" s="1021"/>
      <c r="B100" s="1022"/>
      <c r="C100" s="1022"/>
      <c r="D100" s="1022"/>
      <c r="E100" s="1022"/>
      <c r="F100" s="1022"/>
      <c r="G100" s="1022"/>
      <c r="H100" s="1022"/>
      <c r="I100" s="1022"/>
      <c r="J100" s="1022"/>
      <c r="K100" s="1022"/>
      <c r="L100" s="1022"/>
      <c r="M100" s="1023"/>
    </row>
    <row r="101" spans="1:13">
      <c r="A101" s="1021"/>
      <c r="B101" s="1022"/>
      <c r="C101" s="1022"/>
      <c r="D101" s="1022"/>
      <c r="E101" s="1022"/>
      <c r="F101" s="1022"/>
      <c r="G101" s="1022"/>
      <c r="H101" s="1022"/>
      <c r="I101" s="1022"/>
      <c r="J101" s="1022"/>
      <c r="K101" s="1022"/>
      <c r="L101" s="1022"/>
      <c r="M101" s="1023"/>
    </row>
    <row r="102" spans="1:13">
      <c r="A102" s="1021"/>
      <c r="B102" s="1022"/>
      <c r="C102" s="1022"/>
      <c r="D102" s="1022"/>
      <c r="E102" s="1022"/>
      <c r="F102" s="1022"/>
      <c r="G102" s="1022"/>
      <c r="H102" s="1022"/>
      <c r="I102" s="1022"/>
      <c r="J102" s="1022"/>
      <c r="K102" s="1022"/>
      <c r="L102" s="1022"/>
      <c r="M102" s="1023"/>
    </row>
    <row r="103" spans="1:13">
      <c r="A103" s="1021"/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3"/>
    </row>
    <row r="104" spans="1:13">
      <c r="A104" s="1021"/>
      <c r="B104" s="1022"/>
      <c r="C104" s="1022"/>
      <c r="D104" s="1022"/>
      <c r="E104" s="1022"/>
      <c r="F104" s="1022"/>
      <c r="G104" s="1022"/>
      <c r="H104" s="1022"/>
      <c r="I104" s="1022"/>
      <c r="J104" s="1022"/>
      <c r="K104" s="1022"/>
      <c r="L104" s="1022"/>
      <c r="M104" s="1023"/>
    </row>
    <row r="105" spans="1:13">
      <c r="A105" s="1021"/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3"/>
    </row>
    <row r="106" spans="1:13">
      <c r="A106" s="1021"/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3"/>
    </row>
    <row r="107" spans="1:13">
      <c r="A107" s="1021"/>
      <c r="B107" s="1022"/>
      <c r="C107" s="1022"/>
      <c r="D107" s="1022"/>
      <c r="E107" s="1022"/>
      <c r="F107" s="1022"/>
      <c r="G107" s="1022"/>
      <c r="H107" s="1022"/>
      <c r="I107" s="1022"/>
      <c r="J107" s="1022"/>
      <c r="K107" s="1022"/>
      <c r="L107" s="1022"/>
      <c r="M107" s="1023"/>
    </row>
    <row r="108" spans="1:13">
      <c r="A108" s="1021"/>
      <c r="B108" s="1022"/>
      <c r="C108" s="1022"/>
      <c r="D108" s="1022"/>
      <c r="E108" s="1022"/>
      <c r="F108" s="1022"/>
      <c r="G108" s="1022"/>
      <c r="H108" s="1022"/>
      <c r="I108" s="1022"/>
      <c r="J108" s="1022"/>
      <c r="K108" s="1022"/>
      <c r="L108" s="1022"/>
      <c r="M108" s="1023"/>
    </row>
    <row r="109" spans="1:13">
      <c r="A109" s="1021"/>
      <c r="B109" s="1022"/>
      <c r="C109" s="1022"/>
      <c r="D109" s="1022"/>
      <c r="E109" s="1022"/>
      <c r="F109" s="1022"/>
      <c r="G109" s="1022"/>
      <c r="H109" s="1022"/>
      <c r="I109" s="1022"/>
      <c r="J109" s="1022"/>
      <c r="K109" s="1022"/>
      <c r="L109" s="1022"/>
      <c r="M109" s="1023"/>
    </row>
    <row r="110" spans="1:13">
      <c r="A110" s="1021"/>
      <c r="B110" s="1022"/>
      <c r="C110" s="1022"/>
      <c r="D110" s="1022"/>
      <c r="E110" s="1022"/>
      <c r="F110" s="1022"/>
      <c r="G110" s="1022"/>
      <c r="H110" s="1022"/>
      <c r="I110" s="1022"/>
      <c r="J110" s="1022"/>
      <c r="K110" s="1022"/>
      <c r="L110" s="1022"/>
      <c r="M110" s="1023"/>
    </row>
    <row r="111" spans="1:13">
      <c r="A111" s="1021"/>
      <c r="B111" s="1022"/>
      <c r="C111" s="1022"/>
      <c r="D111" s="1022"/>
      <c r="E111" s="1022"/>
      <c r="F111" s="1022"/>
      <c r="G111" s="1022"/>
      <c r="H111" s="1022"/>
      <c r="I111" s="1022"/>
      <c r="J111" s="1022"/>
      <c r="K111" s="1022"/>
      <c r="L111" s="1022"/>
      <c r="M111" s="1023"/>
    </row>
    <row r="112" spans="1:13">
      <c r="A112" s="1021"/>
      <c r="B112" s="1022"/>
      <c r="C112" s="1022"/>
      <c r="D112" s="1022"/>
      <c r="E112" s="1022"/>
      <c r="F112" s="1022"/>
      <c r="G112" s="1022"/>
      <c r="H112" s="1022"/>
      <c r="I112" s="1022"/>
      <c r="J112" s="1022"/>
      <c r="K112" s="1022"/>
      <c r="L112" s="1022"/>
      <c r="M112" s="1023"/>
    </row>
    <row r="113" spans="1:13">
      <c r="A113" s="1021"/>
      <c r="B113" s="1022"/>
      <c r="C113" s="1022"/>
      <c r="D113" s="1022"/>
      <c r="E113" s="1022"/>
      <c r="F113" s="1022"/>
      <c r="G113" s="1022"/>
      <c r="H113" s="1022"/>
      <c r="I113" s="1022"/>
      <c r="J113" s="1022"/>
      <c r="K113" s="1022"/>
      <c r="L113" s="1022"/>
      <c r="M113" s="1023"/>
    </row>
    <row r="114" spans="1:13">
      <c r="A114" s="1021"/>
      <c r="B114" s="1022"/>
      <c r="C114" s="1022"/>
      <c r="D114" s="1022"/>
      <c r="E114" s="1022"/>
      <c r="F114" s="1022"/>
      <c r="G114" s="1022"/>
      <c r="H114" s="1022"/>
      <c r="I114" s="1022"/>
      <c r="J114" s="1022"/>
      <c r="K114" s="1022"/>
      <c r="L114" s="1022"/>
      <c r="M114" s="1023"/>
    </row>
    <row r="115" spans="1:13">
      <c r="A115" s="1021"/>
      <c r="B115" s="1022"/>
      <c r="C115" s="1022"/>
      <c r="D115" s="1022"/>
      <c r="E115" s="1022"/>
      <c r="F115" s="1022"/>
      <c r="G115" s="1022"/>
      <c r="H115" s="1022"/>
      <c r="I115" s="1022"/>
      <c r="J115" s="1022"/>
      <c r="K115" s="1022"/>
      <c r="L115" s="1022"/>
      <c r="M115" s="1023"/>
    </row>
    <row r="116" spans="1:13">
      <c r="A116" s="1021"/>
      <c r="B116" s="1022"/>
      <c r="C116" s="1022"/>
      <c r="D116" s="1022"/>
      <c r="E116" s="1022"/>
      <c r="F116" s="1022"/>
      <c r="G116" s="1022"/>
      <c r="H116" s="1022"/>
      <c r="I116" s="1022"/>
      <c r="J116" s="1022"/>
      <c r="K116" s="1022"/>
      <c r="L116" s="1022"/>
      <c r="M116" s="1023"/>
    </row>
    <row r="117" spans="1:13">
      <c r="A117" s="1021"/>
      <c r="B117" s="1022"/>
      <c r="C117" s="1022"/>
      <c r="D117" s="1022"/>
      <c r="E117" s="1022"/>
      <c r="F117" s="1022"/>
      <c r="G117" s="1022"/>
      <c r="H117" s="1022"/>
      <c r="I117" s="1022"/>
      <c r="J117" s="1022"/>
      <c r="K117" s="1022"/>
      <c r="L117" s="1022"/>
      <c r="M117" s="1023"/>
    </row>
    <row r="118" spans="1:13">
      <c r="A118" s="1021"/>
      <c r="B118" s="1022"/>
      <c r="C118" s="1022"/>
      <c r="D118" s="1022"/>
      <c r="E118" s="1022"/>
      <c r="F118" s="1022"/>
      <c r="G118" s="1022"/>
      <c r="H118" s="1022"/>
      <c r="I118" s="1022"/>
      <c r="J118" s="1022"/>
      <c r="K118" s="1022"/>
      <c r="L118" s="1022"/>
      <c r="M118" s="1023"/>
    </row>
    <row r="119" spans="1:13">
      <c r="A119" s="1024"/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6"/>
    </row>
  </sheetData>
  <mergeCells count="10">
    <mergeCell ref="A1:A4"/>
    <mergeCell ref="A6:M119"/>
    <mergeCell ref="B1:K2"/>
    <mergeCell ref="L1:M2"/>
    <mergeCell ref="C3:E3"/>
    <mergeCell ref="C4:E4"/>
    <mergeCell ref="G3:I3"/>
    <mergeCell ref="J3:K3"/>
    <mergeCell ref="G4:I4"/>
    <mergeCell ref="J4:K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topLeftCell="A3" workbookViewId="0">
      <selection activeCell="O19" sqref="O19"/>
    </sheetView>
  </sheetViews>
  <sheetFormatPr defaultColWidth="11" defaultRowHeight="13.2"/>
  <cols>
    <col min="1" max="9" width="10.09765625" style="85" customWidth="1"/>
    <col min="10" max="256" width="11" style="85"/>
    <col min="257" max="265" width="10.09765625" style="85" customWidth="1"/>
    <col min="266" max="512" width="11" style="85"/>
    <col min="513" max="521" width="10.09765625" style="85" customWidth="1"/>
    <col min="522" max="768" width="11" style="85"/>
    <col min="769" max="777" width="10.09765625" style="85" customWidth="1"/>
    <col min="778" max="1024" width="11" style="85"/>
    <col min="1025" max="1033" width="10.09765625" style="85" customWidth="1"/>
    <col min="1034" max="1280" width="11" style="85"/>
    <col min="1281" max="1289" width="10.09765625" style="85" customWidth="1"/>
    <col min="1290" max="1536" width="11" style="85"/>
    <col min="1537" max="1545" width="10.09765625" style="85" customWidth="1"/>
    <col min="1546" max="1792" width="11" style="85"/>
    <col min="1793" max="1801" width="10.09765625" style="85" customWidth="1"/>
    <col min="1802" max="2048" width="11" style="85"/>
    <col min="2049" max="2057" width="10.09765625" style="85" customWidth="1"/>
    <col min="2058" max="2304" width="11" style="85"/>
    <col min="2305" max="2313" width="10.09765625" style="85" customWidth="1"/>
    <col min="2314" max="2560" width="11" style="85"/>
    <col min="2561" max="2569" width="10.09765625" style="85" customWidth="1"/>
    <col min="2570" max="2816" width="11" style="85"/>
    <col min="2817" max="2825" width="10.09765625" style="85" customWidth="1"/>
    <col min="2826" max="3072" width="11" style="85"/>
    <col min="3073" max="3081" width="10.09765625" style="85" customWidth="1"/>
    <col min="3082" max="3328" width="11" style="85"/>
    <col min="3329" max="3337" width="10.09765625" style="85" customWidth="1"/>
    <col min="3338" max="3584" width="11" style="85"/>
    <col min="3585" max="3593" width="10.09765625" style="85" customWidth="1"/>
    <col min="3594" max="3840" width="11" style="85"/>
    <col min="3841" max="3849" width="10.09765625" style="85" customWidth="1"/>
    <col min="3850" max="4096" width="11" style="85"/>
    <col min="4097" max="4105" width="10.09765625" style="85" customWidth="1"/>
    <col min="4106" max="4352" width="11" style="85"/>
    <col min="4353" max="4361" width="10.09765625" style="85" customWidth="1"/>
    <col min="4362" max="4608" width="11" style="85"/>
    <col min="4609" max="4617" width="10.09765625" style="85" customWidth="1"/>
    <col min="4618" max="4864" width="11" style="85"/>
    <col min="4865" max="4873" width="10.09765625" style="85" customWidth="1"/>
    <col min="4874" max="5120" width="11" style="85"/>
    <col min="5121" max="5129" width="10.09765625" style="85" customWidth="1"/>
    <col min="5130" max="5376" width="11" style="85"/>
    <col min="5377" max="5385" width="10.09765625" style="85" customWidth="1"/>
    <col min="5386" max="5632" width="11" style="85"/>
    <col min="5633" max="5641" width="10.09765625" style="85" customWidth="1"/>
    <col min="5642" max="5888" width="11" style="85"/>
    <col min="5889" max="5897" width="10.09765625" style="85" customWidth="1"/>
    <col min="5898" max="6144" width="11" style="85"/>
    <col min="6145" max="6153" width="10.09765625" style="85" customWidth="1"/>
    <col min="6154" max="6400" width="11" style="85"/>
    <col min="6401" max="6409" width="10.09765625" style="85" customWidth="1"/>
    <col min="6410" max="6656" width="11" style="85"/>
    <col min="6657" max="6665" width="10.09765625" style="85" customWidth="1"/>
    <col min="6666" max="6912" width="11" style="85"/>
    <col min="6913" max="6921" width="10.09765625" style="85" customWidth="1"/>
    <col min="6922" max="7168" width="11" style="85"/>
    <col min="7169" max="7177" width="10.09765625" style="85" customWidth="1"/>
    <col min="7178" max="7424" width="11" style="85"/>
    <col min="7425" max="7433" width="10.09765625" style="85" customWidth="1"/>
    <col min="7434" max="7680" width="11" style="85"/>
    <col min="7681" max="7689" width="10.09765625" style="85" customWidth="1"/>
    <col min="7690" max="7936" width="11" style="85"/>
    <col min="7937" max="7945" width="10.09765625" style="85" customWidth="1"/>
    <col min="7946" max="8192" width="11" style="85"/>
    <col min="8193" max="8201" width="10.09765625" style="85" customWidth="1"/>
    <col min="8202" max="8448" width="11" style="85"/>
    <col min="8449" max="8457" width="10.09765625" style="85" customWidth="1"/>
    <col min="8458" max="8704" width="11" style="85"/>
    <col min="8705" max="8713" width="10.09765625" style="85" customWidth="1"/>
    <col min="8714" max="8960" width="11" style="85"/>
    <col min="8961" max="8969" width="10.09765625" style="85" customWidth="1"/>
    <col min="8970" max="9216" width="11" style="85"/>
    <col min="9217" max="9225" width="10.09765625" style="85" customWidth="1"/>
    <col min="9226" max="9472" width="11" style="85"/>
    <col min="9473" max="9481" width="10.09765625" style="85" customWidth="1"/>
    <col min="9482" max="9728" width="11" style="85"/>
    <col min="9729" max="9737" width="10.09765625" style="85" customWidth="1"/>
    <col min="9738" max="9984" width="11" style="85"/>
    <col min="9985" max="9993" width="10.09765625" style="85" customWidth="1"/>
    <col min="9994" max="10240" width="11" style="85"/>
    <col min="10241" max="10249" width="10.09765625" style="85" customWidth="1"/>
    <col min="10250" max="10496" width="11" style="85"/>
    <col min="10497" max="10505" width="10.09765625" style="85" customWidth="1"/>
    <col min="10506" max="10752" width="11" style="85"/>
    <col min="10753" max="10761" width="10.09765625" style="85" customWidth="1"/>
    <col min="10762" max="11008" width="11" style="85"/>
    <col min="11009" max="11017" width="10.09765625" style="85" customWidth="1"/>
    <col min="11018" max="11264" width="11" style="85"/>
    <col min="11265" max="11273" width="10.09765625" style="85" customWidth="1"/>
    <col min="11274" max="11520" width="11" style="85"/>
    <col min="11521" max="11529" width="10.09765625" style="85" customWidth="1"/>
    <col min="11530" max="11776" width="11" style="85"/>
    <col min="11777" max="11785" width="10.09765625" style="85" customWidth="1"/>
    <col min="11786" max="12032" width="11" style="85"/>
    <col min="12033" max="12041" width="10.09765625" style="85" customWidth="1"/>
    <col min="12042" max="12288" width="11" style="85"/>
    <col min="12289" max="12297" width="10.09765625" style="85" customWidth="1"/>
    <col min="12298" max="12544" width="11" style="85"/>
    <col min="12545" max="12553" width="10.09765625" style="85" customWidth="1"/>
    <col min="12554" max="12800" width="11" style="85"/>
    <col min="12801" max="12809" width="10.09765625" style="85" customWidth="1"/>
    <col min="12810" max="13056" width="11" style="85"/>
    <col min="13057" max="13065" width="10.09765625" style="85" customWidth="1"/>
    <col min="13066" max="13312" width="11" style="85"/>
    <col min="13313" max="13321" width="10.09765625" style="85" customWidth="1"/>
    <col min="13322" max="13568" width="11" style="85"/>
    <col min="13569" max="13577" width="10.09765625" style="85" customWidth="1"/>
    <col min="13578" max="13824" width="11" style="85"/>
    <col min="13825" max="13833" width="10.09765625" style="85" customWidth="1"/>
    <col min="13834" max="14080" width="11" style="85"/>
    <col min="14081" max="14089" width="10.09765625" style="85" customWidth="1"/>
    <col min="14090" max="14336" width="11" style="85"/>
    <col min="14337" max="14345" width="10.09765625" style="85" customWidth="1"/>
    <col min="14346" max="14592" width="11" style="85"/>
    <col min="14593" max="14601" width="10.09765625" style="85" customWidth="1"/>
    <col min="14602" max="14848" width="11" style="85"/>
    <col min="14849" max="14857" width="10.09765625" style="85" customWidth="1"/>
    <col min="14858" max="15104" width="11" style="85"/>
    <col min="15105" max="15113" width="10.09765625" style="85" customWidth="1"/>
    <col min="15114" max="15360" width="11" style="85"/>
    <col min="15361" max="15369" width="10.09765625" style="85" customWidth="1"/>
    <col min="15370" max="15616" width="11" style="85"/>
    <col min="15617" max="15625" width="10.09765625" style="85" customWidth="1"/>
    <col min="15626" max="15872" width="11" style="85"/>
    <col min="15873" max="15881" width="10.09765625" style="85" customWidth="1"/>
    <col min="15882" max="16128" width="11" style="85"/>
    <col min="16129" max="16137" width="10.09765625" style="85" customWidth="1"/>
    <col min="16138" max="16384" width="11" style="85"/>
  </cols>
  <sheetData>
    <row r="1" spans="1:15" s="99" customFormat="1" ht="18.75" customHeight="1">
      <c r="A1" s="1045"/>
      <c r="B1" s="1036" t="s">
        <v>37</v>
      </c>
      <c r="C1" s="1037"/>
      <c r="D1" s="1037"/>
      <c r="E1" s="1037"/>
      <c r="F1" s="1037"/>
      <c r="G1" s="1037"/>
      <c r="H1" s="1037"/>
      <c r="I1" s="1037"/>
      <c r="J1" s="1037"/>
      <c r="K1" s="1038"/>
      <c r="L1" s="961" t="s">
        <v>265</v>
      </c>
      <c r="M1" s="962"/>
    </row>
    <row r="2" spans="1:15" s="98" customFormat="1" ht="18.75" customHeight="1">
      <c r="A2" s="1046"/>
      <c r="B2" s="1039"/>
      <c r="C2" s="1040"/>
      <c r="D2" s="1040"/>
      <c r="E2" s="1040"/>
      <c r="F2" s="1040"/>
      <c r="G2" s="1040"/>
      <c r="H2" s="1040"/>
      <c r="I2" s="1040"/>
      <c r="J2" s="1040"/>
      <c r="K2" s="1041"/>
      <c r="L2" s="963"/>
      <c r="M2" s="964"/>
      <c r="N2" s="99"/>
      <c r="O2" s="99"/>
    </row>
    <row r="3" spans="1:15" s="98" customFormat="1" ht="18.75" customHeight="1">
      <c r="A3" s="1046"/>
      <c r="B3" s="247" t="s">
        <v>0</v>
      </c>
      <c r="C3" s="954" t="s">
        <v>97</v>
      </c>
      <c r="D3" s="955"/>
      <c r="E3" s="1033"/>
      <c r="F3" s="248" t="s">
        <v>98</v>
      </c>
      <c r="G3" s="1042" t="str">
        <f>'Fr-01'!$B$6</f>
        <v>บริษัท มัลติแบกซ์ จำกัด (มหาชน)</v>
      </c>
      <c r="H3" s="1043"/>
      <c r="I3" s="1043"/>
      <c r="J3" s="1043"/>
      <c r="K3" s="1044"/>
      <c r="L3" s="247" t="s">
        <v>99</v>
      </c>
      <c r="M3" s="249">
        <v>3</v>
      </c>
      <c r="N3" s="99"/>
      <c r="O3" s="99"/>
    </row>
    <row r="4" spans="1:15" ht="18.75" customHeight="1">
      <c r="A4" s="1047"/>
      <c r="B4" s="247" t="s">
        <v>1</v>
      </c>
      <c r="C4" s="954" t="s">
        <v>251</v>
      </c>
      <c r="D4" s="955"/>
      <c r="E4" s="1033"/>
      <c r="F4" s="248" t="s">
        <v>101</v>
      </c>
      <c r="G4" s="1042" t="str">
        <f>'Fr-01'!$G$4</f>
        <v>บริษัท อีโค เซ็นทริก คอร์ปอเรชั่น จำกัด</v>
      </c>
      <c r="H4" s="1043"/>
      <c r="I4" s="1043"/>
      <c r="J4" s="1043"/>
      <c r="K4" s="1044"/>
      <c r="L4" s="247" t="s">
        <v>116</v>
      </c>
      <c r="M4" s="817">
        <f>'Fr-01'!J4</f>
        <v>243820</v>
      </c>
    </row>
    <row r="5" spans="1:15" ht="18.75" customHeight="1">
      <c r="A5" s="1063"/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5"/>
    </row>
    <row r="6" spans="1:15" ht="12" customHeight="1">
      <c r="A6" s="1054"/>
      <c r="B6" s="1055"/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6"/>
    </row>
    <row r="7" spans="1:15" ht="12.75" customHeight="1">
      <c r="A7" s="1057"/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8"/>
    </row>
    <row r="8" spans="1:15" ht="12.75" customHeight="1">
      <c r="A8" s="1059"/>
      <c r="B8" s="1059"/>
      <c r="C8" s="1059"/>
      <c r="D8" s="1059"/>
      <c r="E8" s="1059"/>
      <c r="F8" s="1059"/>
      <c r="G8" s="1059"/>
      <c r="H8" s="1059"/>
      <c r="I8" s="1059"/>
      <c r="J8" s="1059"/>
      <c r="K8" s="1059"/>
      <c r="L8" s="1059"/>
      <c r="M8" s="1060"/>
    </row>
    <row r="9" spans="1:15" ht="12.75" customHeight="1">
      <c r="A9" s="1059"/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60"/>
    </row>
    <row r="10" spans="1:15" ht="12.75" customHeight="1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60"/>
    </row>
    <row r="11" spans="1:15" ht="12.75" customHeight="1">
      <c r="A11" s="1059"/>
      <c r="B11" s="1059"/>
      <c r="C11" s="1059"/>
      <c r="D11" s="1059"/>
      <c r="E11" s="1059"/>
      <c r="F11" s="1059"/>
      <c r="G11" s="1059"/>
      <c r="H11" s="1059"/>
      <c r="I11" s="1059"/>
      <c r="J11" s="1059"/>
      <c r="K11" s="1059"/>
      <c r="L11" s="1059"/>
      <c r="M11" s="1060"/>
    </row>
    <row r="12" spans="1:15" ht="12.75" customHeight="1">
      <c r="A12" s="1059"/>
      <c r="B12" s="1059"/>
      <c r="C12" s="1059"/>
      <c r="D12" s="1059"/>
      <c r="E12" s="1059"/>
      <c r="F12" s="1059"/>
      <c r="G12" s="1059"/>
      <c r="H12" s="1059"/>
      <c r="I12" s="1059"/>
      <c r="J12" s="1059"/>
      <c r="K12" s="1059"/>
      <c r="L12" s="1059"/>
      <c r="M12" s="1060"/>
    </row>
    <row r="13" spans="1:15" ht="12.75" customHeight="1">
      <c r="A13" s="1059"/>
      <c r="B13" s="1059"/>
      <c r="C13" s="1059"/>
      <c r="D13" s="1059"/>
      <c r="E13" s="1059"/>
      <c r="F13" s="1059"/>
      <c r="G13" s="1059"/>
      <c r="H13" s="1059"/>
      <c r="I13" s="1059"/>
      <c r="J13" s="1059"/>
      <c r="K13" s="1059"/>
      <c r="L13" s="1059"/>
      <c r="M13" s="1060"/>
    </row>
    <row r="14" spans="1:15" ht="12.75" customHeight="1">
      <c r="A14" s="1059"/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60"/>
    </row>
    <row r="15" spans="1:15" ht="12.75" customHeight="1">
      <c r="A15" s="1059"/>
      <c r="B15" s="1059"/>
      <c r="C15" s="1059"/>
      <c r="D15" s="1059"/>
      <c r="E15" s="1059"/>
      <c r="F15" s="1059"/>
      <c r="G15" s="1059"/>
      <c r="H15" s="1059"/>
      <c r="I15" s="1059"/>
      <c r="J15" s="1059"/>
      <c r="K15" s="1059"/>
      <c r="L15" s="1059"/>
      <c r="M15" s="1060"/>
    </row>
    <row r="16" spans="1:15" ht="12.75" customHeight="1">
      <c r="A16" s="1059"/>
      <c r="B16" s="1059"/>
      <c r="C16" s="1059"/>
      <c r="D16" s="1059"/>
      <c r="E16" s="1059"/>
      <c r="F16" s="1059"/>
      <c r="G16" s="1059"/>
      <c r="H16" s="1059"/>
      <c r="I16" s="1059"/>
      <c r="J16" s="1059"/>
      <c r="K16" s="1059"/>
      <c r="L16" s="1059"/>
      <c r="M16" s="1060"/>
    </row>
    <row r="17" spans="1:13" ht="12.75" customHeight="1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60"/>
    </row>
    <row r="18" spans="1:13" ht="12.75" customHeight="1">
      <c r="A18" s="1059"/>
      <c r="B18" s="1059"/>
      <c r="C18" s="1059"/>
      <c r="D18" s="1059"/>
      <c r="E18" s="1059"/>
      <c r="F18" s="1059"/>
      <c r="G18" s="1059"/>
      <c r="H18" s="1059"/>
      <c r="I18" s="1059"/>
      <c r="J18" s="1059"/>
      <c r="K18" s="1059"/>
      <c r="L18" s="1059"/>
      <c r="M18" s="1060"/>
    </row>
    <row r="19" spans="1:13" ht="12.75" customHeight="1">
      <c r="A19" s="1059"/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60"/>
    </row>
    <row r="20" spans="1:13" ht="12.75" customHeight="1">
      <c r="A20" s="1059"/>
      <c r="B20" s="1059"/>
      <c r="C20" s="1059"/>
      <c r="D20" s="1059"/>
      <c r="E20" s="1059"/>
      <c r="F20" s="1059"/>
      <c r="G20" s="1059"/>
      <c r="H20" s="1059"/>
      <c r="I20" s="1059"/>
      <c r="J20" s="1059"/>
      <c r="K20" s="1059"/>
      <c r="L20" s="1059"/>
      <c r="M20" s="1060"/>
    </row>
    <row r="21" spans="1:13" ht="12.75" customHeight="1">
      <c r="A21" s="1059"/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60"/>
    </row>
    <row r="22" spans="1:13" ht="12.75" customHeight="1">
      <c r="A22" s="1059"/>
      <c r="B22" s="1059"/>
      <c r="C22" s="1059"/>
      <c r="D22" s="1059"/>
      <c r="E22" s="1059"/>
      <c r="F22" s="1059"/>
      <c r="G22" s="1059"/>
      <c r="H22" s="1059"/>
      <c r="I22" s="1059"/>
      <c r="J22" s="1059"/>
      <c r="K22" s="1059"/>
      <c r="L22" s="1059"/>
      <c r="M22" s="1060"/>
    </row>
    <row r="23" spans="1:13" ht="12.75" customHeight="1">
      <c r="A23" s="1059"/>
      <c r="B23" s="1059"/>
      <c r="C23" s="1059"/>
      <c r="D23" s="1059"/>
      <c r="E23" s="1059"/>
      <c r="F23" s="1059"/>
      <c r="G23" s="1059"/>
      <c r="H23" s="1059"/>
      <c r="I23" s="1059"/>
      <c r="J23" s="1059"/>
      <c r="K23" s="1059"/>
      <c r="L23" s="1059"/>
      <c r="M23" s="1060"/>
    </row>
    <row r="24" spans="1:13" ht="12.75" customHeight="1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60"/>
    </row>
    <row r="25" spans="1:13" ht="12.75" customHeight="1">
      <c r="A25" s="1059"/>
      <c r="B25" s="1059"/>
      <c r="C25" s="1059"/>
      <c r="D25" s="1059"/>
      <c r="E25" s="1059"/>
      <c r="F25" s="1059"/>
      <c r="G25" s="1059"/>
      <c r="H25" s="1059"/>
      <c r="I25" s="1059"/>
      <c r="J25" s="1059"/>
      <c r="K25" s="1059"/>
      <c r="L25" s="1059"/>
      <c r="M25" s="1060"/>
    </row>
    <row r="26" spans="1:13" ht="12.75" customHeight="1">
      <c r="A26" s="1059"/>
      <c r="B26" s="1059"/>
      <c r="C26" s="1059"/>
      <c r="D26" s="1059"/>
      <c r="E26" s="1059"/>
      <c r="F26" s="1059"/>
      <c r="G26" s="1059"/>
      <c r="H26" s="1059"/>
      <c r="I26" s="1059"/>
      <c r="J26" s="1059"/>
      <c r="K26" s="1059"/>
      <c r="L26" s="1059"/>
      <c r="M26" s="1060"/>
    </row>
    <row r="27" spans="1:13" ht="12.75" customHeight="1">
      <c r="A27" s="1059"/>
      <c r="B27" s="1059"/>
      <c r="C27" s="1059"/>
      <c r="D27" s="1059"/>
      <c r="E27" s="1059"/>
      <c r="F27" s="1059"/>
      <c r="G27" s="1059"/>
      <c r="H27" s="1059"/>
      <c r="I27" s="1059"/>
      <c r="J27" s="1059"/>
      <c r="K27" s="1059"/>
      <c r="L27" s="1059"/>
      <c r="M27" s="1060"/>
    </row>
    <row r="28" spans="1:13" ht="12.75" customHeight="1">
      <c r="A28" s="1059"/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60"/>
    </row>
    <row r="29" spans="1:13" ht="12.75" customHeight="1">
      <c r="A29" s="1059"/>
      <c r="B29" s="1059"/>
      <c r="C29" s="1059"/>
      <c r="D29" s="1059"/>
      <c r="E29" s="1059"/>
      <c r="F29" s="1059"/>
      <c r="G29" s="1059"/>
      <c r="H29" s="1059"/>
      <c r="I29" s="1059"/>
      <c r="J29" s="1059"/>
      <c r="K29" s="1059"/>
      <c r="L29" s="1059"/>
      <c r="M29" s="1060"/>
    </row>
    <row r="30" spans="1:13" ht="12.75" customHeight="1">
      <c r="A30" s="1059"/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60"/>
    </row>
    <row r="31" spans="1:13" ht="12.75" customHeight="1">
      <c r="A31" s="1059"/>
      <c r="B31" s="1059"/>
      <c r="C31" s="1059"/>
      <c r="D31" s="1059"/>
      <c r="E31" s="1059"/>
      <c r="F31" s="1059"/>
      <c r="G31" s="1059"/>
      <c r="H31" s="1059"/>
      <c r="I31" s="1059"/>
      <c r="J31" s="1059"/>
      <c r="K31" s="1059"/>
      <c r="L31" s="1059"/>
      <c r="M31" s="1060"/>
    </row>
    <row r="32" spans="1:13" ht="12.75" customHeight="1">
      <c r="A32" s="1059"/>
      <c r="B32" s="1059"/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60"/>
    </row>
    <row r="33" spans="1:13" ht="12.75" customHeight="1">
      <c r="A33" s="1059"/>
      <c r="B33" s="1059"/>
      <c r="C33" s="1059"/>
      <c r="D33" s="1059"/>
      <c r="E33" s="1059"/>
      <c r="F33" s="1059"/>
      <c r="G33" s="1059"/>
      <c r="H33" s="1059"/>
      <c r="I33" s="1059"/>
      <c r="J33" s="1059"/>
      <c r="K33" s="1059"/>
      <c r="L33" s="1059"/>
      <c r="M33" s="1060"/>
    </row>
    <row r="34" spans="1:13" ht="12.75" customHeight="1">
      <c r="A34" s="1061"/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2"/>
    </row>
    <row r="35" spans="1:13" ht="13.5" customHeight="1">
      <c r="A35" s="91" t="s">
        <v>35</v>
      </c>
      <c r="B35" s="1048" t="str">
        <f>'Fr-01'!G4</f>
        <v>บริษัท อีโค เซ็นทริก คอร์ปอเรชั่น จำกัด</v>
      </c>
      <c r="C35" s="1049"/>
      <c r="D35" s="1049"/>
      <c r="E35" s="1049"/>
      <c r="F35" s="1049"/>
      <c r="G35" s="1049"/>
      <c r="H35" s="1049"/>
      <c r="I35" s="1050"/>
      <c r="J35" s="91" t="s">
        <v>36</v>
      </c>
      <c r="K35" s="1051">
        <v>243829</v>
      </c>
      <c r="L35" s="1052"/>
      <c r="M35" s="1053"/>
    </row>
    <row r="36" spans="1:13" s="97" customFormat="1" ht="21.7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</row>
    <row r="39" spans="1:13" ht="18.75" customHeight="1"/>
  </sheetData>
  <mergeCells count="12">
    <mergeCell ref="B35:I35"/>
    <mergeCell ref="K35:M35"/>
    <mergeCell ref="A6:M6"/>
    <mergeCell ref="A7:M34"/>
    <mergeCell ref="A5:M5"/>
    <mergeCell ref="B1:K2"/>
    <mergeCell ref="G3:K3"/>
    <mergeCell ref="G4:K4"/>
    <mergeCell ref="L1:M2"/>
    <mergeCell ref="A1:A4"/>
    <mergeCell ref="C3:E3"/>
    <mergeCell ref="C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P86"/>
  <sheetViews>
    <sheetView topLeftCell="A13" zoomScale="72" zoomScaleNormal="72" workbookViewId="0">
      <selection activeCell="S25" sqref="S25"/>
    </sheetView>
  </sheetViews>
  <sheetFormatPr defaultColWidth="11" defaultRowHeight="13.2"/>
  <cols>
    <col min="1" max="1" width="10.09765625" style="85" customWidth="1"/>
    <col min="2" max="2" width="13.296875" style="85" customWidth="1"/>
    <col min="3" max="3" width="43" style="85" customWidth="1"/>
    <col min="4" max="13" width="12.3984375" style="85" customWidth="1"/>
    <col min="14" max="14" width="12.8984375" style="85" bestFit="1" customWidth="1"/>
    <col min="15" max="18" width="11" style="85"/>
    <col min="19" max="19" width="13.69921875" style="85" bestFit="1" customWidth="1"/>
    <col min="20" max="244" width="11" style="85"/>
    <col min="245" max="253" width="10.09765625" style="85" customWidth="1"/>
    <col min="254" max="500" width="11" style="85"/>
    <col min="501" max="509" width="10.09765625" style="85" customWidth="1"/>
    <col min="510" max="756" width="11" style="85"/>
    <col min="757" max="765" width="10.09765625" style="85" customWidth="1"/>
    <col min="766" max="1012" width="11" style="85"/>
    <col min="1013" max="1021" width="10.09765625" style="85" customWidth="1"/>
    <col min="1022" max="1268" width="11" style="85"/>
    <col min="1269" max="1277" width="10.09765625" style="85" customWidth="1"/>
    <col min="1278" max="1524" width="11" style="85"/>
    <col min="1525" max="1533" width="10.09765625" style="85" customWidth="1"/>
    <col min="1534" max="1780" width="11" style="85"/>
    <col min="1781" max="1789" width="10.09765625" style="85" customWidth="1"/>
    <col min="1790" max="2036" width="11" style="85"/>
    <col min="2037" max="2045" width="10.09765625" style="85" customWidth="1"/>
    <col min="2046" max="2292" width="11" style="85"/>
    <col min="2293" max="2301" width="10.09765625" style="85" customWidth="1"/>
    <col min="2302" max="2548" width="11" style="85"/>
    <col min="2549" max="2557" width="10.09765625" style="85" customWidth="1"/>
    <col min="2558" max="2804" width="11" style="85"/>
    <col min="2805" max="2813" width="10.09765625" style="85" customWidth="1"/>
    <col min="2814" max="3060" width="11" style="85"/>
    <col min="3061" max="3069" width="10.09765625" style="85" customWidth="1"/>
    <col min="3070" max="3316" width="11" style="85"/>
    <col min="3317" max="3325" width="10.09765625" style="85" customWidth="1"/>
    <col min="3326" max="3572" width="11" style="85"/>
    <col min="3573" max="3581" width="10.09765625" style="85" customWidth="1"/>
    <col min="3582" max="3828" width="11" style="85"/>
    <col min="3829" max="3837" width="10.09765625" style="85" customWidth="1"/>
    <col min="3838" max="4084" width="11" style="85"/>
    <col min="4085" max="4093" width="10.09765625" style="85" customWidth="1"/>
    <col min="4094" max="4340" width="11" style="85"/>
    <col min="4341" max="4349" width="10.09765625" style="85" customWidth="1"/>
    <col min="4350" max="4596" width="11" style="85"/>
    <col min="4597" max="4605" width="10.09765625" style="85" customWidth="1"/>
    <col min="4606" max="4852" width="11" style="85"/>
    <col min="4853" max="4861" width="10.09765625" style="85" customWidth="1"/>
    <col min="4862" max="5108" width="11" style="85"/>
    <col min="5109" max="5117" width="10.09765625" style="85" customWidth="1"/>
    <col min="5118" max="5364" width="11" style="85"/>
    <col min="5365" max="5373" width="10.09765625" style="85" customWidth="1"/>
    <col min="5374" max="5620" width="11" style="85"/>
    <col min="5621" max="5629" width="10.09765625" style="85" customWidth="1"/>
    <col min="5630" max="5876" width="11" style="85"/>
    <col min="5877" max="5885" width="10.09765625" style="85" customWidth="1"/>
    <col min="5886" max="6132" width="11" style="85"/>
    <col min="6133" max="6141" width="10.09765625" style="85" customWidth="1"/>
    <col min="6142" max="6388" width="11" style="85"/>
    <col min="6389" max="6397" width="10.09765625" style="85" customWidth="1"/>
    <col min="6398" max="6644" width="11" style="85"/>
    <col min="6645" max="6653" width="10.09765625" style="85" customWidth="1"/>
    <col min="6654" max="6900" width="11" style="85"/>
    <col min="6901" max="6909" width="10.09765625" style="85" customWidth="1"/>
    <col min="6910" max="7156" width="11" style="85"/>
    <col min="7157" max="7165" width="10.09765625" style="85" customWidth="1"/>
    <col min="7166" max="7412" width="11" style="85"/>
    <col min="7413" max="7421" width="10.09765625" style="85" customWidth="1"/>
    <col min="7422" max="7668" width="11" style="85"/>
    <col min="7669" max="7677" width="10.09765625" style="85" customWidth="1"/>
    <col min="7678" max="7924" width="11" style="85"/>
    <col min="7925" max="7933" width="10.09765625" style="85" customWidth="1"/>
    <col min="7934" max="8180" width="11" style="85"/>
    <col min="8181" max="8189" width="10.09765625" style="85" customWidth="1"/>
    <col min="8190" max="8436" width="11" style="85"/>
    <col min="8437" max="8445" width="10.09765625" style="85" customWidth="1"/>
    <col min="8446" max="8692" width="11" style="85"/>
    <col min="8693" max="8701" width="10.09765625" style="85" customWidth="1"/>
    <col min="8702" max="8948" width="11" style="85"/>
    <col min="8949" max="8957" width="10.09765625" style="85" customWidth="1"/>
    <col min="8958" max="9204" width="11" style="85"/>
    <col min="9205" max="9213" width="10.09765625" style="85" customWidth="1"/>
    <col min="9214" max="9460" width="11" style="85"/>
    <col min="9461" max="9469" width="10.09765625" style="85" customWidth="1"/>
    <col min="9470" max="9716" width="11" style="85"/>
    <col min="9717" max="9725" width="10.09765625" style="85" customWidth="1"/>
    <col min="9726" max="9972" width="11" style="85"/>
    <col min="9973" max="9981" width="10.09765625" style="85" customWidth="1"/>
    <col min="9982" max="10228" width="11" style="85"/>
    <col min="10229" max="10237" width="10.09765625" style="85" customWidth="1"/>
    <col min="10238" max="10484" width="11" style="85"/>
    <col min="10485" max="10493" width="10.09765625" style="85" customWidth="1"/>
    <col min="10494" max="10740" width="11" style="85"/>
    <col min="10741" max="10749" width="10.09765625" style="85" customWidth="1"/>
    <col min="10750" max="10996" width="11" style="85"/>
    <col min="10997" max="11005" width="10.09765625" style="85" customWidth="1"/>
    <col min="11006" max="11252" width="11" style="85"/>
    <col min="11253" max="11261" width="10.09765625" style="85" customWidth="1"/>
    <col min="11262" max="11508" width="11" style="85"/>
    <col min="11509" max="11517" width="10.09765625" style="85" customWidth="1"/>
    <col min="11518" max="11764" width="11" style="85"/>
    <col min="11765" max="11773" width="10.09765625" style="85" customWidth="1"/>
    <col min="11774" max="12020" width="11" style="85"/>
    <col min="12021" max="12029" width="10.09765625" style="85" customWidth="1"/>
    <col min="12030" max="12276" width="11" style="85"/>
    <col min="12277" max="12285" width="10.09765625" style="85" customWidth="1"/>
    <col min="12286" max="12532" width="11" style="85"/>
    <col min="12533" max="12541" width="10.09765625" style="85" customWidth="1"/>
    <col min="12542" max="12788" width="11" style="85"/>
    <col min="12789" max="12797" width="10.09765625" style="85" customWidth="1"/>
    <col min="12798" max="13044" width="11" style="85"/>
    <col min="13045" max="13053" width="10.09765625" style="85" customWidth="1"/>
    <col min="13054" max="13300" width="11" style="85"/>
    <col min="13301" max="13309" width="10.09765625" style="85" customWidth="1"/>
    <col min="13310" max="13556" width="11" style="85"/>
    <col min="13557" max="13565" width="10.09765625" style="85" customWidth="1"/>
    <col min="13566" max="13812" width="11" style="85"/>
    <col min="13813" max="13821" width="10.09765625" style="85" customWidth="1"/>
    <col min="13822" max="14068" width="11" style="85"/>
    <col min="14069" max="14077" width="10.09765625" style="85" customWidth="1"/>
    <col min="14078" max="14324" width="11" style="85"/>
    <col min="14325" max="14333" width="10.09765625" style="85" customWidth="1"/>
    <col min="14334" max="14580" width="11" style="85"/>
    <col min="14581" max="14589" width="10.09765625" style="85" customWidth="1"/>
    <col min="14590" max="14836" width="11" style="85"/>
    <col min="14837" max="14845" width="10.09765625" style="85" customWidth="1"/>
    <col min="14846" max="15092" width="11" style="85"/>
    <col min="15093" max="15101" width="10.09765625" style="85" customWidth="1"/>
    <col min="15102" max="15348" width="11" style="85"/>
    <col min="15349" max="15357" width="10.09765625" style="85" customWidth="1"/>
    <col min="15358" max="15604" width="11" style="85"/>
    <col min="15605" max="15613" width="10.09765625" style="85" customWidth="1"/>
    <col min="15614" max="15860" width="11" style="85"/>
    <col min="15861" max="15869" width="10.09765625" style="85" customWidth="1"/>
    <col min="15870" max="16116" width="11" style="85"/>
    <col min="16117" max="16125" width="10.09765625" style="85" customWidth="1"/>
    <col min="16126" max="16384" width="11" style="85"/>
  </cols>
  <sheetData>
    <row r="1" spans="1:16" s="99" customFormat="1">
      <c r="A1" s="1045"/>
      <c r="B1" s="1086" t="s">
        <v>212</v>
      </c>
      <c r="C1" s="1086"/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7" t="s">
        <v>265</v>
      </c>
      <c r="P1" s="962"/>
    </row>
    <row r="2" spans="1:16" s="98" customFormat="1">
      <c r="A2" s="1046"/>
      <c r="B2" s="1086"/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8"/>
      <c r="P2" s="964"/>
    </row>
    <row r="3" spans="1:16" s="98" customFormat="1">
      <c r="A3" s="1046"/>
      <c r="B3" s="247" t="s">
        <v>0</v>
      </c>
      <c r="C3" s="1089" t="s">
        <v>266</v>
      </c>
      <c r="D3" s="1089"/>
      <c r="E3" s="248" t="s">
        <v>98</v>
      </c>
      <c r="F3" s="1090" t="str">
        <f>'Fr-01'!G3</f>
        <v>บริษัท มัลติแบกซ์ จำกัด (มหาชน)</v>
      </c>
      <c r="G3" s="1090"/>
      <c r="H3" s="1090"/>
      <c r="I3" s="1090"/>
      <c r="J3" s="1090"/>
      <c r="K3" s="1090"/>
      <c r="L3" s="1090"/>
      <c r="M3" s="1090"/>
      <c r="N3" s="1090"/>
      <c r="O3" s="247" t="s">
        <v>99</v>
      </c>
      <c r="P3" s="249">
        <v>3</v>
      </c>
    </row>
    <row r="4" spans="1:16">
      <c r="A4" s="1047"/>
      <c r="B4" s="247" t="s">
        <v>1</v>
      </c>
      <c r="C4" s="1090" t="s">
        <v>250</v>
      </c>
      <c r="D4" s="1090"/>
      <c r="E4" s="248" t="s">
        <v>101</v>
      </c>
      <c r="F4" s="1090" t="str">
        <f>'Fr-01'!G4</f>
        <v>บริษัท อีโค เซ็นทริก คอร์ปอเรชั่น จำกัด</v>
      </c>
      <c r="G4" s="1090"/>
      <c r="H4" s="1090"/>
      <c r="I4" s="1090"/>
      <c r="J4" s="1090"/>
      <c r="K4" s="1090"/>
      <c r="L4" s="1090"/>
      <c r="M4" s="1090"/>
      <c r="N4" s="1090"/>
      <c r="O4" s="247" t="s">
        <v>116</v>
      </c>
      <c r="P4" s="817">
        <f>'Fr-01'!J4</f>
        <v>243820</v>
      </c>
    </row>
    <row r="5" spans="1:16">
      <c r="A5" s="1091"/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1093"/>
    </row>
    <row r="6" spans="1:16">
      <c r="A6" s="250" t="s">
        <v>213</v>
      </c>
      <c r="B6" s="1094" t="s">
        <v>214</v>
      </c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1095"/>
    </row>
    <row r="7" spans="1:16">
      <c r="A7" s="1096"/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097"/>
      <c r="M7" s="1097"/>
      <c r="N7" s="1097"/>
      <c r="O7" s="1097"/>
      <c r="P7" s="1098"/>
    </row>
    <row r="8" spans="1:16">
      <c r="A8" s="1099" t="s">
        <v>215</v>
      </c>
      <c r="B8" s="1099"/>
      <c r="C8" s="1099" t="s">
        <v>213</v>
      </c>
      <c r="D8" s="1099"/>
      <c r="E8" s="1099"/>
      <c r="F8" s="1099"/>
      <c r="G8" s="1099"/>
      <c r="H8" s="1099"/>
      <c r="I8" s="1099"/>
      <c r="J8" s="1099"/>
      <c r="K8" s="1099"/>
      <c r="L8" s="1099"/>
      <c r="M8" s="1099"/>
      <c r="N8" s="1099"/>
      <c r="O8" s="1099"/>
      <c r="P8" s="1099"/>
    </row>
    <row r="9" spans="1:16" ht="51" customHeight="1">
      <c r="A9" s="1084" t="s">
        <v>216</v>
      </c>
      <c r="B9" s="1084"/>
      <c r="C9" s="1085" t="s">
        <v>217</v>
      </c>
      <c r="D9" s="1085"/>
      <c r="E9" s="1085"/>
      <c r="F9" s="1085"/>
      <c r="G9" s="1085"/>
      <c r="H9" s="1085"/>
      <c r="I9" s="1085"/>
      <c r="J9" s="1085"/>
      <c r="K9" s="1085"/>
      <c r="L9" s="1085"/>
      <c r="M9" s="1085"/>
      <c r="N9" s="1085"/>
      <c r="O9" s="1085"/>
      <c r="P9" s="1085"/>
    </row>
    <row r="10" spans="1:16" ht="51" customHeight="1">
      <c r="A10" s="1084" t="s">
        <v>218</v>
      </c>
      <c r="B10" s="1084"/>
      <c r="C10" s="1085" t="s">
        <v>219</v>
      </c>
      <c r="D10" s="1085"/>
      <c r="E10" s="1085"/>
      <c r="F10" s="1085"/>
      <c r="G10" s="1085"/>
      <c r="H10" s="1085"/>
      <c r="I10" s="1085"/>
      <c r="J10" s="1085"/>
      <c r="K10" s="1085"/>
      <c r="L10" s="1085"/>
      <c r="M10" s="1085"/>
      <c r="N10" s="1085"/>
      <c r="O10" s="1085"/>
      <c r="P10" s="1085"/>
    </row>
    <row r="11" spans="1:16" ht="51" customHeight="1">
      <c r="A11" s="1100" t="s">
        <v>220</v>
      </c>
      <c r="B11" s="1100"/>
      <c r="C11" s="1101" t="s">
        <v>221</v>
      </c>
      <c r="D11" s="1102"/>
      <c r="E11" s="1102"/>
      <c r="F11" s="1102"/>
      <c r="G11" s="1102"/>
      <c r="H11" s="1102"/>
      <c r="I11" s="1102"/>
      <c r="J11" s="1102"/>
      <c r="K11" s="1102"/>
      <c r="L11" s="1102"/>
      <c r="M11" s="1102"/>
      <c r="N11" s="1102"/>
      <c r="O11" s="1102"/>
      <c r="P11" s="1103"/>
    </row>
    <row r="12" spans="1:16" ht="51" customHeight="1">
      <c r="A12" s="1100" t="s">
        <v>222</v>
      </c>
      <c r="B12" s="1100"/>
      <c r="C12" s="1101" t="s">
        <v>223</v>
      </c>
      <c r="D12" s="1102"/>
      <c r="E12" s="1102"/>
      <c r="F12" s="1102"/>
      <c r="G12" s="1102"/>
      <c r="H12" s="1102"/>
      <c r="I12" s="1102"/>
      <c r="J12" s="1102"/>
      <c r="K12" s="1102"/>
      <c r="L12" s="1102"/>
      <c r="M12" s="1102"/>
      <c r="N12" s="1102"/>
      <c r="O12" s="1102"/>
      <c r="P12" s="1103"/>
    </row>
    <row r="13" spans="1:16" ht="51" customHeight="1">
      <c r="A13" s="1084" t="s">
        <v>224</v>
      </c>
      <c r="B13" s="1084"/>
      <c r="C13" s="1085" t="s">
        <v>225</v>
      </c>
      <c r="D13" s="1085"/>
      <c r="E13" s="1085"/>
      <c r="F13" s="1085"/>
      <c r="G13" s="1085"/>
      <c r="H13" s="1085"/>
      <c r="I13" s="1085"/>
      <c r="J13" s="1085"/>
      <c r="K13" s="1085"/>
      <c r="L13" s="1085"/>
      <c r="M13" s="1085"/>
      <c r="N13" s="1085"/>
      <c r="O13" s="1085"/>
      <c r="P13" s="1085"/>
    </row>
    <row r="14" spans="1:16" ht="51" customHeight="1">
      <c r="A14" s="1084" t="s">
        <v>226</v>
      </c>
      <c r="B14" s="1084"/>
      <c r="C14" s="1085" t="s">
        <v>227</v>
      </c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</row>
    <row r="15" spans="1:16" ht="51" customHeight="1">
      <c r="A15" s="1084" t="s">
        <v>228</v>
      </c>
      <c r="B15" s="1084"/>
      <c r="C15" s="1085" t="s">
        <v>229</v>
      </c>
      <c r="D15" s="1085"/>
      <c r="E15" s="1085"/>
      <c r="F15" s="1085"/>
      <c r="G15" s="1085"/>
      <c r="H15" s="1085"/>
      <c r="I15" s="1085"/>
      <c r="J15" s="1085"/>
      <c r="K15" s="1085"/>
      <c r="L15" s="1085"/>
      <c r="M15" s="1085"/>
      <c r="N15" s="1085"/>
      <c r="O15" s="1085"/>
      <c r="P15" s="1085"/>
    </row>
    <row r="16" spans="1:16">
      <c r="A16" s="251" t="s">
        <v>230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10"/>
      <c r="O16" s="210"/>
      <c r="P16" s="211"/>
    </row>
    <row r="17" spans="1:16">
      <c r="A17" s="212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1"/>
    </row>
    <row r="19" spans="1:16">
      <c r="A19" s="481"/>
      <c r="B19" s="481"/>
      <c r="C19" s="482" t="s">
        <v>1674</v>
      </c>
      <c r="F19" s="483">
        <v>0.6</v>
      </c>
      <c r="G19" s="483">
        <v>0.2</v>
      </c>
      <c r="H19" s="483">
        <v>0.1</v>
      </c>
      <c r="I19" s="483">
        <v>0.1</v>
      </c>
      <c r="J19" s="481"/>
      <c r="K19" s="481"/>
      <c r="L19" s="481"/>
      <c r="M19" s="481"/>
      <c r="N19" s="481"/>
      <c r="O19" s="210"/>
    </row>
    <row r="20" spans="1:16" ht="52.8">
      <c r="A20" s="253" t="s">
        <v>2815</v>
      </c>
      <c r="B20" s="253" t="s">
        <v>2816</v>
      </c>
      <c r="C20" s="254" t="s">
        <v>231</v>
      </c>
      <c r="D20" s="255" t="s">
        <v>216</v>
      </c>
      <c r="E20" s="255" t="s">
        <v>1675</v>
      </c>
      <c r="F20" s="256" t="s">
        <v>232</v>
      </c>
      <c r="G20" s="484" t="s">
        <v>233</v>
      </c>
      <c r="H20" s="484" t="s">
        <v>1676</v>
      </c>
      <c r="I20" s="485" t="s">
        <v>1677</v>
      </c>
      <c r="J20" s="486" t="s">
        <v>1678</v>
      </c>
      <c r="K20" s="487" t="s">
        <v>1679</v>
      </c>
      <c r="L20" s="487" t="s">
        <v>1680</v>
      </c>
      <c r="M20" s="488" t="s">
        <v>1681</v>
      </c>
      <c r="N20" s="489" t="s">
        <v>1682</v>
      </c>
    </row>
    <row r="21" spans="1:16">
      <c r="A21" s="490">
        <v>3.1</v>
      </c>
      <c r="B21" s="490">
        <v>4.0999999999999996</v>
      </c>
      <c r="C21" s="491" t="s">
        <v>2825</v>
      </c>
      <c r="D21" s="492"/>
      <c r="E21" s="492"/>
      <c r="F21" s="493"/>
      <c r="G21" s="494"/>
      <c r="H21" s="494"/>
      <c r="I21" s="494"/>
      <c r="J21" s="495"/>
      <c r="K21" s="496"/>
      <c r="L21" s="496"/>
      <c r="M21" s="497"/>
      <c r="N21" s="498"/>
    </row>
    <row r="22" spans="1:16">
      <c r="A22" s="490"/>
      <c r="B22" s="490"/>
      <c r="C22" s="499" t="str">
        <f>'Screen scope 3'!C3</f>
        <v>เม็ดพลาสติก LDPE</v>
      </c>
      <c r="D22" s="492">
        <v>1</v>
      </c>
      <c r="E22" s="492">
        <v>1</v>
      </c>
      <c r="F22" s="493">
        <v>3</v>
      </c>
      <c r="G22" s="494">
        <v>3</v>
      </c>
      <c r="H22" s="494">
        <v>3</v>
      </c>
      <c r="I22" s="494">
        <v>5</v>
      </c>
      <c r="J22" s="495">
        <f>D22+E22+(F22*$F$19)+(G22*$G$19)+(H22*$H$19)+(I22*$I$19)</f>
        <v>5.2</v>
      </c>
      <c r="K22" s="496" t="s">
        <v>1683</v>
      </c>
      <c r="L22" s="496" t="s">
        <v>1684</v>
      </c>
      <c r="M22" s="497">
        <f>'Screen scope 3'!I3</f>
        <v>10207.141049999998</v>
      </c>
      <c r="N22" s="497">
        <f>'Screen scope 3'!J3</f>
        <v>26.535074023317591</v>
      </c>
    </row>
    <row r="23" spans="1:16">
      <c r="A23" s="490"/>
      <c r="B23" s="490"/>
      <c r="C23" s="499" t="str">
        <f>'Screen scope 3'!C4</f>
        <v>เม็ดพลาสติก LLDPE</v>
      </c>
      <c r="D23" s="492">
        <v>1</v>
      </c>
      <c r="E23" s="492">
        <v>1</v>
      </c>
      <c r="F23" s="493">
        <v>3</v>
      </c>
      <c r="G23" s="494">
        <v>3</v>
      </c>
      <c r="H23" s="494">
        <v>3</v>
      </c>
      <c r="I23" s="494">
        <v>5</v>
      </c>
      <c r="J23" s="495">
        <f t="shared" ref="J23:J28" si="0">D23+E23+(F23*$F$19)+(G23*$G$19)+(H23*$H$19)+(I23*$I$19)</f>
        <v>5.2</v>
      </c>
      <c r="K23" s="496" t="s">
        <v>1683</v>
      </c>
      <c r="L23" s="496" t="s">
        <v>1684</v>
      </c>
      <c r="M23" s="497">
        <f>'Screen scope 3'!I4</f>
        <v>8014.9068000000007</v>
      </c>
      <c r="N23" s="497">
        <f>'Screen scope 3'!J4</f>
        <v>20.83601511786609</v>
      </c>
    </row>
    <row r="24" spans="1:16">
      <c r="A24" s="490"/>
      <c r="B24" s="490"/>
      <c r="C24" s="499" t="str">
        <f>'Screen scope 3'!C5</f>
        <v>เม็ดพลาสติก HDPE</v>
      </c>
      <c r="D24" s="492">
        <v>1</v>
      </c>
      <c r="E24" s="492">
        <v>1</v>
      </c>
      <c r="F24" s="493">
        <v>3</v>
      </c>
      <c r="G24" s="494">
        <v>3</v>
      </c>
      <c r="H24" s="494">
        <v>3</v>
      </c>
      <c r="I24" s="494">
        <v>5</v>
      </c>
      <c r="J24" s="495">
        <f>D24+E24+(F24*$F$19)+(G24*$G$19)+(H24*$H$19)+(I24*$I$19)</f>
        <v>5.2</v>
      </c>
      <c r="K24" s="496" t="s">
        <v>1683</v>
      </c>
      <c r="L24" s="496" t="s">
        <v>1684</v>
      </c>
      <c r="M24" s="497">
        <f>'Screen scope 3'!I5</f>
        <v>5830.146675</v>
      </c>
      <c r="N24" s="497">
        <f>'Screen scope 3'!J5</f>
        <v>15.156386379898604</v>
      </c>
    </row>
    <row r="25" spans="1:16">
      <c r="A25" s="490"/>
      <c r="B25" s="490"/>
      <c r="C25" s="477" t="str">
        <f>'Screen scope 3'!C6</f>
        <v xml:space="preserve">กระดาษกล่องแป้งหลังเทา </v>
      </c>
      <c r="D25" s="492">
        <v>1</v>
      </c>
      <c r="E25" s="492">
        <v>1</v>
      </c>
      <c r="F25" s="493">
        <v>1</v>
      </c>
      <c r="G25" s="494">
        <v>1</v>
      </c>
      <c r="H25" s="494">
        <v>1</v>
      </c>
      <c r="I25" s="494">
        <v>1</v>
      </c>
      <c r="J25" s="495">
        <f t="shared" si="0"/>
        <v>3.0000000000000004</v>
      </c>
      <c r="K25" s="496" t="s">
        <v>1685</v>
      </c>
      <c r="L25" s="501"/>
      <c r="M25" s="497">
        <f>'Screen scope 3'!I6</f>
        <v>1773.8954930226</v>
      </c>
      <c r="N25" s="500">
        <f>'Screen scope 3'!J6</f>
        <v>4.6115212855791929</v>
      </c>
    </row>
    <row r="26" spans="1:16">
      <c r="A26" s="490"/>
      <c r="B26" s="490"/>
      <c r="C26" s="477" t="str">
        <f>'Screen scope 3'!C7</f>
        <v xml:space="preserve">กระดาษคราฟท์ ชนิดทาลอน </v>
      </c>
      <c r="D26" s="492">
        <v>1</v>
      </c>
      <c r="E26" s="492">
        <v>1</v>
      </c>
      <c r="F26" s="493">
        <v>1</v>
      </c>
      <c r="G26" s="494">
        <v>1</v>
      </c>
      <c r="H26" s="494">
        <v>1</v>
      </c>
      <c r="I26" s="494">
        <v>1</v>
      </c>
      <c r="J26" s="495">
        <f t="shared" ref="J26" si="1">D26+E26+(F26*$F$19)+(G26*$G$19)+(H26*$H$19)+(I26*$I$19)</f>
        <v>3.0000000000000004</v>
      </c>
      <c r="K26" s="496" t="s">
        <v>1685</v>
      </c>
      <c r="L26" s="501"/>
      <c r="M26" s="497">
        <f>'Screen scope 3'!I7</f>
        <v>1372.5213852784002</v>
      </c>
      <c r="N26" s="500">
        <f>'Screen scope 3'!J7</f>
        <v>3.5680859487043879</v>
      </c>
    </row>
    <row r="27" spans="1:16">
      <c r="A27" s="490"/>
      <c r="B27" s="490"/>
      <c r="C27" s="477" t="str">
        <f>'Screen scope 3'!C8</f>
        <v>น้ำประปา (การนิคมฯ)</v>
      </c>
      <c r="D27" s="492">
        <v>1</v>
      </c>
      <c r="E27" s="492">
        <v>1</v>
      </c>
      <c r="F27" s="493">
        <v>1</v>
      </c>
      <c r="G27" s="494">
        <v>1</v>
      </c>
      <c r="H27" s="494">
        <v>1</v>
      </c>
      <c r="I27" s="494">
        <v>1</v>
      </c>
      <c r="J27" s="495">
        <f t="shared" si="0"/>
        <v>3.0000000000000004</v>
      </c>
      <c r="K27" s="496" t="s">
        <v>1685</v>
      </c>
      <c r="L27" s="501"/>
      <c r="M27" s="497">
        <f>'Screen scope 3'!I8</f>
        <v>15.028472499999999</v>
      </c>
      <c r="N27" s="497">
        <f>'Screen scope 3'!J8</f>
        <v>3.9068886017294017E-2</v>
      </c>
    </row>
    <row r="28" spans="1:16">
      <c r="A28" s="490"/>
      <c r="B28" s="490"/>
      <c r="C28" s="477" t="str">
        <f>'Screen scope 3'!C9</f>
        <v>น้ำประปา (กปน)</v>
      </c>
      <c r="D28" s="492">
        <v>1</v>
      </c>
      <c r="E28" s="492">
        <v>1</v>
      </c>
      <c r="F28" s="493">
        <v>1</v>
      </c>
      <c r="G28" s="494">
        <v>1</v>
      </c>
      <c r="H28" s="494">
        <v>1</v>
      </c>
      <c r="I28" s="494">
        <v>1</v>
      </c>
      <c r="J28" s="495">
        <f t="shared" si="0"/>
        <v>3.0000000000000004</v>
      </c>
      <c r="K28" s="496" t="s">
        <v>1685</v>
      </c>
      <c r="L28" s="501"/>
      <c r="M28" s="497">
        <f>'Screen scope 3'!I9</f>
        <v>0.60325320000000004</v>
      </c>
      <c r="N28" s="497">
        <f>'Screen scope 3'!J9</f>
        <v>1.5682518972149613E-3</v>
      </c>
    </row>
    <row r="29" spans="1:16">
      <c r="A29" s="490"/>
      <c r="B29" s="490"/>
      <c r="C29" s="477" t="str">
        <f>'Screen scope 3'!C10</f>
        <v>กระดาษ A4  70 แกรม</v>
      </c>
      <c r="D29" s="492">
        <v>1</v>
      </c>
      <c r="E29" s="492">
        <v>1</v>
      </c>
      <c r="F29" s="493">
        <v>1</v>
      </c>
      <c r="G29" s="494">
        <v>1</v>
      </c>
      <c r="H29" s="494">
        <v>1</v>
      </c>
      <c r="I29" s="494">
        <v>1</v>
      </c>
      <c r="J29" s="495">
        <f t="shared" ref="J29:J30" si="2">D29+E29+(F29*$F$19)+(G29*$G$19)+(H29*$H$19)+(I29*$I$19)</f>
        <v>3.0000000000000004</v>
      </c>
      <c r="K29" s="496" t="s">
        <v>1685</v>
      </c>
      <c r="L29" s="501"/>
      <c r="M29" s="497">
        <f>'Screen scope 3'!I10</f>
        <v>1.0094833979999998</v>
      </c>
      <c r="N29" s="497">
        <f>'Screen scope 3'!J10</f>
        <v>2.6243114070849611E-3</v>
      </c>
    </row>
    <row r="30" spans="1:16">
      <c r="A30" s="490"/>
      <c r="B30" s="490"/>
      <c r="C30" s="477" t="str">
        <f>'Screen scope 3'!C11</f>
        <v>กระดาษ A4  80 แกรม</v>
      </c>
      <c r="D30" s="492">
        <v>1</v>
      </c>
      <c r="E30" s="492">
        <v>1</v>
      </c>
      <c r="F30" s="493">
        <v>1</v>
      </c>
      <c r="G30" s="494">
        <v>1</v>
      </c>
      <c r="H30" s="494">
        <v>1</v>
      </c>
      <c r="I30" s="494">
        <v>1</v>
      </c>
      <c r="J30" s="495">
        <f t="shared" si="2"/>
        <v>3.0000000000000004</v>
      </c>
      <c r="K30" s="496" t="s">
        <v>1685</v>
      </c>
      <c r="L30" s="501"/>
      <c r="M30" s="497">
        <f>'Screen scope 3'!I11</f>
        <v>6.3977649119999986</v>
      </c>
      <c r="N30" s="497">
        <f>'Screen scope 3'!J11</f>
        <v>1.6631999566980013E-2</v>
      </c>
    </row>
    <row r="31" spans="1:16">
      <c r="A31" s="490"/>
      <c r="B31" s="490"/>
      <c r="C31" s="477" t="str">
        <f>'Screen scope 3'!C12</f>
        <v>ปุ๋ยเคมี 16-16-16</v>
      </c>
      <c r="D31" s="492">
        <v>1</v>
      </c>
      <c r="E31" s="492">
        <v>1</v>
      </c>
      <c r="F31" s="493">
        <v>1</v>
      </c>
      <c r="G31" s="494">
        <v>1</v>
      </c>
      <c r="H31" s="494">
        <v>1</v>
      </c>
      <c r="I31" s="494">
        <v>1</v>
      </c>
      <c r="J31" s="495">
        <f t="shared" ref="J31:J32" si="3">D31+E31+(F31*$F$19)+(G31*$G$19)+(H31*$H$19)+(I31*$I$19)</f>
        <v>3.0000000000000004</v>
      </c>
      <c r="K31" s="496" t="s">
        <v>1685</v>
      </c>
      <c r="L31" s="501"/>
      <c r="M31" s="497">
        <f>'Screen scope 3'!I12</f>
        <v>4.2980000000000004E-2</v>
      </c>
      <c r="N31" s="497">
        <f>'Screen scope 3'!J12</f>
        <v>1.1173329298924407E-4</v>
      </c>
    </row>
    <row r="32" spans="1:16">
      <c r="A32" s="490"/>
      <c r="B32" s="490"/>
      <c r="C32" s="477" t="str">
        <f>'Screen scope 3'!C13</f>
        <v>น้ำมัน Diesel B7 รถรับส่งพนักงาน</v>
      </c>
      <c r="D32" s="492">
        <v>1</v>
      </c>
      <c r="E32" s="492">
        <v>1</v>
      </c>
      <c r="F32" s="493">
        <v>1</v>
      </c>
      <c r="G32" s="494">
        <v>1</v>
      </c>
      <c r="H32" s="494">
        <v>1</v>
      </c>
      <c r="I32" s="494">
        <v>1</v>
      </c>
      <c r="J32" s="495">
        <f t="shared" si="3"/>
        <v>3.0000000000000004</v>
      </c>
      <c r="K32" s="496" t="s">
        <v>1685</v>
      </c>
      <c r="L32" s="501"/>
      <c r="M32" s="497">
        <f>'Screen scope 3'!I13+'Screen scope 3'!I14</f>
        <v>92.579799109535415</v>
      </c>
      <c r="N32" s="497">
        <f>'Screen scope 3'!J13+'Screen scope 3'!J14</f>
        <v>0.24067579848280773</v>
      </c>
    </row>
    <row r="33" spans="1:14">
      <c r="A33" s="490">
        <v>3.2</v>
      </c>
      <c r="B33" s="490">
        <v>4.2</v>
      </c>
      <c r="C33" s="502" t="s">
        <v>235</v>
      </c>
      <c r="D33" s="492">
        <v>1</v>
      </c>
      <c r="E33" s="492">
        <v>0</v>
      </c>
      <c r="F33" s="503"/>
      <c r="G33" s="504"/>
      <c r="H33" s="504"/>
      <c r="I33" s="504"/>
      <c r="J33" s="505">
        <f t="shared" ref="J33:J72" si="4">D33+E33+(F33*$F$19)+(G33*$G$19)+(H33*$H$19)+(I33*$I$19)</f>
        <v>1</v>
      </c>
      <c r="K33" s="506" t="s">
        <v>1686</v>
      </c>
      <c r="L33" s="506"/>
      <c r="M33" s="507"/>
      <c r="N33" s="508"/>
    </row>
    <row r="34" spans="1:14">
      <c r="A34" s="490">
        <v>3.3</v>
      </c>
      <c r="B34" s="490">
        <v>2.2000000000000002</v>
      </c>
      <c r="C34" s="491" t="s">
        <v>236</v>
      </c>
      <c r="D34" s="492"/>
      <c r="E34" s="492"/>
      <c r="F34" s="509"/>
      <c r="G34" s="494"/>
      <c r="H34" s="494"/>
      <c r="I34" s="494"/>
      <c r="J34" s="495"/>
      <c r="K34" s="496"/>
      <c r="L34" s="496"/>
      <c r="M34" s="497"/>
      <c r="N34" s="498"/>
    </row>
    <row r="35" spans="1:14">
      <c r="A35" s="490"/>
      <c r="B35" s="490"/>
      <c r="C35" s="477" t="str">
        <f>'Screen scope 3'!C16</f>
        <v>การได้มาของไฟฟ้า</v>
      </c>
      <c r="D35" s="492">
        <v>1</v>
      </c>
      <c r="E35" s="492">
        <v>1</v>
      </c>
      <c r="F35" s="493">
        <v>1</v>
      </c>
      <c r="G35" s="494">
        <v>1</v>
      </c>
      <c r="H35" s="494">
        <v>1</v>
      </c>
      <c r="I35" s="494">
        <v>1</v>
      </c>
      <c r="J35" s="495">
        <f t="shared" ref="J35:J38" si="5">D35+E35+(F35*$F$19)+(G35*$G$19)+(H35*$H$19)+(I35*$I$19)</f>
        <v>3.0000000000000004</v>
      </c>
      <c r="K35" s="496" t="s">
        <v>1685</v>
      </c>
      <c r="L35" s="501"/>
      <c r="M35" s="497">
        <f>'Screen scope 3'!I16</f>
        <v>1270.574005701</v>
      </c>
      <c r="N35" s="497">
        <f>'Screen scope 3'!J16</f>
        <v>3.3030576464287407</v>
      </c>
    </row>
    <row r="36" spans="1:14">
      <c r="A36" s="490"/>
      <c r="B36" s="490"/>
      <c r="C36" s="477" t="str">
        <f>'Screen scope 3'!C17</f>
        <v>การได้มา Acetylene</v>
      </c>
      <c r="D36" s="492">
        <v>1</v>
      </c>
      <c r="E36" s="492">
        <v>1</v>
      </c>
      <c r="F36" s="493">
        <v>1</v>
      </c>
      <c r="G36" s="494">
        <v>1</v>
      </c>
      <c r="H36" s="494">
        <v>1</v>
      </c>
      <c r="I36" s="494">
        <v>1</v>
      </c>
      <c r="J36" s="495">
        <f t="shared" si="5"/>
        <v>3.0000000000000004</v>
      </c>
      <c r="K36" s="496" t="s">
        <v>1685</v>
      </c>
      <c r="L36" s="501"/>
      <c r="M36" s="497">
        <f>'Screen scope 3'!I17</f>
        <v>0.11402000000000001</v>
      </c>
      <c r="N36" s="497">
        <f>'Screen scope 3'!J17</f>
        <v>2.9641298433302949E-4</v>
      </c>
    </row>
    <row r="37" spans="1:14">
      <c r="A37" s="490"/>
      <c r="B37" s="490"/>
      <c r="C37" s="477" t="str">
        <f>'Screen scope 3'!C18</f>
        <v>การได้มา Diesel</v>
      </c>
      <c r="D37" s="492">
        <v>1</v>
      </c>
      <c r="E37" s="492">
        <v>1</v>
      </c>
      <c r="F37" s="493">
        <v>1</v>
      </c>
      <c r="G37" s="494">
        <v>1</v>
      </c>
      <c r="H37" s="494">
        <v>1</v>
      </c>
      <c r="I37" s="494">
        <v>1</v>
      </c>
      <c r="J37" s="495">
        <f t="shared" si="5"/>
        <v>3.0000000000000004</v>
      </c>
      <c r="K37" s="496" t="s">
        <v>1685</v>
      </c>
      <c r="L37" s="501"/>
      <c r="M37" s="497">
        <f>'Screen scope 3'!I18</f>
        <v>6.6226110355319996</v>
      </c>
      <c r="N37" s="497">
        <f>'Screen scope 3'!J18</f>
        <v>1.7216522549718425E-2</v>
      </c>
    </row>
    <row r="38" spans="1:14">
      <c r="A38" s="490"/>
      <c r="B38" s="490"/>
      <c r="C38" s="477" t="str">
        <f>'Screen scope 3'!C19</f>
        <v>การได้มา Gasoline</v>
      </c>
      <c r="D38" s="492">
        <v>1</v>
      </c>
      <c r="E38" s="492">
        <v>1</v>
      </c>
      <c r="F38" s="493">
        <v>1</v>
      </c>
      <c r="G38" s="494">
        <v>1</v>
      </c>
      <c r="H38" s="494">
        <v>1</v>
      </c>
      <c r="I38" s="494">
        <v>1</v>
      </c>
      <c r="J38" s="495">
        <f t="shared" si="5"/>
        <v>3.0000000000000004</v>
      </c>
      <c r="K38" s="496" t="s">
        <v>1685</v>
      </c>
      <c r="L38" s="501"/>
      <c r="M38" s="497">
        <f>'Screen scope 3'!I19</f>
        <v>1.2801076367999999</v>
      </c>
      <c r="N38" s="497">
        <f>'Screen scope 3'!J19</f>
        <v>3.3278418250428849E-3</v>
      </c>
    </row>
    <row r="39" spans="1:14">
      <c r="A39" s="490">
        <v>3.4</v>
      </c>
      <c r="B39" s="490">
        <v>3.1</v>
      </c>
      <c r="C39" s="491" t="s">
        <v>237</v>
      </c>
      <c r="D39" s="492"/>
      <c r="E39" s="492"/>
      <c r="F39" s="509"/>
      <c r="G39" s="494"/>
      <c r="H39" s="494"/>
      <c r="I39" s="494"/>
      <c r="J39" s="495"/>
      <c r="K39" s="496"/>
      <c r="L39" s="496"/>
      <c r="M39" s="497"/>
      <c r="N39" s="510"/>
    </row>
    <row r="40" spans="1:14">
      <c r="A40" s="490"/>
      <c r="B40" s="490"/>
      <c r="C40" s="477" t="str">
        <f>'Screen scope 3'!C21</f>
        <v>รถตู้บรรทุก 10 ล้อ 100% loading</v>
      </c>
      <c r="D40" s="492">
        <v>1</v>
      </c>
      <c r="E40" s="492">
        <v>1</v>
      </c>
      <c r="F40" s="493">
        <v>1</v>
      </c>
      <c r="G40" s="494">
        <v>1</v>
      </c>
      <c r="H40" s="494">
        <v>1</v>
      </c>
      <c r="I40" s="494">
        <v>1</v>
      </c>
      <c r="J40" s="495">
        <f t="shared" ref="J40:J46" si="6">D40+E40+(F40*$F$19)+(G40*$G$19)+(H40*$H$19)+(I40*$I$19)</f>
        <v>3.0000000000000004</v>
      </c>
      <c r="K40" s="496" t="s">
        <v>1685</v>
      </c>
      <c r="L40" s="501"/>
      <c r="M40" s="497">
        <f>'Screen scope 3'!I21</f>
        <v>10.656696600000002</v>
      </c>
      <c r="N40" s="497">
        <f>'Screen scope 3'!J21</f>
        <v>2.7703764623203377E-2</v>
      </c>
    </row>
    <row r="41" spans="1:14">
      <c r="A41" s="490"/>
      <c r="B41" s="490"/>
      <c r="C41" s="477" t="str">
        <f>'Screen scope 3'!C22</f>
        <v>รถตู้บรรทุก 10 ล้อ 0% loading</v>
      </c>
      <c r="D41" s="492">
        <v>1</v>
      </c>
      <c r="E41" s="492">
        <v>1</v>
      </c>
      <c r="F41" s="493">
        <v>1</v>
      </c>
      <c r="G41" s="494">
        <v>1</v>
      </c>
      <c r="H41" s="494">
        <v>1</v>
      </c>
      <c r="I41" s="494">
        <v>1</v>
      </c>
      <c r="J41" s="495">
        <f t="shared" si="6"/>
        <v>3.0000000000000004</v>
      </c>
      <c r="K41" s="496" t="s">
        <v>1685</v>
      </c>
      <c r="L41" s="501"/>
      <c r="M41" s="497">
        <f>'Screen scope 3'!I22</f>
        <v>8.4311722687500001</v>
      </c>
      <c r="N41" s="497">
        <f>'Screen scope 3'!J22</f>
        <v>2.1918162897790441E-2</v>
      </c>
    </row>
    <row r="42" spans="1:14">
      <c r="A42" s="490"/>
      <c r="B42" s="490"/>
      <c r="C42" s="477" t="str">
        <f>'Screen scope 3'!C23</f>
        <v>รถตู้บรรทุก 6 ล้อ ขนาดใหญ่ 100% loading</v>
      </c>
      <c r="D42" s="492">
        <v>1</v>
      </c>
      <c r="E42" s="492">
        <v>1</v>
      </c>
      <c r="F42" s="493">
        <v>1</v>
      </c>
      <c r="G42" s="494">
        <v>1</v>
      </c>
      <c r="H42" s="494">
        <v>1</v>
      </c>
      <c r="I42" s="494">
        <v>1</v>
      </c>
      <c r="J42" s="495">
        <f t="shared" si="6"/>
        <v>3.0000000000000004</v>
      </c>
      <c r="K42" s="496" t="s">
        <v>1685</v>
      </c>
      <c r="L42" s="501"/>
      <c r="M42" s="497">
        <f>'Screen scope 3'!I23</f>
        <v>13.193450390053298</v>
      </c>
      <c r="N42" s="497">
        <f>'Screen scope 3'!J23</f>
        <v>3.4298456444180579E-2</v>
      </c>
    </row>
    <row r="43" spans="1:14">
      <c r="A43" s="490"/>
      <c r="B43" s="490"/>
      <c r="C43" s="477" t="str">
        <f>'Screen scope 3'!C24</f>
        <v>รถตู้บรรทุก 6 ล้อ ขนาดใหญ่ 0% loading</v>
      </c>
      <c r="D43" s="492">
        <v>1</v>
      </c>
      <c r="E43" s="492">
        <v>1</v>
      </c>
      <c r="F43" s="493">
        <v>1</v>
      </c>
      <c r="G43" s="494">
        <v>1</v>
      </c>
      <c r="H43" s="494">
        <v>1</v>
      </c>
      <c r="I43" s="494">
        <v>1</v>
      </c>
      <c r="J43" s="495">
        <f t="shared" si="6"/>
        <v>3.0000000000000004</v>
      </c>
      <c r="K43" s="496" t="s">
        <v>1685</v>
      </c>
      <c r="L43" s="501"/>
      <c r="M43" s="497">
        <f>'Screen scope 3'!I24</f>
        <v>9.5886585600304279</v>
      </c>
      <c r="N43" s="497">
        <f>'Screen scope 3'!J24</f>
        <v>2.4927231183380708E-2</v>
      </c>
    </row>
    <row r="44" spans="1:14">
      <c r="A44" s="490"/>
      <c r="B44" s="490"/>
      <c r="C44" s="477" t="str">
        <f>'Screen scope 3'!C25</f>
        <v>รถตู้บรรทุก 4 ล้อ 100% loading</v>
      </c>
      <c r="D44" s="492">
        <v>1</v>
      </c>
      <c r="E44" s="492">
        <v>1</v>
      </c>
      <c r="F44" s="493">
        <v>1</v>
      </c>
      <c r="G44" s="494">
        <v>1</v>
      </c>
      <c r="H44" s="494">
        <v>1</v>
      </c>
      <c r="I44" s="494">
        <v>1</v>
      </c>
      <c r="J44" s="495">
        <f t="shared" si="6"/>
        <v>3.0000000000000004</v>
      </c>
      <c r="K44" s="496" t="s">
        <v>1685</v>
      </c>
      <c r="L44" s="501"/>
      <c r="M44" s="497">
        <f>'Screen scope 3'!I25</f>
        <v>0.14304404860000003</v>
      </c>
      <c r="N44" s="497">
        <f>'Screen scope 3'!J25</f>
        <v>3.7186557916685594E-4</v>
      </c>
    </row>
    <row r="45" spans="1:14">
      <c r="A45" s="490"/>
      <c r="B45" s="490"/>
      <c r="C45" s="477" t="str">
        <f>'Screen scope 3'!C26</f>
        <v>รถตู้บรรทุก 4 ล้อ 0% loading</v>
      </c>
      <c r="D45" s="492">
        <v>1</v>
      </c>
      <c r="E45" s="492">
        <v>1</v>
      </c>
      <c r="F45" s="493">
        <v>1</v>
      </c>
      <c r="G45" s="494">
        <v>1</v>
      </c>
      <c r="H45" s="494">
        <v>1</v>
      </c>
      <c r="I45" s="494">
        <v>1</v>
      </c>
      <c r="J45" s="495">
        <f t="shared" si="6"/>
        <v>3.0000000000000004</v>
      </c>
      <c r="K45" s="496" t="s">
        <v>1685</v>
      </c>
      <c r="L45" s="501"/>
      <c r="M45" s="497">
        <f>'Screen scope 3'!I26</f>
        <v>3.7250474314285728E-2</v>
      </c>
      <c r="N45" s="497">
        <f>'Screen scope 3'!J26</f>
        <v>9.6838486750730498E-5</v>
      </c>
    </row>
    <row r="46" spans="1:14">
      <c r="A46" s="490"/>
      <c r="B46" s="490"/>
      <c r="C46" s="477" t="str">
        <f>'Screen scope 3'!C27</f>
        <v>เรือบรรทุก container</v>
      </c>
      <c r="D46" s="492">
        <v>1</v>
      </c>
      <c r="E46" s="492">
        <v>1</v>
      </c>
      <c r="F46" s="493">
        <v>1</v>
      </c>
      <c r="G46" s="494">
        <v>1</v>
      </c>
      <c r="H46" s="494">
        <v>1</v>
      </c>
      <c r="I46" s="494">
        <v>1</v>
      </c>
      <c r="J46" s="495">
        <f t="shared" si="6"/>
        <v>3.0000000000000004</v>
      </c>
      <c r="K46" s="496" t="s">
        <v>1685</v>
      </c>
      <c r="L46" s="501"/>
      <c r="M46" s="497">
        <f>'Screen scope 3'!I27</f>
        <v>439.36105707450002</v>
      </c>
      <c r="N46" s="497">
        <f>'Screen scope 3'!J27</f>
        <v>1.142188406658192</v>
      </c>
    </row>
    <row r="47" spans="1:14">
      <c r="A47" s="490">
        <v>3.5</v>
      </c>
      <c r="B47" s="490">
        <v>4.3</v>
      </c>
      <c r="C47" s="491" t="s">
        <v>238</v>
      </c>
      <c r="D47" s="492"/>
      <c r="E47" s="492"/>
      <c r="F47" s="509"/>
      <c r="G47" s="494"/>
      <c r="H47" s="494"/>
      <c r="I47" s="494"/>
      <c r="J47" s="495"/>
      <c r="K47" s="496"/>
      <c r="L47" s="496"/>
      <c r="M47" s="497"/>
      <c r="N47" s="510"/>
    </row>
    <row r="48" spans="1:14">
      <c r="A48" s="490"/>
      <c r="B48" s="490"/>
      <c r="C48" s="511" t="str">
        <f>'Screen scope 3'!C29</f>
        <v>การกำจัดของเสีย</v>
      </c>
      <c r="D48" s="492"/>
      <c r="E48" s="492"/>
      <c r="F48" s="509"/>
      <c r="G48" s="494"/>
      <c r="H48" s="494"/>
      <c r="I48" s="494"/>
      <c r="J48" s="495"/>
      <c r="K48" s="496"/>
      <c r="L48" s="496"/>
      <c r="M48" s="497"/>
      <c r="N48" s="497"/>
    </row>
    <row r="49" spans="1:14">
      <c r="A49" s="490"/>
      <c r="B49" s="490"/>
      <c r="C49" s="477" t="str">
        <f>'Screen scope 3'!C30</f>
        <v>ขยะมูลฝอยทั่วไป</v>
      </c>
      <c r="D49" s="492">
        <v>1</v>
      </c>
      <c r="E49" s="492">
        <v>1</v>
      </c>
      <c r="F49" s="493">
        <v>1</v>
      </c>
      <c r="G49" s="494">
        <v>1</v>
      </c>
      <c r="H49" s="494">
        <v>1</v>
      </c>
      <c r="I49" s="494">
        <v>1</v>
      </c>
      <c r="J49" s="495">
        <f t="shared" ref="J49:J50" si="7">D49+E49+(F49*$F$19)+(G49*$G$19)+(H49*$H$19)+(I49*$I$19)</f>
        <v>3.0000000000000004</v>
      </c>
      <c r="K49" s="496" t="s">
        <v>1685</v>
      </c>
      <c r="L49" s="501"/>
      <c r="M49" s="497">
        <f>'Screen scope 3'!I30</f>
        <v>118.995</v>
      </c>
      <c r="N49" s="497">
        <f>'Screen scope 3'!J30</f>
        <v>0.30934628197429259</v>
      </c>
    </row>
    <row r="50" spans="1:14">
      <c r="A50" s="490"/>
      <c r="B50" s="490"/>
      <c r="C50" s="477" t="str">
        <f>'Screen scope 3'!C31</f>
        <v>ขยะอันตราย</v>
      </c>
      <c r="D50" s="492">
        <v>1</v>
      </c>
      <c r="E50" s="492">
        <v>1</v>
      </c>
      <c r="F50" s="493">
        <v>1</v>
      </c>
      <c r="G50" s="494">
        <v>1</v>
      </c>
      <c r="H50" s="494">
        <v>1</v>
      </c>
      <c r="I50" s="494">
        <v>1</v>
      </c>
      <c r="J50" s="495">
        <f t="shared" si="7"/>
        <v>3.0000000000000004</v>
      </c>
      <c r="K50" s="496" t="s">
        <v>1685</v>
      </c>
      <c r="L50" s="501"/>
      <c r="M50" s="497">
        <f>'Screen scope 3'!I31</f>
        <v>0.53944399999999992</v>
      </c>
      <c r="N50" s="497">
        <f>'Screen scope 3'!J31</f>
        <v>1.4023698116167928E-3</v>
      </c>
    </row>
    <row r="51" spans="1:14">
      <c r="A51" s="257"/>
      <c r="B51" s="257"/>
      <c r="C51" s="511" t="str">
        <f>'Screen scope 3'!C32</f>
        <v>การขนส่ง</v>
      </c>
      <c r="D51" s="492"/>
      <c r="E51" s="492"/>
      <c r="F51" s="509"/>
      <c r="G51" s="494"/>
      <c r="H51" s="494"/>
      <c r="I51" s="494"/>
      <c r="J51" s="495"/>
      <c r="K51" s="496"/>
      <c r="L51" s="496"/>
      <c r="M51" s="497"/>
      <c r="N51" s="497"/>
    </row>
    <row r="52" spans="1:14">
      <c r="A52" s="257"/>
      <c r="B52" s="257"/>
      <c r="C52" s="477" t="str">
        <f>'Screen scope 3'!C33</f>
        <v>รถกระบะบรรทุก 10 ล้อ วิ่งปกติ 100% loading</v>
      </c>
      <c r="D52" s="492">
        <v>1</v>
      </c>
      <c r="E52" s="492">
        <v>1</v>
      </c>
      <c r="F52" s="493">
        <v>1</v>
      </c>
      <c r="G52" s="494">
        <v>1</v>
      </c>
      <c r="H52" s="494">
        <v>1</v>
      </c>
      <c r="I52" s="494">
        <v>1</v>
      </c>
      <c r="J52" s="495">
        <f t="shared" ref="J52" si="8">D52+E52+(F52*$F$19)+(G52*$G$19)+(H52*$H$19)+(I52*$I$19)</f>
        <v>3.0000000000000004</v>
      </c>
      <c r="K52" s="496" t="s">
        <v>1685</v>
      </c>
      <c r="L52" s="501"/>
      <c r="M52" s="497">
        <f>'Screen scope 3'!H33</f>
        <v>5.33E-2</v>
      </c>
      <c r="N52" s="497">
        <f>'Screen scope 3'!J33</f>
        <v>4.3138337928418967E-3</v>
      </c>
    </row>
    <row r="53" spans="1:14">
      <c r="A53" s="257"/>
      <c r="B53" s="257"/>
      <c r="C53" s="477" t="str">
        <f>'Screen scope 3'!C34</f>
        <v>รถกระบะบรรทุก 10 ล้อ วิ่งปกติ 0% loading</v>
      </c>
      <c r="D53" s="492">
        <v>1</v>
      </c>
      <c r="E53" s="492">
        <v>1</v>
      </c>
      <c r="F53" s="493">
        <v>1</v>
      </c>
      <c r="G53" s="494">
        <v>1</v>
      </c>
      <c r="H53" s="494">
        <v>1</v>
      </c>
      <c r="I53" s="494">
        <v>1</v>
      </c>
      <c r="J53" s="495">
        <f t="shared" ref="J53:J55" si="9">D53+E53+(F53*$F$19)+(G53*$G$19)+(H53*$H$19)+(I53*$I$19)</f>
        <v>3.0000000000000004</v>
      </c>
      <c r="K53" s="496" t="s">
        <v>1685</v>
      </c>
      <c r="L53" s="501"/>
      <c r="M53" s="497">
        <f>'Screen scope 3'!I34</f>
        <v>1.1480268380000003</v>
      </c>
      <c r="N53" s="497">
        <f>'Screen scope 3'!J34</f>
        <v>2.9844769439220441E-3</v>
      </c>
    </row>
    <row r="54" spans="1:14">
      <c r="A54" s="257"/>
      <c r="B54" s="257"/>
      <c r="C54" s="477" t="str">
        <f>'Screen scope 3'!C35</f>
        <v>รถบรรทุกขยะ 6 ล้อ 100% loading</v>
      </c>
      <c r="D54" s="492">
        <v>1</v>
      </c>
      <c r="E54" s="492">
        <v>1</v>
      </c>
      <c r="F54" s="493">
        <v>1</v>
      </c>
      <c r="G54" s="494">
        <v>1</v>
      </c>
      <c r="H54" s="494">
        <v>1</v>
      </c>
      <c r="I54" s="494">
        <v>1</v>
      </c>
      <c r="J54" s="495">
        <f t="shared" si="9"/>
        <v>3.0000000000000004</v>
      </c>
      <c r="K54" s="496" t="s">
        <v>1685</v>
      </c>
      <c r="L54" s="501"/>
      <c r="M54" s="497">
        <f>'Screen scope 3'!I35</f>
        <v>0.28499999999999998</v>
      </c>
      <c r="N54" s="497">
        <f>'Screen scope 3'!J35</f>
        <v>7.409024779417066E-4</v>
      </c>
    </row>
    <row r="55" spans="1:14">
      <c r="A55" s="257"/>
      <c r="B55" s="257"/>
      <c r="C55" s="477" t="str">
        <f>'Screen scope 3'!C36</f>
        <v>รถบรรทุกขยะ 6 ล้อ 0% loading</v>
      </c>
      <c r="D55" s="492">
        <v>1</v>
      </c>
      <c r="E55" s="492">
        <v>1</v>
      </c>
      <c r="F55" s="493">
        <v>1</v>
      </c>
      <c r="G55" s="494">
        <v>1</v>
      </c>
      <c r="H55" s="494">
        <v>1</v>
      </c>
      <c r="I55" s="494">
        <v>1</v>
      </c>
      <c r="J55" s="495">
        <f t="shared" si="9"/>
        <v>3.0000000000000004</v>
      </c>
      <c r="K55" s="496" t="s">
        <v>1685</v>
      </c>
      <c r="L55" s="501"/>
      <c r="M55" s="497">
        <f>'Screen scope 3'!I36</f>
        <v>0.26852727272727278</v>
      </c>
      <c r="N55" s="497">
        <f>'Screen scope 3'!J36</f>
        <v>6.9807902371426265E-4</v>
      </c>
    </row>
    <row r="56" spans="1:14">
      <c r="A56" s="490">
        <v>3.6</v>
      </c>
      <c r="B56" s="490">
        <v>3.5</v>
      </c>
      <c r="C56" s="491" t="s">
        <v>239</v>
      </c>
      <c r="D56" s="492"/>
      <c r="E56" s="492"/>
      <c r="F56" s="509"/>
      <c r="G56" s="494"/>
      <c r="H56" s="494"/>
      <c r="I56" s="494"/>
      <c r="J56" s="495"/>
      <c r="K56" s="496"/>
      <c r="L56" s="496"/>
      <c r="M56" s="497"/>
      <c r="N56" s="510"/>
    </row>
    <row r="57" spans="1:14">
      <c r="A57" s="257"/>
      <c r="B57" s="257"/>
      <c r="C57" s="477" t="s">
        <v>308</v>
      </c>
      <c r="D57" s="492">
        <v>1</v>
      </c>
      <c r="E57" s="492">
        <v>1</v>
      </c>
      <c r="F57" s="493">
        <v>1</v>
      </c>
      <c r="G57" s="494">
        <v>1</v>
      </c>
      <c r="H57" s="494">
        <v>1</v>
      </c>
      <c r="I57" s="494">
        <v>1</v>
      </c>
      <c r="J57" s="495">
        <f t="shared" ref="J57" si="10">D57+E57+(F57*$F$19)+(G57*$G$19)+(H57*$H$19)+(I57*$I$19)</f>
        <v>3.0000000000000004</v>
      </c>
      <c r="K57" s="496" t="s">
        <v>1685</v>
      </c>
      <c r="L57" s="501"/>
      <c r="M57" s="497">
        <v>0</v>
      </c>
      <c r="N57" s="500">
        <v>0</v>
      </c>
    </row>
    <row r="58" spans="1:14">
      <c r="A58" s="490">
        <v>3.7</v>
      </c>
      <c r="B58" s="490">
        <v>3.3</v>
      </c>
      <c r="C58" s="491" t="s">
        <v>240</v>
      </c>
      <c r="D58" s="492"/>
      <c r="E58" s="492"/>
      <c r="F58" s="509"/>
      <c r="G58" s="494"/>
      <c r="H58" s="494"/>
      <c r="I58" s="494"/>
      <c r="J58" s="495"/>
      <c r="K58" s="496"/>
      <c r="L58" s="496"/>
      <c r="M58" s="497"/>
      <c r="N58" s="510"/>
    </row>
    <row r="59" spans="1:14">
      <c r="A59" s="257"/>
      <c r="B59" s="257"/>
      <c r="C59" s="477" t="str">
        <f>'Screen scope 3'!C38</f>
        <v>น้ำมัน Gasoline จากการเดินทางของพนักงาน</v>
      </c>
      <c r="D59" s="492">
        <v>1</v>
      </c>
      <c r="E59" s="492">
        <v>1</v>
      </c>
      <c r="F59" s="493">
        <v>1</v>
      </c>
      <c r="G59" s="494">
        <v>1</v>
      </c>
      <c r="H59" s="494">
        <v>1</v>
      </c>
      <c r="I59" s="494">
        <v>1</v>
      </c>
      <c r="J59" s="495">
        <f t="shared" ref="J59:J60" si="11">D59+E59+(F59*$F$19)+(G59*$G$19)+(H59*$H$19)+(I59*$I$19)</f>
        <v>3.0000000000000004</v>
      </c>
      <c r="K59" s="496" t="s">
        <v>1685</v>
      </c>
      <c r="L59" s="501"/>
      <c r="M59" s="497">
        <f>'Screen scope 3'!I38</f>
        <v>212.34769943220311</v>
      </c>
      <c r="N59" s="500">
        <f>'Screen scope 3'!J38</f>
        <v>0.55203135682294746</v>
      </c>
    </row>
    <row r="60" spans="1:14">
      <c r="A60" s="257"/>
      <c r="B60" s="257"/>
      <c r="C60" s="477" t="str">
        <f>'Screen scope 3'!C39</f>
        <v>น้ำมัน Diesel จากการเดินทางของพนักงาน</v>
      </c>
      <c r="D60" s="492">
        <v>1</v>
      </c>
      <c r="E60" s="492">
        <v>1</v>
      </c>
      <c r="F60" s="493">
        <v>1</v>
      </c>
      <c r="G60" s="494">
        <v>1</v>
      </c>
      <c r="H60" s="494">
        <v>1</v>
      </c>
      <c r="I60" s="494">
        <v>1</v>
      </c>
      <c r="J60" s="495">
        <f t="shared" si="11"/>
        <v>3.0000000000000004</v>
      </c>
      <c r="K60" s="496" t="s">
        <v>1685</v>
      </c>
      <c r="L60" s="501"/>
      <c r="M60" s="497">
        <f>'Screen scope 3'!I39</f>
        <v>228.508335208912</v>
      </c>
      <c r="N60" s="500">
        <f>'Screen scope 3'!J39</f>
        <v>0.5940434799530423</v>
      </c>
    </row>
    <row r="61" spans="1:14">
      <c r="A61" s="490">
        <v>3.8</v>
      </c>
      <c r="B61" s="490">
        <v>4.4000000000000004</v>
      </c>
      <c r="C61" s="491" t="s">
        <v>241</v>
      </c>
      <c r="D61" s="492">
        <v>1</v>
      </c>
      <c r="E61" s="512"/>
      <c r="F61" s="504"/>
      <c r="G61" s="504"/>
      <c r="H61" s="504"/>
      <c r="I61" s="504"/>
      <c r="J61" s="505">
        <f t="shared" si="4"/>
        <v>1</v>
      </c>
      <c r="K61" s="506" t="s">
        <v>1686</v>
      </c>
      <c r="L61" s="506"/>
      <c r="M61" s="507"/>
      <c r="N61" s="508"/>
    </row>
    <row r="62" spans="1:14">
      <c r="A62" s="490">
        <v>3.9</v>
      </c>
      <c r="B62" s="490">
        <v>3.2</v>
      </c>
      <c r="C62" s="502" t="s">
        <v>242</v>
      </c>
      <c r="D62" s="492"/>
      <c r="E62" s="492"/>
      <c r="F62" s="509"/>
      <c r="G62" s="494"/>
      <c r="H62" s="494"/>
      <c r="I62" s="494"/>
      <c r="J62" s="495"/>
      <c r="K62" s="496"/>
      <c r="L62" s="496"/>
      <c r="M62" s="497"/>
      <c r="N62" s="500"/>
    </row>
    <row r="63" spans="1:14">
      <c r="A63" s="257"/>
      <c r="B63" s="257"/>
      <c r="C63" s="477" t="str">
        <f>'Screen scope 3'!C41</f>
        <v>รถตู้บรรทุกพ่วง 18 ล้อ วิ่งปกติ 100% loading</v>
      </c>
      <c r="D63" s="492">
        <v>1</v>
      </c>
      <c r="E63" s="492">
        <v>1</v>
      </c>
      <c r="F63" s="493">
        <v>1</v>
      </c>
      <c r="G63" s="494">
        <v>1</v>
      </c>
      <c r="H63" s="494">
        <v>1</v>
      </c>
      <c r="I63" s="494">
        <v>1</v>
      </c>
      <c r="J63" s="495">
        <f t="shared" ref="J63:J65" si="12">D63+E63+(F63*$F$19)+(G63*$G$19)+(H63*$H$19)+(I63*$I$19)</f>
        <v>3.0000000000000004</v>
      </c>
      <c r="K63" s="496" t="s">
        <v>1685</v>
      </c>
      <c r="L63" s="496"/>
      <c r="M63" s="497">
        <f>'Screen scope 3'!I41</f>
        <v>2.7788426573167966</v>
      </c>
      <c r="N63" s="497">
        <f>'Screen scope 3'!J41</f>
        <v>7.2240400372495846E-3</v>
      </c>
    </row>
    <row r="64" spans="1:14">
      <c r="A64" s="257"/>
      <c r="B64" s="257"/>
      <c r="C64" s="477" t="str">
        <f>'Screen scope 3'!C42</f>
        <v>รถตู้บรรทุกพ่วง 18 ล้อ วิ่งปกติ 0% loading</v>
      </c>
      <c r="D64" s="492">
        <v>1</v>
      </c>
      <c r="E64" s="492">
        <v>1</v>
      </c>
      <c r="F64" s="493">
        <v>1</v>
      </c>
      <c r="G64" s="494">
        <v>1</v>
      </c>
      <c r="H64" s="494">
        <v>1</v>
      </c>
      <c r="I64" s="494">
        <v>1</v>
      </c>
      <c r="J64" s="495">
        <f t="shared" si="12"/>
        <v>3.0000000000000004</v>
      </c>
      <c r="K64" s="496" t="s">
        <v>1685</v>
      </c>
      <c r="L64" s="496"/>
      <c r="M64" s="497">
        <f>'Screen scope 3'!I42</f>
        <v>1.6916376634501231</v>
      </c>
      <c r="N64" s="497">
        <f>'Screen scope 3'!J42</f>
        <v>4.3976790758937364E-3</v>
      </c>
    </row>
    <row r="65" spans="1:14">
      <c r="A65" s="257"/>
      <c r="B65" s="257"/>
      <c r="C65" s="477" t="str">
        <f>'Screen scope 3'!C43</f>
        <v>เรือบรรทุก container</v>
      </c>
      <c r="D65" s="492">
        <v>1</v>
      </c>
      <c r="E65" s="492">
        <v>1</v>
      </c>
      <c r="F65" s="493">
        <v>1</v>
      </c>
      <c r="G65" s="494">
        <v>1</v>
      </c>
      <c r="H65" s="494">
        <v>1</v>
      </c>
      <c r="I65" s="494">
        <v>1</v>
      </c>
      <c r="J65" s="495">
        <f t="shared" si="12"/>
        <v>3.0000000000000004</v>
      </c>
      <c r="K65" s="496" t="s">
        <v>1685</v>
      </c>
      <c r="L65" s="496"/>
      <c r="M65" s="497">
        <f>'Screen scope 3'!I43</f>
        <v>1120.4021370568389</v>
      </c>
      <c r="N65" s="497">
        <f>'Screen scope 3'!J43</f>
        <v>2.9126621741634935</v>
      </c>
    </row>
    <row r="66" spans="1:14">
      <c r="A66" s="490" t="s">
        <v>2826</v>
      </c>
      <c r="B66" s="490">
        <v>5</v>
      </c>
      <c r="C66" s="502" t="s">
        <v>243</v>
      </c>
      <c r="D66" s="492">
        <v>0</v>
      </c>
      <c r="E66" s="512"/>
      <c r="F66" s="504"/>
      <c r="G66" s="504"/>
      <c r="H66" s="504"/>
      <c r="I66" s="504"/>
      <c r="J66" s="505">
        <f t="shared" si="4"/>
        <v>0</v>
      </c>
      <c r="K66" s="506" t="s">
        <v>1686</v>
      </c>
      <c r="L66" s="506"/>
      <c r="M66" s="507"/>
      <c r="N66" s="508"/>
    </row>
    <row r="67" spans="1:14">
      <c r="A67" s="490">
        <v>3.11</v>
      </c>
      <c r="B67" s="490">
        <v>4.4000000000000004</v>
      </c>
      <c r="C67" s="502" t="s">
        <v>244</v>
      </c>
      <c r="D67" s="492">
        <v>0</v>
      </c>
      <c r="E67" s="512"/>
      <c r="F67" s="504"/>
      <c r="G67" s="504"/>
      <c r="H67" s="504"/>
      <c r="I67" s="504"/>
      <c r="J67" s="505">
        <f t="shared" si="4"/>
        <v>0</v>
      </c>
      <c r="K67" s="506" t="s">
        <v>1686</v>
      </c>
      <c r="L67" s="506"/>
      <c r="M67" s="507"/>
      <c r="N67" s="508"/>
    </row>
    <row r="68" spans="1:14">
      <c r="A68" s="490">
        <v>3.12</v>
      </c>
      <c r="B68" s="490">
        <v>5</v>
      </c>
      <c r="C68" s="502" t="s">
        <v>245</v>
      </c>
      <c r="D68" s="492"/>
      <c r="E68" s="492"/>
      <c r="F68" s="509"/>
      <c r="G68" s="494"/>
      <c r="H68" s="494"/>
      <c r="I68" s="494"/>
      <c r="J68" s="495"/>
      <c r="K68" s="496"/>
      <c r="L68" s="496"/>
      <c r="M68" s="497"/>
      <c r="N68" s="500"/>
    </row>
    <row r="69" spans="1:14">
      <c r="A69" s="257"/>
      <c r="B69" s="257"/>
      <c r="C69" s="258" t="str">
        <f>'Screen scope 3'!C45</f>
        <v>การฝังกลบถุงขยะ</v>
      </c>
      <c r="D69" s="492">
        <v>1</v>
      </c>
      <c r="E69" s="492">
        <v>1</v>
      </c>
      <c r="F69" s="493">
        <v>3</v>
      </c>
      <c r="G69" s="494">
        <v>1</v>
      </c>
      <c r="H69" s="494">
        <v>1</v>
      </c>
      <c r="I69" s="494">
        <v>1</v>
      </c>
      <c r="J69" s="495">
        <f t="shared" ref="J69" si="13">D69+E69+(F69*$F$19)+(G69*$G$19)+(H69*$H$19)+(I69*$I$19)</f>
        <v>4.1999999999999993</v>
      </c>
      <c r="K69" s="496" t="s">
        <v>1685</v>
      </c>
      <c r="L69" s="496"/>
      <c r="M69" s="497">
        <f>'Screen scope 3'!I45</f>
        <v>7703.7017359189995</v>
      </c>
      <c r="N69" s="497">
        <f>'Screen scope 3'!J45</f>
        <v>20.02698844023233</v>
      </c>
    </row>
    <row r="70" spans="1:14">
      <c r="A70" s="490">
        <v>3.13</v>
      </c>
      <c r="B70" s="490">
        <v>6</v>
      </c>
      <c r="C70" s="502" t="s">
        <v>246</v>
      </c>
      <c r="D70" s="492">
        <v>0</v>
      </c>
      <c r="E70" s="512"/>
      <c r="F70" s="504"/>
      <c r="G70" s="504"/>
      <c r="H70" s="504"/>
      <c r="I70" s="504"/>
      <c r="J70" s="505">
        <f t="shared" si="4"/>
        <v>0</v>
      </c>
      <c r="K70" s="506" t="s">
        <v>1686</v>
      </c>
      <c r="L70" s="506"/>
      <c r="M70" s="507"/>
      <c r="N70" s="508"/>
    </row>
    <row r="71" spans="1:14">
      <c r="A71" s="490">
        <v>3.14</v>
      </c>
      <c r="B71" s="490">
        <v>6</v>
      </c>
      <c r="C71" s="502" t="s">
        <v>247</v>
      </c>
      <c r="D71" s="492">
        <v>0</v>
      </c>
      <c r="E71" s="512"/>
      <c r="F71" s="504"/>
      <c r="G71" s="504"/>
      <c r="H71" s="504"/>
      <c r="I71" s="504"/>
      <c r="J71" s="505">
        <f t="shared" si="4"/>
        <v>0</v>
      </c>
      <c r="K71" s="506" t="s">
        <v>1686</v>
      </c>
      <c r="L71" s="506"/>
      <c r="M71" s="507"/>
      <c r="N71" s="508"/>
    </row>
    <row r="72" spans="1:14">
      <c r="A72" s="490">
        <v>3.15</v>
      </c>
      <c r="B72" s="490">
        <v>6</v>
      </c>
      <c r="C72" s="502" t="s">
        <v>248</v>
      </c>
      <c r="D72" s="492">
        <v>0</v>
      </c>
      <c r="E72" s="512"/>
      <c r="F72" s="504"/>
      <c r="G72" s="504"/>
      <c r="H72" s="504"/>
      <c r="I72" s="504"/>
      <c r="J72" s="505">
        <f t="shared" si="4"/>
        <v>0</v>
      </c>
      <c r="K72" s="506" t="s">
        <v>1686</v>
      </c>
      <c r="L72" s="506"/>
      <c r="M72" s="507"/>
      <c r="N72" s="508"/>
    </row>
    <row r="73" spans="1:14">
      <c r="A73" s="212"/>
      <c r="B73" s="210"/>
      <c r="C73" s="210"/>
      <c r="D73" s="210"/>
      <c r="E73" s="210"/>
      <c r="F73" s="210"/>
      <c r="G73" s="210"/>
      <c r="H73" s="210"/>
      <c r="I73" s="210"/>
      <c r="J73" s="210"/>
      <c r="L73" s="210"/>
      <c r="M73" s="210"/>
      <c r="N73" s="210"/>
    </row>
    <row r="74" spans="1:14">
      <c r="A74" s="213" t="s">
        <v>249</v>
      </c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</row>
    <row r="75" spans="1:14">
      <c r="A75" s="213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</row>
    <row r="76" spans="1:14" ht="13.8">
      <c r="A76" s="187"/>
      <c r="B76" s="225"/>
      <c r="C76" s="513" t="s">
        <v>1687</v>
      </c>
      <c r="D76" s="513"/>
      <c r="E76" s="514"/>
      <c r="F76" s="185"/>
      <c r="G76" s="185"/>
      <c r="H76" s="185"/>
      <c r="I76" s="185"/>
      <c r="J76" s="185"/>
      <c r="K76" s="185"/>
      <c r="L76" s="185"/>
      <c r="M76" s="185"/>
      <c r="N76" s="188"/>
    </row>
    <row r="77" spans="1:14">
      <c r="A77" s="187"/>
      <c r="B77" s="1069" t="s">
        <v>215</v>
      </c>
      <c r="C77" s="1070"/>
      <c r="D77" s="1073" t="s">
        <v>1688</v>
      </c>
      <c r="E77" s="1074"/>
      <c r="F77" s="1074"/>
      <c r="G77" s="1075"/>
      <c r="H77" s="1076" t="s">
        <v>1674</v>
      </c>
      <c r="I77" s="185"/>
      <c r="J77" s="185"/>
      <c r="K77" s="185"/>
      <c r="L77" s="185"/>
      <c r="M77" s="185"/>
      <c r="N77" s="188"/>
    </row>
    <row r="78" spans="1:14">
      <c r="A78" s="187"/>
      <c r="B78" s="1071"/>
      <c r="C78" s="1072"/>
      <c r="D78" s="515">
        <v>0</v>
      </c>
      <c r="E78" s="515">
        <v>1</v>
      </c>
      <c r="F78" s="515">
        <v>3</v>
      </c>
      <c r="G78" s="515">
        <v>5</v>
      </c>
      <c r="H78" s="1077"/>
    </row>
    <row r="79" spans="1:14">
      <c r="A79" s="187"/>
      <c r="B79" s="1068" t="s">
        <v>216</v>
      </c>
      <c r="C79" s="1068"/>
      <c r="D79" s="516" t="s">
        <v>308</v>
      </c>
      <c r="E79" s="516" t="s">
        <v>1689</v>
      </c>
      <c r="F79" s="1078"/>
      <c r="G79" s="1079"/>
      <c r="H79" s="1082" t="s">
        <v>1690</v>
      </c>
    </row>
    <row r="80" spans="1:14">
      <c r="A80" s="187"/>
      <c r="B80" s="1066" t="s">
        <v>1675</v>
      </c>
      <c r="C80" s="1067"/>
      <c r="D80" s="516" t="s">
        <v>1691</v>
      </c>
      <c r="E80" s="516" t="s">
        <v>1692</v>
      </c>
      <c r="F80" s="1080"/>
      <c r="G80" s="1081"/>
      <c r="H80" s="1083"/>
    </row>
    <row r="81" spans="1:8">
      <c r="A81" s="187"/>
      <c r="B81" s="1066" t="s">
        <v>1693</v>
      </c>
      <c r="C81" s="1067"/>
      <c r="D81" s="517"/>
      <c r="E81" s="516" t="s">
        <v>1694</v>
      </c>
      <c r="F81" s="516" t="s">
        <v>1695</v>
      </c>
      <c r="G81" s="518" t="s">
        <v>1696</v>
      </c>
      <c r="H81" s="519">
        <v>0.6</v>
      </c>
    </row>
    <row r="82" spans="1:8" ht="118.8">
      <c r="A82" s="187"/>
      <c r="B82" s="1068" t="s">
        <v>233</v>
      </c>
      <c r="C82" s="1068"/>
      <c r="D82" s="517"/>
      <c r="E82" s="520" t="s">
        <v>1697</v>
      </c>
      <c r="F82" s="520" t="s">
        <v>1698</v>
      </c>
      <c r="G82" s="521" t="s">
        <v>1699</v>
      </c>
      <c r="H82" s="519">
        <v>0.2</v>
      </c>
    </row>
    <row r="83" spans="1:8" ht="52.8">
      <c r="A83" s="187"/>
      <c r="B83" s="1068" t="s">
        <v>1700</v>
      </c>
      <c r="C83" s="1068"/>
      <c r="D83" s="517"/>
      <c r="E83" s="520" t="s">
        <v>1701</v>
      </c>
      <c r="F83" s="520" t="s">
        <v>1702</v>
      </c>
      <c r="G83" s="521" t="s">
        <v>1703</v>
      </c>
      <c r="H83" s="519">
        <v>0.1</v>
      </c>
    </row>
    <row r="84" spans="1:8" ht="52.8">
      <c r="A84" s="187"/>
      <c r="B84" s="1066" t="s">
        <v>1704</v>
      </c>
      <c r="C84" s="1067"/>
      <c r="D84" s="517"/>
      <c r="E84" s="520" t="s">
        <v>1705</v>
      </c>
      <c r="F84" s="520" t="s">
        <v>594</v>
      </c>
      <c r="G84" s="521" t="s">
        <v>1706</v>
      </c>
      <c r="H84" s="519">
        <v>0.1</v>
      </c>
    </row>
    <row r="85" spans="1:8">
      <c r="A85" s="187"/>
      <c r="B85" s="522"/>
      <c r="C85" s="522" t="s">
        <v>2736</v>
      </c>
      <c r="D85" s="522"/>
      <c r="E85" s="522"/>
      <c r="F85" s="522"/>
      <c r="G85" s="522"/>
    </row>
    <row r="86" spans="1:8">
      <c r="A86" s="187"/>
      <c r="B86" s="522"/>
      <c r="C86" s="522" t="s">
        <v>2737</v>
      </c>
      <c r="D86" s="522"/>
      <c r="E86" s="522"/>
      <c r="F86" s="522"/>
      <c r="G86" s="522"/>
    </row>
  </sheetData>
  <mergeCells count="37">
    <mergeCell ref="A13:B13"/>
    <mergeCell ref="C13:P13"/>
    <mergeCell ref="A14:B14"/>
    <mergeCell ref="C14:P14"/>
    <mergeCell ref="A15:B15"/>
    <mergeCell ref="C15:P15"/>
    <mergeCell ref="A10:B10"/>
    <mergeCell ref="C10:P10"/>
    <mergeCell ref="A11:B11"/>
    <mergeCell ref="C11:P11"/>
    <mergeCell ref="A12:B12"/>
    <mergeCell ref="C12:P12"/>
    <mergeCell ref="A9:B9"/>
    <mergeCell ref="C9:P9"/>
    <mergeCell ref="A1:A4"/>
    <mergeCell ref="B1:N2"/>
    <mergeCell ref="O1:P2"/>
    <mergeCell ref="C3:D3"/>
    <mergeCell ref="F3:N3"/>
    <mergeCell ref="C4:D4"/>
    <mergeCell ref="F4:N4"/>
    <mergeCell ref="A5:P5"/>
    <mergeCell ref="B6:P6"/>
    <mergeCell ref="A7:P7"/>
    <mergeCell ref="A8:B8"/>
    <mergeCell ref="C8:P8"/>
    <mergeCell ref="D77:G77"/>
    <mergeCell ref="H77:H78"/>
    <mergeCell ref="B79:C79"/>
    <mergeCell ref="F79:G80"/>
    <mergeCell ref="H79:H80"/>
    <mergeCell ref="B80:C80"/>
    <mergeCell ref="B81:C81"/>
    <mergeCell ref="B82:C82"/>
    <mergeCell ref="B83:C83"/>
    <mergeCell ref="B84:C84"/>
    <mergeCell ref="B77:C78"/>
  </mergeCells>
  <conditionalFormatting sqref="F21:I2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{9AD576B4-E6D5-468B-8421-D0F62F6DE175}</x14:id>
        </ext>
      </extLst>
    </cfRule>
  </conditionalFormatting>
  <dataValidations count="1">
    <dataValidation type="list" allowBlank="1" showInputMessage="1" showErrorMessage="1" sqref="K21:K72" xr:uid="{885D0463-7965-48DB-BB6C-8342F4B5FFD0}">
      <formula1>"ไม่มีนัยสำคัญ/มีนัยสำคัญ, ไม่มีนัยสำคัญ, มีนัยสำคัญ"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D576B4-E6D5-468B-8421-D0F62F6DE1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F21:I21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B5F2-91BE-496D-80D5-A524A10F655A}">
  <sheetPr>
    <tabColor theme="9" tint="-0.249977111117893"/>
  </sheetPr>
  <dimension ref="A1:K46"/>
  <sheetViews>
    <sheetView zoomScale="85" zoomScaleNormal="85" workbookViewId="0">
      <selection activeCell="H49" sqref="H49"/>
    </sheetView>
  </sheetViews>
  <sheetFormatPr defaultColWidth="8.8984375" defaultRowHeight="13.8"/>
  <cols>
    <col min="1" max="1" width="10.5" style="225" customWidth="1"/>
    <col min="2" max="2" width="26.09765625" style="225" customWidth="1"/>
    <col min="3" max="3" width="44.09765625" style="225" customWidth="1"/>
    <col min="4" max="4" width="12" style="225" bestFit="1" customWidth="1"/>
    <col min="5" max="5" width="17.8984375" style="225" customWidth="1"/>
    <col min="6" max="6" width="8.8984375" style="225"/>
    <col min="7" max="7" width="36.8984375" style="225" customWidth="1"/>
    <col min="8" max="8" width="27" style="225" customWidth="1"/>
    <col min="9" max="9" width="26.8984375" style="225" customWidth="1"/>
    <col min="10" max="10" width="17.59765625" style="225" customWidth="1"/>
    <col min="11" max="11" width="68.8984375" style="225" customWidth="1"/>
    <col min="12" max="16384" width="8.8984375" style="225"/>
  </cols>
  <sheetData>
    <row r="1" spans="1:11" ht="27.6">
      <c r="A1" s="884" t="s">
        <v>2815</v>
      </c>
      <c r="B1" s="884" t="s">
        <v>2816</v>
      </c>
      <c r="C1" s="884" t="s">
        <v>231</v>
      </c>
      <c r="D1" s="884" t="s">
        <v>17</v>
      </c>
      <c r="E1" s="884" t="s">
        <v>389</v>
      </c>
      <c r="F1" s="885" t="s">
        <v>305</v>
      </c>
      <c r="G1" s="885" t="s">
        <v>390</v>
      </c>
      <c r="H1" s="886" t="s">
        <v>391</v>
      </c>
      <c r="I1" s="886" t="s">
        <v>1681</v>
      </c>
      <c r="J1" s="886" t="s">
        <v>1682</v>
      </c>
      <c r="K1" s="886" t="s">
        <v>392</v>
      </c>
    </row>
    <row r="2" spans="1:11">
      <c r="A2" s="568" t="s">
        <v>2823</v>
      </c>
      <c r="B2" s="568" t="s">
        <v>2824</v>
      </c>
      <c r="C2" s="864" t="s">
        <v>2825</v>
      </c>
      <c r="D2" s="568"/>
      <c r="E2" s="568"/>
      <c r="F2" s="568"/>
      <c r="G2" s="568"/>
      <c r="H2" s="568"/>
      <c r="I2" s="568"/>
      <c r="J2" s="568"/>
      <c r="K2" s="568"/>
    </row>
    <row r="3" spans="1:11">
      <c r="A3" s="568"/>
      <c r="B3" s="568"/>
      <c r="C3" s="865" t="str">
        <f>'Scope 3.1.1 วัตถุดิบผลิต'!A4</f>
        <v>เม็ดพลาสติก LDPE</v>
      </c>
      <c r="D3" s="866" t="str">
        <f>'Scope 3.1.1 วัตถุดิบผลิต'!E4</f>
        <v>Kg</v>
      </c>
      <c r="E3" s="867">
        <f>'Scope 3.1.1 วัตถุดิบผลิต'!F4</f>
        <v>3887250</v>
      </c>
      <c r="F3" s="865"/>
      <c r="G3" s="868" t="s">
        <v>1765</v>
      </c>
      <c r="H3" s="887">
        <f>2.6258</f>
        <v>2.6257999999999999</v>
      </c>
      <c r="I3" s="869">
        <f>E3*H3/1000</f>
        <v>10207.141049999998</v>
      </c>
      <c r="J3" s="870">
        <f>I3/$I$46*100</f>
        <v>26.535074023317591</v>
      </c>
      <c r="K3" s="871" t="s">
        <v>1787</v>
      </c>
    </row>
    <row r="4" spans="1:11">
      <c r="A4" s="568"/>
      <c r="B4" s="568"/>
      <c r="C4" s="865" t="str">
        <f>'Scope 3.1.1 วัตถุดิบผลิต'!A7</f>
        <v>เม็ดพลาสติก LLDPE</v>
      </c>
      <c r="D4" s="866" t="str">
        <f>'Scope 3.1.1 วัตถุดิบผลิต'!E7</f>
        <v>Kg</v>
      </c>
      <c r="E4" s="867">
        <f>'Scope 3.1.1 วัตถุดิบผลิต'!F7</f>
        <v>3753000</v>
      </c>
      <c r="F4" s="865"/>
      <c r="G4" s="868" t="s">
        <v>1765</v>
      </c>
      <c r="H4" s="872">
        <f>2.1356</f>
        <v>2.1356000000000002</v>
      </c>
      <c r="I4" s="869">
        <f t="shared" ref="I4:I5" si="0">E4*H4/1000</f>
        <v>8014.9068000000007</v>
      </c>
      <c r="J4" s="870">
        <f>I4/$I$46*100</f>
        <v>20.83601511786609</v>
      </c>
      <c r="K4" s="871" t="s">
        <v>1788</v>
      </c>
    </row>
    <row r="5" spans="1:11">
      <c r="A5" s="568"/>
      <c r="B5" s="568"/>
      <c r="C5" s="865" t="str">
        <f>'Scope 3.1.1 วัตถุดิบผลิต'!A12</f>
        <v>เม็ดพลาสติก HDPE</v>
      </c>
      <c r="D5" s="866" t="str">
        <f>'Scope 3.1.1 วัตถุดิบผลิต'!E12</f>
        <v>Kg</v>
      </c>
      <c r="E5" s="867">
        <f>'Scope 3.1.1 วัตถุดิบผลิต'!F12</f>
        <v>869250</v>
      </c>
      <c r="F5" s="865"/>
      <c r="G5" s="868" t="s">
        <v>1765</v>
      </c>
      <c r="H5" s="872">
        <f>6.7071</f>
        <v>6.7070999999999996</v>
      </c>
      <c r="I5" s="869">
        <f t="shared" si="0"/>
        <v>5830.146675</v>
      </c>
      <c r="J5" s="870">
        <f>I5/$I$46*100</f>
        <v>15.156386379898604</v>
      </c>
      <c r="K5" s="871" t="s">
        <v>1789</v>
      </c>
    </row>
    <row r="6" spans="1:11">
      <c r="A6" s="568"/>
      <c r="B6" s="568"/>
      <c r="C6" s="568" t="str">
        <f>'Scope 3.1.1 วัตถุดิบผลิต'!A15</f>
        <v xml:space="preserve">กระดาษกล่องแป้งหลังเทา </v>
      </c>
      <c r="D6" s="873" t="str">
        <f>'Scope 3.1.1 วัตถุดิบผลิต'!E15</f>
        <v>Kg</v>
      </c>
      <c r="E6" s="874">
        <f>'Scope 3.1.1 วัตถุดิบผลิต'!F15</f>
        <v>949673.69400000002</v>
      </c>
      <c r="F6" s="568"/>
      <c r="G6" s="875" t="s">
        <v>1765</v>
      </c>
      <c r="H6" s="876">
        <v>1.8678999999999999</v>
      </c>
      <c r="I6" s="877">
        <f>E6*H6/1000</f>
        <v>1773.8954930226</v>
      </c>
      <c r="J6" s="878">
        <f>I6/$I$46*100</f>
        <v>4.6115212855791929</v>
      </c>
      <c r="K6" s="871" t="s">
        <v>2727</v>
      </c>
    </row>
    <row r="7" spans="1:11">
      <c r="A7" s="568"/>
      <c r="B7" s="568"/>
      <c r="C7" s="568" t="str">
        <f>'Scope 3.1.1 วัตถุดิบผลิต'!A19</f>
        <v xml:space="preserve">กระดาษคราฟท์ ชนิดทาลอน </v>
      </c>
      <c r="D7" s="873" t="str">
        <f>'Scope 3.1.1 วัตถุดิบผลิต'!E19</f>
        <v>Kg</v>
      </c>
      <c r="E7" s="874">
        <f>'Scope 3.1.1 วัตถุดิบผลิต'!F19</f>
        <v>848073.02600000007</v>
      </c>
      <c r="F7" s="568"/>
      <c r="G7" s="875" t="s">
        <v>1765</v>
      </c>
      <c r="H7" s="876">
        <v>1.6184000000000001</v>
      </c>
      <c r="I7" s="877">
        <f>E7*H7/1000</f>
        <v>1372.5213852784002</v>
      </c>
      <c r="J7" s="878">
        <f>I7/$I$46*100</f>
        <v>3.5680859487043879</v>
      </c>
      <c r="K7" s="871" t="s">
        <v>2726</v>
      </c>
    </row>
    <row r="8" spans="1:11">
      <c r="A8" s="568"/>
      <c r="B8" s="568"/>
      <c r="C8" s="568" t="str">
        <f>'Scope 3.1.2 น้ำประปา'!A3</f>
        <v>น้ำประปา (การนิคมฯ)</v>
      </c>
      <c r="D8" s="873" t="str">
        <f>'Scope 3.1.2 น้ำประปา'!D3</f>
        <v>m3</v>
      </c>
      <c r="E8" s="874">
        <f>'Scope 3.1.2 น้ำประปา'!E3</f>
        <v>58363</v>
      </c>
      <c r="F8" s="568"/>
      <c r="G8" s="568" t="str">
        <f>'Scope 3.1.2 น้ำประปา'!C3</f>
        <v>ใบเสร็จ/ใบแจ้งหนี้ค่าประปา</v>
      </c>
      <c r="H8" s="876">
        <v>0.25750000000000001</v>
      </c>
      <c r="I8" s="877">
        <f>E8*H8/1000</f>
        <v>15.028472499999999</v>
      </c>
      <c r="J8" s="878">
        <f t="shared" ref="J8" si="1">I8/$I$46*100</f>
        <v>3.9068886017294017E-2</v>
      </c>
      <c r="K8" s="568" t="s">
        <v>1602</v>
      </c>
    </row>
    <row r="9" spans="1:11">
      <c r="A9" s="568"/>
      <c r="B9" s="568"/>
      <c r="C9" s="568" t="str">
        <f>'Scope 3.1.2 น้ำประปา'!A8</f>
        <v>น้ำประปา (กปน)</v>
      </c>
      <c r="D9" s="873" t="str">
        <f>'Scope 3.1.2 น้ำประปา'!D8</f>
        <v>m3</v>
      </c>
      <c r="E9" s="874">
        <f>'Scope 3.1.2 น้ำประปา'!E8</f>
        <v>759</v>
      </c>
      <c r="F9" s="568"/>
      <c r="G9" s="568" t="str">
        <f>'Scope 3.1.2 น้ำประปา'!C8</f>
        <v>ใบเสร็จ/ใบแจ้งหนี้ค่าประปา</v>
      </c>
      <c r="H9" s="876">
        <v>0.79479999999999995</v>
      </c>
      <c r="I9" s="877">
        <f t="shared" ref="I9:I12" si="2">E9*H9/1000</f>
        <v>0.60325320000000004</v>
      </c>
      <c r="J9" s="878">
        <f t="shared" ref="J9:J14" si="3">I9/$I$46*100</f>
        <v>1.5682518972149613E-3</v>
      </c>
      <c r="K9" s="568" t="s">
        <v>1603</v>
      </c>
    </row>
    <row r="10" spans="1:11">
      <c r="A10" s="568"/>
      <c r="B10" s="568"/>
      <c r="C10" s="568" t="str">
        <f>'Scope 3.1.3 กระดาษ A4'!A5</f>
        <v>กระดาษ A4  70 แกรม</v>
      </c>
      <c r="D10" s="567" t="str">
        <f>'Scope 3.1.3 กระดาษ A4'!C5</f>
        <v>kg</v>
      </c>
      <c r="E10" s="879">
        <f>'Scope 3.1.3 กระดาษ A4'!D5</f>
        <v>480.24899999999997</v>
      </c>
      <c r="F10" s="568"/>
      <c r="G10" s="568" t="s">
        <v>277</v>
      </c>
      <c r="H10" s="876">
        <v>2.1019999999999999</v>
      </c>
      <c r="I10" s="877">
        <f t="shared" si="2"/>
        <v>1.0094833979999998</v>
      </c>
      <c r="J10" s="878">
        <f t="shared" si="3"/>
        <v>2.6243114070849611E-3</v>
      </c>
      <c r="K10" s="568" t="s">
        <v>1783</v>
      </c>
    </row>
    <row r="11" spans="1:11">
      <c r="A11" s="568"/>
      <c r="B11" s="568"/>
      <c r="C11" s="568" t="str">
        <f>'Scope 3.1.3 กระดาษ A4'!A8</f>
        <v>กระดาษ A4  80 แกรม</v>
      </c>
      <c r="D11" s="873" t="str">
        <f>'Scope 3.1.3 กระดาษ A4'!C8</f>
        <v>kg</v>
      </c>
      <c r="E11" s="879">
        <f>'Scope 3.1.3 กระดาษ A4'!D8</f>
        <v>3043.6559999999995</v>
      </c>
      <c r="F11" s="568"/>
      <c r="G11" s="568" t="s">
        <v>277</v>
      </c>
      <c r="H11" s="876">
        <v>2.1019999999999999</v>
      </c>
      <c r="I11" s="877">
        <f t="shared" si="2"/>
        <v>6.3977649119999986</v>
      </c>
      <c r="J11" s="878">
        <f t="shared" si="3"/>
        <v>1.6631999566980013E-2</v>
      </c>
      <c r="K11" s="568" t="s">
        <v>1783</v>
      </c>
    </row>
    <row r="12" spans="1:11">
      <c r="A12" s="568"/>
      <c r="B12" s="568"/>
      <c r="C12" s="568" t="str">
        <f>'1.4.4 ปุ๋ย'!A3</f>
        <v>ปุ๋ยเคมี 16-16-16</v>
      </c>
      <c r="D12" s="873" t="str">
        <f>'1.4.4 ปุ๋ย'!C3</f>
        <v>Kg</v>
      </c>
      <c r="E12" s="890">
        <f>'1.4.4 ปุ๋ย'!D3</f>
        <v>50</v>
      </c>
      <c r="F12" s="568"/>
      <c r="G12" s="568" t="str">
        <f>'1.4.4 ปุ๋ย'!B3</f>
        <v>บิลเงินสด</v>
      </c>
      <c r="H12" s="876">
        <f>'1.4.4 ปุ๋ย'!Q4</f>
        <v>0.85960000000000003</v>
      </c>
      <c r="I12" s="877">
        <f t="shared" si="2"/>
        <v>4.2980000000000004E-2</v>
      </c>
      <c r="J12" s="878">
        <f t="shared" si="3"/>
        <v>1.1173329298924407E-4</v>
      </c>
      <c r="K12" s="568" t="s">
        <v>2814</v>
      </c>
    </row>
    <row r="13" spans="1:11">
      <c r="A13" s="568"/>
      <c r="B13" s="568"/>
      <c r="C13" s="568" t="str">
        <f>'Scope 3.1.4 จ้างเหมารถพนักงาน'!A4</f>
        <v>น้ำมัน Diesel B7 รถรับส่งพนักงาน</v>
      </c>
      <c r="D13" s="873" t="s">
        <v>296</v>
      </c>
      <c r="E13" s="890">
        <f>'Scope 3.1.4 จ้างเหมารถพนักงาน'!J4</f>
        <v>36567.508771929824</v>
      </c>
      <c r="F13" s="568"/>
      <c r="G13" s="568" t="s">
        <v>364</v>
      </c>
      <c r="H13" s="876">
        <f>'EF TGO AR5'!H29</f>
        <v>2.2394242399999995</v>
      </c>
      <c r="I13" s="877">
        <f>E13*H13/1000</f>
        <v>81.890165540272264</v>
      </c>
      <c r="J13" s="878">
        <f t="shared" si="3"/>
        <v>0.21288640900997993</v>
      </c>
      <c r="K13" s="568" t="s">
        <v>2817</v>
      </c>
    </row>
    <row r="14" spans="1:11">
      <c r="A14" s="568"/>
      <c r="B14" s="568"/>
      <c r="C14" s="568" t="str">
        <f>'Scope 3.1.4 จ้างเหมารถพนักงาน'!A4</f>
        <v>น้ำมัน Diesel B7 รถรับส่งพนักงาน</v>
      </c>
      <c r="D14" s="873" t="s">
        <v>61</v>
      </c>
      <c r="E14" s="890">
        <f>E13*0.83</f>
        <v>30351.032280701751</v>
      </c>
      <c r="F14" s="568"/>
      <c r="G14" s="568" t="s">
        <v>364</v>
      </c>
      <c r="H14" s="876">
        <v>0.35220000000000001</v>
      </c>
      <c r="I14" s="877">
        <f>E14*H14/1000</f>
        <v>10.689633569263156</v>
      </c>
      <c r="J14" s="878">
        <f t="shared" si="3"/>
        <v>2.7789389472827799E-2</v>
      </c>
      <c r="K14" s="568" t="s">
        <v>1745</v>
      </c>
    </row>
    <row r="15" spans="1:11">
      <c r="A15" s="568" t="s">
        <v>2827</v>
      </c>
      <c r="B15" s="568" t="s">
        <v>2833</v>
      </c>
      <c r="C15" s="864" t="s">
        <v>235</v>
      </c>
      <c r="D15" s="568"/>
      <c r="E15" s="874"/>
      <c r="F15" s="568"/>
      <c r="G15" s="568"/>
      <c r="H15" s="568"/>
      <c r="I15" s="568"/>
      <c r="J15" s="878"/>
      <c r="K15" s="568"/>
    </row>
    <row r="16" spans="1:11">
      <c r="A16" s="568"/>
      <c r="B16" s="568"/>
      <c r="C16" s="568" t="s">
        <v>394</v>
      </c>
      <c r="D16" s="873" t="s">
        <v>416</v>
      </c>
      <c r="E16" s="879">
        <f>'Scope 2.1 Purchased Electricity'!E3+'Scope 2.1 Purchased Electricity'!E7+'Scope 2.1 Purchased Electricity'!E12+'Scope 2.1 Purchased Electricity'!E15</f>
        <v>12873090.23</v>
      </c>
      <c r="F16" s="568"/>
      <c r="G16" s="568" t="s">
        <v>1743</v>
      </c>
      <c r="H16" s="568">
        <f>0.5986-0.4999</f>
        <v>9.870000000000001E-2</v>
      </c>
      <c r="I16" s="877">
        <f t="shared" ref="I16:I19" si="4">E16*H16/1000</f>
        <v>1270.574005701</v>
      </c>
      <c r="J16" s="878">
        <f>I16/$I$46*100</f>
        <v>3.3030576464287407</v>
      </c>
      <c r="K16" s="568" t="s">
        <v>395</v>
      </c>
    </row>
    <row r="17" spans="1:11">
      <c r="A17" s="568"/>
      <c r="B17" s="568"/>
      <c r="C17" s="568" t="s">
        <v>1673</v>
      </c>
      <c r="D17" s="873" t="s">
        <v>61</v>
      </c>
      <c r="E17" s="879">
        <f>'1.1 Stationary '!D11</f>
        <v>50</v>
      </c>
      <c r="F17" s="568"/>
      <c r="G17" s="568" t="s">
        <v>396</v>
      </c>
      <c r="H17" s="568">
        <v>2.2804000000000002</v>
      </c>
      <c r="I17" s="877">
        <f t="shared" si="4"/>
        <v>0.11402000000000001</v>
      </c>
      <c r="J17" s="878">
        <f>I17/$I$46*100</f>
        <v>2.9641298433302949E-4</v>
      </c>
      <c r="K17" s="568" t="s">
        <v>1744</v>
      </c>
    </row>
    <row r="18" spans="1:11">
      <c r="A18" s="568"/>
      <c r="B18" s="568"/>
      <c r="C18" s="568" t="s">
        <v>397</v>
      </c>
      <c r="D18" s="873" t="s">
        <v>61</v>
      </c>
      <c r="E18" s="879">
        <f>('1.1 Stationary '!D9+'1.2 Mobile'!F13+'1.2 Mobile'!F57)*0.83</f>
        <v>18803.552059999998</v>
      </c>
      <c r="F18" s="568"/>
      <c r="G18" s="568" t="s">
        <v>398</v>
      </c>
      <c r="H18" s="568">
        <v>0.35220000000000001</v>
      </c>
      <c r="I18" s="877">
        <f t="shared" si="4"/>
        <v>6.6226110355319996</v>
      </c>
      <c r="J18" s="878">
        <f>I18/$I$46*100</f>
        <v>1.7216522549718425E-2</v>
      </c>
      <c r="K18" s="568" t="s">
        <v>1745</v>
      </c>
    </row>
    <row r="19" spans="1:11">
      <c r="A19" s="568"/>
      <c r="B19" s="568"/>
      <c r="C19" s="568" t="s">
        <v>399</v>
      </c>
      <c r="D19" s="873" t="s">
        <v>61</v>
      </c>
      <c r="E19" s="879">
        <f>('1.1 Stationary '!D10+'1.2 Mobile'!F43)*0.75</f>
        <v>3181.1819999999998</v>
      </c>
      <c r="F19" s="568"/>
      <c r="G19" s="568" t="s">
        <v>398</v>
      </c>
      <c r="H19" s="568">
        <v>0.40239999999999998</v>
      </c>
      <c r="I19" s="877">
        <f t="shared" si="4"/>
        <v>1.2801076367999999</v>
      </c>
      <c r="J19" s="878">
        <f>I19/$I$46*100</f>
        <v>3.3278418250428849E-3</v>
      </c>
      <c r="K19" s="568" t="s">
        <v>1746</v>
      </c>
    </row>
    <row r="20" spans="1:11">
      <c r="A20" s="568" t="s">
        <v>2828</v>
      </c>
      <c r="B20" s="568" t="s">
        <v>2834</v>
      </c>
      <c r="C20" s="864" t="s">
        <v>237</v>
      </c>
      <c r="D20" s="873"/>
      <c r="E20" s="874"/>
      <c r="F20" s="568"/>
      <c r="G20" s="568"/>
      <c r="H20" s="568"/>
      <c r="I20" s="568"/>
      <c r="J20" s="878"/>
      <c r="K20" s="568"/>
    </row>
    <row r="21" spans="1:11">
      <c r="A21" s="568"/>
      <c r="B21" s="568"/>
      <c r="C21" s="568" t="s">
        <v>1707</v>
      </c>
      <c r="D21" s="873" t="s">
        <v>400</v>
      </c>
      <c r="E21" s="874">
        <f>'Scope 3.4'!I4</f>
        <v>234729</v>
      </c>
      <c r="F21" s="568"/>
      <c r="G21" s="568" t="s">
        <v>401</v>
      </c>
      <c r="H21" s="888">
        <v>4.5400000000000003E-2</v>
      </c>
      <c r="I21" s="877">
        <f t="shared" ref="I21:I27" si="5">E21*H21/1000</f>
        <v>10.656696600000002</v>
      </c>
      <c r="J21" s="878">
        <f t="shared" ref="J21:J27" si="6">I21/$I$46*100</f>
        <v>2.7703764623203377E-2</v>
      </c>
      <c r="K21" s="568" t="s">
        <v>1604</v>
      </c>
    </row>
    <row r="22" spans="1:11">
      <c r="A22" s="568"/>
      <c r="B22" s="568"/>
      <c r="C22" s="568" t="s">
        <v>1708</v>
      </c>
      <c r="D22" s="873" t="s">
        <v>402</v>
      </c>
      <c r="E22" s="874">
        <f>'Scope 3.4'!J4</f>
        <v>14670.5625</v>
      </c>
      <c r="F22" s="568"/>
      <c r="G22" s="568" t="s">
        <v>401</v>
      </c>
      <c r="H22" s="889">
        <v>0.57469999999999999</v>
      </c>
      <c r="I22" s="877">
        <f t="shared" si="5"/>
        <v>8.4311722687500001</v>
      </c>
      <c r="J22" s="878">
        <f t="shared" si="6"/>
        <v>2.1918162897790441E-2</v>
      </c>
      <c r="K22" s="568" t="s">
        <v>1605</v>
      </c>
    </row>
    <row r="23" spans="1:11">
      <c r="A23" s="568"/>
      <c r="B23" s="568"/>
      <c r="C23" s="568" t="s">
        <v>1709</v>
      </c>
      <c r="D23" s="873" t="s">
        <v>400</v>
      </c>
      <c r="E23" s="874">
        <f>'Scope 3.4'!K4</f>
        <v>241196.53363899997</v>
      </c>
      <c r="F23" s="568"/>
      <c r="G23" s="568" t="s">
        <v>401</v>
      </c>
      <c r="H23" s="888">
        <v>5.4699999999999999E-2</v>
      </c>
      <c r="I23" s="877">
        <f t="shared" si="5"/>
        <v>13.193450390053298</v>
      </c>
      <c r="J23" s="878">
        <f t="shared" si="6"/>
        <v>3.4298456444180579E-2</v>
      </c>
      <c r="K23" s="568" t="s">
        <v>1606</v>
      </c>
    </row>
    <row r="24" spans="1:11">
      <c r="A24" s="568"/>
      <c r="B24" s="568"/>
      <c r="C24" s="568" t="s">
        <v>1710</v>
      </c>
      <c r="D24" s="873" t="s">
        <v>402</v>
      </c>
      <c r="E24" s="874">
        <f>'Scope 3.4'!L4</f>
        <v>21926.957603545456</v>
      </c>
      <c r="F24" s="568"/>
      <c r="G24" s="568" t="s">
        <v>401</v>
      </c>
      <c r="H24" s="888">
        <v>0.43730000000000002</v>
      </c>
      <c r="I24" s="877">
        <f t="shared" si="5"/>
        <v>9.5886585600304279</v>
      </c>
      <c r="J24" s="878">
        <f t="shared" si="6"/>
        <v>2.4927231183380708E-2</v>
      </c>
      <c r="K24" s="568" t="s">
        <v>1607</v>
      </c>
    </row>
    <row r="25" spans="1:11">
      <c r="A25" s="568"/>
      <c r="B25" s="568"/>
      <c r="C25" s="568" t="s">
        <v>1711</v>
      </c>
      <c r="D25" s="873" t="s">
        <v>400</v>
      </c>
      <c r="E25" s="874">
        <f>'Scope 3.4'!M4</f>
        <v>779.53160000000014</v>
      </c>
      <c r="F25" s="568"/>
      <c r="G25" s="568" t="s">
        <v>401</v>
      </c>
      <c r="H25" s="888">
        <v>0.1835</v>
      </c>
      <c r="I25" s="877">
        <f t="shared" si="5"/>
        <v>0.14304404860000003</v>
      </c>
      <c r="J25" s="878">
        <f t="shared" si="6"/>
        <v>3.7186557916685594E-4</v>
      </c>
      <c r="K25" s="568" t="s">
        <v>1608</v>
      </c>
    </row>
    <row r="26" spans="1:11">
      <c r="A26" s="568"/>
      <c r="B26" s="568"/>
      <c r="C26" s="568" t="s">
        <v>1712</v>
      </c>
      <c r="D26" s="873" t="s">
        <v>402</v>
      </c>
      <c r="E26" s="874">
        <f>'Scope 3.4'!N4</f>
        <v>111.36165714285717</v>
      </c>
      <c r="F26" s="568"/>
      <c r="G26" s="568" t="s">
        <v>401</v>
      </c>
      <c r="H26" s="888">
        <v>0.33450000000000002</v>
      </c>
      <c r="I26" s="877">
        <f t="shared" si="5"/>
        <v>3.7250474314285728E-2</v>
      </c>
      <c r="J26" s="878">
        <f t="shared" si="6"/>
        <v>9.6838486750730498E-5</v>
      </c>
      <c r="K26" s="568" t="s">
        <v>1609</v>
      </c>
    </row>
    <row r="27" spans="1:11">
      <c r="A27" s="568"/>
      <c r="B27" s="568"/>
      <c r="C27" s="568" t="s">
        <v>1601</v>
      </c>
      <c r="D27" s="873" t="s">
        <v>400</v>
      </c>
      <c r="E27" s="874">
        <f>'Scope 3.4'!O4</f>
        <v>41061781.035000004</v>
      </c>
      <c r="F27" s="568"/>
      <c r="G27" s="568" t="s">
        <v>401</v>
      </c>
      <c r="H27" s="888">
        <v>1.0699999999999999E-2</v>
      </c>
      <c r="I27" s="877">
        <f t="shared" si="5"/>
        <v>439.36105707450002</v>
      </c>
      <c r="J27" s="878">
        <f t="shared" si="6"/>
        <v>1.142188406658192</v>
      </c>
      <c r="K27" s="568" t="s">
        <v>1610</v>
      </c>
    </row>
    <row r="28" spans="1:11">
      <c r="A28" s="568" t="s">
        <v>2829</v>
      </c>
      <c r="B28" s="568" t="s">
        <v>2835</v>
      </c>
      <c r="C28" s="864" t="s">
        <v>238</v>
      </c>
      <c r="D28" s="568"/>
      <c r="E28" s="874"/>
      <c r="F28" s="568"/>
      <c r="G28" s="568"/>
      <c r="H28" s="568"/>
      <c r="I28" s="568"/>
      <c r="J28" s="878"/>
      <c r="K28" s="568"/>
    </row>
    <row r="29" spans="1:11">
      <c r="A29" s="568"/>
      <c r="B29" s="568"/>
      <c r="C29" s="880" t="s">
        <v>404</v>
      </c>
      <c r="D29" s="568"/>
      <c r="E29" s="874"/>
      <c r="F29" s="568"/>
      <c r="G29" s="568"/>
      <c r="H29" s="568"/>
      <c r="I29" s="568"/>
      <c r="J29" s="878"/>
      <c r="K29" s="568"/>
    </row>
    <row r="30" spans="1:11">
      <c r="A30" s="568"/>
      <c r="B30" s="568"/>
      <c r="C30" s="568" t="str">
        <f>'Scope 3.5'!A4</f>
        <v>ขยะมูลฝอยทั่วไป</v>
      </c>
      <c r="D30" s="873" t="s">
        <v>61</v>
      </c>
      <c r="E30" s="874">
        <f>'Scope 3.5'!F4</f>
        <v>150000</v>
      </c>
      <c r="F30" s="568"/>
      <c r="G30" s="568" t="s">
        <v>1791</v>
      </c>
      <c r="H30" s="888">
        <v>0.79330000000000001</v>
      </c>
      <c r="I30" s="877">
        <f>E30*H30/1000</f>
        <v>118.995</v>
      </c>
      <c r="J30" s="878">
        <f>I30/$I$46*100</f>
        <v>0.30934628197429259</v>
      </c>
      <c r="K30" s="568" t="s">
        <v>406</v>
      </c>
    </row>
    <row r="31" spans="1:11">
      <c r="A31" s="568"/>
      <c r="B31" s="568"/>
      <c r="C31" s="568" t="str">
        <f>'Scope 3.5'!A5</f>
        <v>ขยะอันตราย</v>
      </c>
      <c r="D31" s="873" t="s">
        <v>61</v>
      </c>
      <c r="E31" s="874">
        <f>'Scope 3.5'!F5</f>
        <v>680</v>
      </c>
      <c r="F31" s="568"/>
      <c r="G31" s="568" t="s">
        <v>1792</v>
      </c>
      <c r="H31" s="888">
        <v>0.79330000000000001</v>
      </c>
      <c r="I31" s="877">
        <f>E31*H31/1000</f>
        <v>0.53944399999999992</v>
      </c>
      <c r="J31" s="878">
        <f>I31/$I$46*100</f>
        <v>1.4023698116167928E-3</v>
      </c>
      <c r="K31" s="568" t="s">
        <v>407</v>
      </c>
    </row>
    <row r="32" spans="1:11">
      <c r="A32" s="568"/>
      <c r="B32" s="568"/>
      <c r="C32" s="880" t="s">
        <v>408</v>
      </c>
      <c r="D32" s="568"/>
      <c r="E32" s="874"/>
      <c r="F32" s="568"/>
      <c r="G32" s="568"/>
      <c r="H32" s="568"/>
      <c r="I32" s="568"/>
      <c r="J32" s="878"/>
      <c r="K32" s="568"/>
    </row>
    <row r="33" spans="1:11">
      <c r="A33" s="568"/>
      <c r="B33" s="568"/>
      <c r="C33" s="568" t="s">
        <v>1713</v>
      </c>
      <c r="D33" s="873" t="s">
        <v>400</v>
      </c>
      <c r="E33" s="874">
        <f>'Scope 3.5'!F23</f>
        <v>31132.931200000006</v>
      </c>
      <c r="F33" s="568"/>
      <c r="G33" s="568" t="s">
        <v>405</v>
      </c>
      <c r="H33" s="568">
        <v>5.33E-2</v>
      </c>
      <c r="I33" s="877">
        <f>E33*H33/1000</f>
        <v>1.6593852329600003</v>
      </c>
      <c r="J33" s="878">
        <f>I33/$I$46*100</f>
        <v>4.3138337928418967E-3</v>
      </c>
      <c r="K33" s="568"/>
    </row>
    <row r="34" spans="1:11">
      <c r="A34" s="568"/>
      <c r="B34" s="568"/>
      <c r="C34" s="568" t="s">
        <v>1715</v>
      </c>
      <c r="D34" s="873" t="s">
        <v>402</v>
      </c>
      <c r="E34" s="874">
        <f>'Scope 3.5'!G23</f>
        <v>1945.8082000000004</v>
      </c>
      <c r="F34" s="568"/>
      <c r="G34" s="568" t="s">
        <v>405</v>
      </c>
      <c r="H34" s="876">
        <v>0.59</v>
      </c>
      <c r="I34" s="877">
        <f>E34*H34/1000</f>
        <v>1.1480268380000003</v>
      </c>
      <c r="J34" s="878">
        <f>I34/$I$46*100</f>
        <v>2.9844769439220441E-3</v>
      </c>
      <c r="K34" s="568"/>
    </row>
    <row r="35" spans="1:11">
      <c r="A35" s="568"/>
      <c r="B35" s="568"/>
      <c r="C35" s="568" t="s">
        <v>1714</v>
      </c>
      <c r="D35" s="873" t="s">
        <v>400</v>
      </c>
      <c r="E35" s="874">
        <f>'Scope 3.5'!J23</f>
        <v>6000</v>
      </c>
      <c r="F35" s="568"/>
      <c r="G35" s="568" t="s">
        <v>405</v>
      </c>
      <c r="H35" s="888">
        <v>4.7500000000000001E-2</v>
      </c>
      <c r="I35" s="877">
        <f>E35*H35/1000</f>
        <v>0.28499999999999998</v>
      </c>
      <c r="J35" s="878">
        <f>I35/$I$46*100</f>
        <v>7.409024779417066E-4</v>
      </c>
      <c r="K35" s="568" t="s">
        <v>409</v>
      </c>
    </row>
    <row r="36" spans="1:11">
      <c r="A36" s="568"/>
      <c r="B36" s="568"/>
      <c r="C36" s="568" t="s">
        <v>1716</v>
      </c>
      <c r="D36" s="873" t="s">
        <v>402</v>
      </c>
      <c r="E36" s="874">
        <f>'Scope 3.5'!K23</f>
        <v>545.4545454545455</v>
      </c>
      <c r="F36" s="568"/>
      <c r="G36" s="568" t="s">
        <v>405</v>
      </c>
      <c r="H36" s="888">
        <v>0.49230000000000002</v>
      </c>
      <c r="I36" s="877">
        <f>E36*H36/1000</f>
        <v>0.26852727272727278</v>
      </c>
      <c r="J36" s="878">
        <f>I36/$I$46*100</f>
        <v>6.9807902371426265E-4</v>
      </c>
      <c r="K36" s="568" t="s">
        <v>410</v>
      </c>
    </row>
    <row r="37" spans="1:11">
      <c r="A37" s="568" t="s">
        <v>2830</v>
      </c>
      <c r="B37" s="568" t="s">
        <v>2836</v>
      </c>
      <c r="C37" s="864" t="s">
        <v>240</v>
      </c>
      <c r="D37" s="568"/>
      <c r="E37" s="879"/>
      <c r="F37" s="568"/>
      <c r="G37" s="568"/>
      <c r="H37" s="876"/>
      <c r="I37" s="568"/>
      <c r="J37" s="878"/>
      <c r="K37" s="568"/>
    </row>
    <row r="38" spans="1:11">
      <c r="A38" s="568"/>
      <c r="B38" s="568"/>
      <c r="C38" s="568" t="s">
        <v>412</v>
      </c>
      <c r="D38" s="873" t="s">
        <v>296</v>
      </c>
      <c r="E38" s="879">
        <f>'Scope 3.7'!Q4</f>
        <v>93466.5325148228</v>
      </c>
      <c r="F38" s="568"/>
      <c r="G38" s="568" t="s">
        <v>413</v>
      </c>
      <c r="H38" s="876">
        <f>'EF TGO AR5'!H30</f>
        <v>2.2719116000000001</v>
      </c>
      <c r="I38" s="877">
        <f>E38*H38/1000</f>
        <v>212.34769943220311</v>
      </c>
      <c r="J38" s="878">
        <f>I38/$I$46*100</f>
        <v>0.55203135682294746</v>
      </c>
      <c r="K38" s="568" t="s">
        <v>411</v>
      </c>
    </row>
    <row r="39" spans="1:11">
      <c r="A39" s="568"/>
      <c r="B39" s="568"/>
      <c r="C39" s="568" t="s">
        <v>414</v>
      </c>
      <c r="D39" s="873" t="s">
        <v>296</v>
      </c>
      <c r="E39" s="879">
        <f>'Scope 3.7'!P4</f>
        <v>83378.238341968929</v>
      </c>
      <c r="F39" s="568"/>
      <c r="G39" s="568" t="s">
        <v>413</v>
      </c>
      <c r="H39" s="876">
        <f>'EF TGO AR5'!H32</f>
        <v>2.7406232100000003</v>
      </c>
      <c r="I39" s="877">
        <f>E39*H39/1000</f>
        <v>228.508335208912</v>
      </c>
      <c r="J39" s="878">
        <f>I39/$I$46*100</f>
        <v>0.5940434799530423</v>
      </c>
      <c r="K39" s="568" t="s">
        <v>415</v>
      </c>
    </row>
    <row r="40" spans="1:11">
      <c r="A40" s="568" t="s">
        <v>2831</v>
      </c>
      <c r="B40" s="568" t="s">
        <v>2837</v>
      </c>
      <c r="C40" s="864" t="s">
        <v>242</v>
      </c>
      <c r="D40" s="873"/>
      <c r="E40" s="879"/>
      <c r="F40" s="568"/>
      <c r="G40" s="568"/>
      <c r="H40" s="568"/>
      <c r="I40" s="877"/>
      <c r="J40" s="878"/>
      <c r="K40" s="568"/>
    </row>
    <row r="41" spans="1:11">
      <c r="A41" s="568"/>
      <c r="B41" s="568"/>
      <c r="C41" s="568" t="s">
        <v>2716</v>
      </c>
      <c r="D41" s="873" t="str">
        <f>'Scope 3.9'!O3</f>
        <v>tkm</v>
      </c>
      <c r="E41" s="879">
        <f>'Scope 3.9'!O4</f>
        <v>68783.234091999926</v>
      </c>
      <c r="F41" s="568"/>
      <c r="G41" s="568" t="s">
        <v>2718</v>
      </c>
      <c r="H41" s="568">
        <v>4.0399999999999998E-2</v>
      </c>
      <c r="I41" s="877">
        <f>E41*H41/1000</f>
        <v>2.7788426573167966</v>
      </c>
      <c r="J41" s="878">
        <f>I41/$I$46*100</f>
        <v>7.2240400372495846E-3</v>
      </c>
      <c r="K41" s="568" t="s">
        <v>2721</v>
      </c>
    </row>
    <row r="42" spans="1:11">
      <c r="A42" s="568"/>
      <c r="B42" s="568"/>
      <c r="C42" s="568" t="s">
        <v>2717</v>
      </c>
      <c r="D42" s="873" t="str">
        <f>'Scope 3.9'!P3</f>
        <v>km</v>
      </c>
      <c r="E42" s="879">
        <f>'Scope 3.9'!P4</f>
        <v>2149.4760653749977</v>
      </c>
      <c r="F42" s="568"/>
      <c r="G42" s="568" t="s">
        <v>2718</v>
      </c>
      <c r="H42" s="876">
        <v>0.78700000000000003</v>
      </c>
      <c r="I42" s="877">
        <f>E42*H42/1000</f>
        <v>1.6916376634501231</v>
      </c>
      <c r="J42" s="878">
        <f>I42/$I$46*100</f>
        <v>4.3976790758937364E-3</v>
      </c>
      <c r="K42" s="568" t="s">
        <v>2720</v>
      </c>
    </row>
    <row r="43" spans="1:11">
      <c r="A43" s="568"/>
      <c r="B43" s="568"/>
      <c r="C43" s="568" t="s">
        <v>1601</v>
      </c>
      <c r="D43" s="873" t="str">
        <f>'Scope 3.9'!Q3</f>
        <v>tkm</v>
      </c>
      <c r="E43" s="879">
        <f>'Scope 3.9'!Q4</f>
        <v>104710480.09877001</v>
      </c>
      <c r="F43" s="568"/>
      <c r="G43" s="568" t="s">
        <v>2718</v>
      </c>
      <c r="H43" s="568">
        <v>1.0699999999999999E-2</v>
      </c>
      <c r="I43" s="877">
        <f>E43*H43/1000</f>
        <v>1120.4021370568389</v>
      </c>
      <c r="J43" s="878">
        <f>I43/$I$46*100</f>
        <v>2.9126621741634935</v>
      </c>
      <c r="K43" s="568" t="s">
        <v>2719</v>
      </c>
    </row>
    <row r="44" spans="1:11">
      <c r="A44" s="568" t="s">
        <v>2832</v>
      </c>
      <c r="B44" s="568" t="s">
        <v>2838</v>
      </c>
      <c r="C44" s="864" t="s">
        <v>245</v>
      </c>
      <c r="D44" s="873"/>
      <c r="E44" s="879"/>
      <c r="F44" s="568"/>
      <c r="G44" s="568"/>
      <c r="H44" s="568"/>
      <c r="I44" s="877"/>
      <c r="J44" s="878"/>
      <c r="K44" s="568"/>
    </row>
    <row r="45" spans="1:11">
      <c r="A45" s="568"/>
      <c r="B45" s="568"/>
      <c r="C45" s="568" t="s">
        <v>2713</v>
      </c>
      <c r="D45" s="873" t="s">
        <v>61</v>
      </c>
      <c r="E45" s="879">
        <f>'Scope 3.12'!N3</f>
        <v>9710956.4299999997</v>
      </c>
      <c r="F45" s="568"/>
      <c r="G45" s="568" t="s">
        <v>2722</v>
      </c>
      <c r="H45" s="888">
        <v>0.79330000000000001</v>
      </c>
      <c r="I45" s="877">
        <f>E45*H45/1000</f>
        <v>7703.7017359189995</v>
      </c>
      <c r="J45" s="878">
        <f>I45/$I$46*100</f>
        <v>20.02698844023233</v>
      </c>
      <c r="K45" s="568" t="s">
        <v>407</v>
      </c>
    </row>
    <row r="46" spans="1:11">
      <c r="A46" s="568"/>
      <c r="B46" s="568"/>
      <c r="C46" s="923" t="s">
        <v>270</v>
      </c>
      <c r="D46" s="881"/>
      <c r="E46" s="882"/>
      <c r="F46" s="881"/>
      <c r="G46" s="881"/>
      <c r="H46" s="881"/>
      <c r="I46" s="924">
        <f>SUM(I3:I45)</f>
        <v>38466.601001491515</v>
      </c>
      <c r="J46" s="883">
        <f>SUM(J3:J45)</f>
        <v>100.00000000000001</v>
      </c>
      <c r="K46" s="881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BH65"/>
  <sheetViews>
    <sheetView topLeftCell="A6" zoomScale="105" zoomScaleNormal="70" workbookViewId="0">
      <pane xSplit="2" ySplit="4" topLeftCell="C43" activePane="bottomRight" state="frozen"/>
      <selection activeCell="A6" sqref="A6"/>
      <selection pane="topRight" activeCell="C6" sqref="C6"/>
      <selection pane="bottomLeft" activeCell="A10" sqref="A10"/>
      <selection pane="bottomRight" activeCell="B54" sqref="B54"/>
    </sheetView>
  </sheetViews>
  <sheetFormatPr defaultRowHeight="13.8"/>
  <cols>
    <col min="2" max="2" width="36.296875" customWidth="1"/>
    <col min="4" max="4" width="12" bestFit="1" customWidth="1"/>
    <col min="6" max="6" width="13" customWidth="1"/>
    <col min="13" max="13" width="9.3984375" bestFit="1" customWidth="1"/>
    <col min="15" max="15" width="11.69921875" customWidth="1"/>
    <col min="16" max="16" width="9.296875" bestFit="1" customWidth="1"/>
    <col min="17" max="17" width="13.09765625" customWidth="1"/>
    <col min="18" max="25" width="3.09765625" customWidth="1"/>
    <col min="26" max="26" width="16.59765625" customWidth="1"/>
    <col min="27" max="27" width="9.09765625" customWidth="1"/>
    <col min="28" max="28" width="11.09765625" customWidth="1"/>
    <col min="29" max="32" width="9.09765625" customWidth="1"/>
    <col min="33" max="33" width="11.09765625" bestFit="1" customWidth="1"/>
    <col min="34" max="40" width="9.09765625" customWidth="1"/>
    <col min="41" max="44" width="12.59765625" customWidth="1"/>
    <col min="45" max="45" width="14" customWidth="1"/>
    <col min="46" max="46" width="2.59765625" customWidth="1"/>
    <col min="47" max="47" width="10.69921875" bestFit="1" customWidth="1"/>
    <col min="48" max="48" width="11.09765625" bestFit="1" customWidth="1"/>
  </cols>
  <sheetData>
    <row r="1" spans="1:60" s="228" customFormat="1" ht="15" customHeight="1">
      <c r="A1" s="1152"/>
      <c r="B1" s="1198" t="s">
        <v>97</v>
      </c>
      <c r="C1" s="1199"/>
      <c r="D1" s="1199"/>
      <c r="E1" s="1199"/>
      <c r="F1" s="1199"/>
      <c r="G1" s="1199"/>
      <c r="H1" s="1199"/>
      <c r="I1" s="1199"/>
      <c r="J1" s="1199"/>
      <c r="K1" s="1199"/>
      <c r="L1" s="1199"/>
      <c r="M1" s="1199"/>
      <c r="N1" s="1199"/>
      <c r="O1" s="1199"/>
      <c r="P1" s="1199"/>
      <c r="Q1" s="1199"/>
      <c r="R1" s="1199"/>
      <c r="S1" s="1199"/>
      <c r="T1" s="1199"/>
      <c r="U1" s="1199"/>
      <c r="V1" s="1199"/>
      <c r="W1" s="1199"/>
      <c r="X1" s="1199"/>
      <c r="Y1" s="1199"/>
      <c r="Z1" s="1199"/>
      <c r="AA1" s="1199"/>
      <c r="AB1" s="1199"/>
      <c r="AC1" s="1199"/>
      <c r="AD1" s="1199"/>
      <c r="AE1" s="1199"/>
      <c r="AF1" s="1199"/>
      <c r="AG1" s="1199"/>
      <c r="AH1" s="1199"/>
      <c r="AI1" s="1199"/>
      <c r="AJ1" s="1199"/>
      <c r="AK1" s="1199"/>
      <c r="AL1" s="1199"/>
      <c r="AM1" s="1199"/>
      <c r="AN1" s="1200"/>
      <c r="AO1" s="1204" t="s">
        <v>265</v>
      </c>
      <c r="AP1" s="1205"/>
      <c r="AQ1" s="1205"/>
      <c r="AR1" s="1205"/>
      <c r="AS1" s="1206"/>
      <c r="BF1" s="236"/>
      <c r="BG1" s="236"/>
      <c r="BH1" s="236"/>
    </row>
    <row r="2" spans="1:60" s="228" customFormat="1" ht="15" customHeight="1">
      <c r="A2" s="1153"/>
      <c r="B2" s="1201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3"/>
      <c r="AO2" s="1207"/>
      <c r="AP2" s="1208"/>
      <c r="AQ2" s="1208"/>
      <c r="AR2" s="1208"/>
      <c r="AS2" s="1209"/>
      <c r="BF2" s="236"/>
      <c r="BG2" s="236"/>
      <c r="BH2" s="236"/>
    </row>
    <row r="3" spans="1:60" s="228" customFormat="1" ht="15" customHeight="1">
      <c r="A3" s="1153"/>
      <c r="B3" s="237" t="s">
        <v>0</v>
      </c>
      <c r="C3" s="1195" t="s">
        <v>97</v>
      </c>
      <c r="D3" s="1196"/>
      <c r="E3" s="1196"/>
      <c r="F3" s="1197"/>
      <c r="G3" s="242"/>
      <c r="H3" s="238" t="s">
        <v>98</v>
      </c>
      <c r="I3" s="1210" t="str">
        <f>'Fr-01'!$B$6</f>
        <v>บริษัท มัลติแบกซ์ จำกัด (มหาชน)</v>
      </c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1211"/>
      <c r="Y3" s="1211"/>
      <c r="Z3" s="1211"/>
      <c r="AA3" s="1212"/>
      <c r="AB3" s="1216" t="s">
        <v>205</v>
      </c>
      <c r="AC3" s="1217"/>
      <c r="AD3" s="1218"/>
      <c r="AE3" s="1210" t="str">
        <f>'Fr-01'!H36</f>
        <v>1 มกราคม - 31 ธันวาคม 2566</v>
      </c>
      <c r="AF3" s="1211"/>
      <c r="AG3" s="1211"/>
      <c r="AH3" s="1211"/>
      <c r="AI3" s="1211"/>
      <c r="AJ3" s="1211"/>
      <c r="AK3" s="1211"/>
      <c r="AL3" s="1211"/>
      <c r="AM3" s="1211"/>
      <c r="AN3" s="1212"/>
      <c r="AO3" s="1224" t="s">
        <v>99</v>
      </c>
      <c r="AP3" s="1225"/>
      <c r="AQ3" s="1226"/>
      <c r="AR3" s="1227">
        <v>4</v>
      </c>
      <c r="AS3" s="1228"/>
      <c r="BF3" s="236"/>
      <c r="BG3" s="236"/>
      <c r="BH3" s="236"/>
    </row>
    <row r="4" spans="1:60" s="228" customFormat="1" ht="21" customHeight="1">
      <c r="A4" s="1154"/>
      <c r="B4" s="237" t="s">
        <v>1</v>
      </c>
      <c r="C4" s="1195" t="s">
        <v>206</v>
      </c>
      <c r="D4" s="1196"/>
      <c r="E4" s="1196"/>
      <c r="F4" s="1197"/>
      <c r="G4" s="242"/>
      <c r="H4" s="238" t="s">
        <v>101</v>
      </c>
      <c r="I4" s="1213" t="str">
        <f>'Fr-01'!$G$4</f>
        <v>บริษัท อีโค เซ็นทริก คอร์ปอเรชั่น จำกัด</v>
      </c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1214"/>
      <c r="AA4" s="1215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4" t="s">
        <v>116</v>
      </c>
      <c r="AP4" s="1225"/>
      <c r="AQ4" s="1226"/>
      <c r="AR4" s="1229">
        <v>45494</v>
      </c>
      <c r="AS4" s="1230"/>
      <c r="BF4" s="236"/>
      <c r="BG4" s="236"/>
      <c r="BH4" s="236"/>
    </row>
    <row r="5" spans="1:60">
      <c r="A5" s="1155"/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1156"/>
      <c r="Q5" s="1156"/>
      <c r="R5" s="1156"/>
      <c r="S5" s="1156"/>
      <c r="T5" s="1156"/>
      <c r="U5" s="1156"/>
      <c r="V5" s="1156"/>
      <c r="W5" s="1156"/>
      <c r="X5" s="1156"/>
      <c r="Y5" s="1156"/>
      <c r="Z5" s="1156"/>
      <c r="AA5" s="1156"/>
      <c r="AB5" s="1156"/>
      <c r="AC5" s="1156"/>
      <c r="AD5" s="1156"/>
      <c r="AE5" s="1156"/>
      <c r="AF5" s="1156"/>
      <c r="AG5" s="1156"/>
      <c r="AH5" s="1156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7"/>
    </row>
    <row r="6" spans="1:60" ht="15" customHeight="1">
      <c r="A6" s="1158" t="s">
        <v>3</v>
      </c>
      <c r="B6" s="1161" t="s">
        <v>4</v>
      </c>
      <c r="C6" s="1164" t="s">
        <v>5</v>
      </c>
      <c r="D6" s="1165"/>
      <c r="E6" s="1170" t="s">
        <v>6</v>
      </c>
      <c r="F6" s="1171"/>
      <c r="G6" s="1171"/>
      <c r="H6" s="1171"/>
      <c r="I6" s="1171"/>
      <c r="J6" s="1171"/>
      <c r="K6" s="1171"/>
      <c r="L6" s="1171"/>
      <c r="M6" s="1171"/>
      <c r="N6" s="1172"/>
      <c r="O6" s="1170" t="s">
        <v>7</v>
      </c>
      <c r="P6" s="1172"/>
      <c r="Q6" s="1176" t="s">
        <v>8</v>
      </c>
      <c r="R6" s="1146" t="s">
        <v>13</v>
      </c>
      <c r="S6" s="1147"/>
      <c r="T6" s="1147"/>
      <c r="U6" s="1147"/>
      <c r="V6" s="1147"/>
      <c r="W6" s="1147"/>
      <c r="X6" s="1150"/>
      <c r="Y6" s="1141" t="s">
        <v>117</v>
      </c>
      <c r="Z6" s="1139" t="s">
        <v>118</v>
      </c>
      <c r="AA6" s="1184" t="s">
        <v>127</v>
      </c>
      <c r="AB6" s="1185"/>
      <c r="AC6" s="1185"/>
      <c r="AD6" s="1185"/>
      <c r="AE6" s="1185"/>
      <c r="AF6" s="1186"/>
      <c r="AG6" s="1185" t="s">
        <v>9</v>
      </c>
      <c r="AH6" s="1185"/>
      <c r="AI6" s="1185"/>
      <c r="AJ6" s="1185"/>
      <c r="AK6" s="1185"/>
      <c r="AL6" s="1185"/>
      <c r="AM6" s="1185"/>
      <c r="AN6" s="1186"/>
      <c r="AO6" s="1193" t="s">
        <v>10</v>
      </c>
      <c r="AP6" s="1221" t="s">
        <v>130</v>
      </c>
      <c r="AQ6" s="1221" t="s">
        <v>131</v>
      </c>
      <c r="AR6" s="1221" t="s">
        <v>132</v>
      </c>
      <c r="AS6" s="1231" t="s">
        <v>11</v>
      </c>
      <c r="AU6" s="1219" t="s">
        <v>12</v>
      </c>
      <c r="AV6" s="1220"/>
    </row>
    <row r="7" spans="1:60" ht="15" customHeight="1">
      <c r="A7" s="1159"/>
      <c r="B7" s="1162"/>
      <c r="C7" s="1166"/>
      <c r="D7" s="1167"/>
      <c r="E7" s="1173"/>
      <c r="F7" s="1174"/>
      <c r="G7" s="1174"/>
      <c r="H7" s="1174"/>
      <c r="I7" s="1174"/>
      <c r="J7" s="1174"/>
      <c r="K7" s="1174"/>
      <c r="L7" s="1174"/>
      <c r="M7" s="1174"/>
      <c r="N7" s="1175"/>
      <c r="O7" s="1173"/>
      <c r="P7" s="1175"/>
      <c r="Q7" s="1177"/>
      <c r="R7" s="1151" t="s">
        <v>119</v>
      </c>
      <c r="S7" s="1151"/>
      <c r="T7" s="1146" t="s">
        <v>120</v>
      </c>
      <c r="U7" s="1147"/>
      <c r="V7" s="1147"/>
      <c r="W7" s="1147"/>
      <c r="X7" s="1141" t="s">
        <v>30</v>
      </c>
      <c r="Y7" s="1142"/>
      <c r="Z7" s="1140"/>
      <c r="AA7" s="1187"/>
      <c r="AB7" s="1188"/>
      <c r="AC7" s="1188"/>
      <c r="AD7" s="1188"/>
      <c r="AE7" s="1188"/>
      <c r="AF7" s="1189"/>
      <c r="AG7" s="1188"/>
      <c r="AH7" s="1188"/>
      <c r="AI7" s="1188"/>
      <c r="AJ7" s="1188"/>
      <c r="AK7" s="1188"/>
      <c r="AL7" s="1188"/>
      <c r="AM7" s="1188"/>
      <c r="AN7" s="1189"/>
      <c r="AO7" s="1194"/>
      <c r="AP7" s="1222"/>
      <c r="AQ7" s="1222"/>
      <c r="AR7" s="1222"/>
      <c r="AS7" s="1232"/>
      <c r="AT7" s="1"/>
      <c r="AU7" s="2" t="s">
        <v>13</v>
      </c>
      <c r="AV7" s="131" t="s">
        <v>151</v>
      </c>
    </row>
    <row r="8" spans="1:60" ht="31.5" customHeight="1">
      <c r="A8" s="1159"/>
      <c r="B8" s="1162"/>
      <c r="C8" s="1168"/>
      <c r="D8" s="1169"/>
      <c r="E8" s="1179" t="s">
        <v>128</v>
      </c>
      <c r="F8" s="1180"/>
      <c r="G8" s="1180"/>
      <c r="H8" s="1180"/>
      <c r="I8" s="1180"/>
      <c r="J8" s="1180"/>
      <c r="K8" s="1180"/>
      <c r="L8" s="1181"/>
      <c r="M8" s="1179" t="s">
        <v>15</v>
      </c>
      <c r="N8" s="1181"/>
      <c r="O8" s="1182" t="s">
        <v>128</v>
      </c>
      <c r="P8" s="1182" t="s">
        <v>15</v>
      </c>
      <c r="Q8" s="1177"/>
      <c r="R8" s="1141" t="s">
        <v>121</v>
      </c>
      <c r="S8" s="1148" t="s">
        <v>122</v>
      </c>
      <c r="T8" s="1141" t="s">
        <v>123</v>
      </c>
      <c r="U8" s="1141" t="s">
        <v>124</v>
      </c>
      <c r="V8" s="1141" t="s">
        <v>125</v>
      </c>
      <c r="W8" s="1144" t="s">
        <v>126</v>
      </c>
      <c r="X8" s="1142"/>
      <c r="Y8" s="1142"/>
      <c r="Z8" s="1140"/>
      <c r="AA8" s="1190"/>
      <c r="AB8" s="1191"/>
      <c r="AC8" s="1191"/>
      <c r="AD8" s="1191"/>
      <c r="AE8" s="1191"/>
      <c r="AF8" s="1192"/>
      <c r="AG8" s="1191"/>
      <c r="AH8" s="1191"/>
      <c r="AI8" s="1191"/>
      <c r="AJ8" s="1191"/>
      <c r="AK8" s="1191"/>
      <c r="AL8" s="1191"/>
      <c r="AM8" s="1191"/>
      <c r="AN8" s="1192"/>
      <c r="AO8" s="3" t="s">
        <v>200</v>
      </c>
      <c r="AP8" s="1222"/>
      <c r="AQ8" s="1222"/>
      <c r="AR8" s="1222"/>
      <c r="AS8" s="1232"/>
      <c r="AT8" s="1"/>
      <c r="AU8" s="2" t="s">
        <v>16</v>
      </c>
      <c r="AV8" s="168">
        <v>1</v>
      </c>
    </row>
    <row r="9" spans="1:60">
      <c r="A9" s="1160"/>
      <c r="B9" s="116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3"/>
      <c r="P9" s="1183"/>
      <c r="Q9" s="1178"/>
      <c r="R9" s="1143"/>
      <c r="S9" s="1149"/>
      <c r="T9" s="1143"/>
      <c r="U9" s="1143"/>
      <c r="V9" s="1143"/>
      <c r="W9" s="1145"/>
      <c r="X9" s="1143"/>
      <c r="Y9" s="1143"/>
      <c r="Z9" s="1140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3"/>
      <c r="AQ9" s="1223"/>
      <c r="AR9" s="1223"/>
      <c r="AS9" s="1233"/>
      <c r="AU9" s="2" t="s">
        <v>257</v>
      </c>
      <c r="AV9" s="168">
        <v>30</v>
      </c>
    </row>
    <row r="10" spans="1:60">
      <c r="A10" s="1113" t="s">
        <v>31</v>
      </c>
      <c r="B10" s="14" t="s">
        <v>267</v>
      </c>
      <c r="C10" s="15"/>
      <c r="D10" s="16"/>
      <c r="E10" s="214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 t="shared" ref="Q10:Q18" si="0">(E10*$AV$8)+(F10*$AV$9)+(G10*$AV$10)+(H10*$AV$11)+(I10*$AV$12)+(J10*$AV$13)+(K10*M10)+(L10*N10)</f>
        <v>0</v>
      </c>
      <c r="R10" s="28"/>
      <c r="S10" s="28"/>
      <c r="T10" s="28"/>
      <c r="U10" s="17"/>
      <c r="V10" s="795"/>
      <c r="W10" s="17"/>
      <c r="X10" s="17"/>
      <c r="Y10" s="795"/>
      <c r="Z10" s="28"/>
      <c r="AA10" s="23">
        <f>D10*E10/1000</f>
        <v>0</v>
      </c>
      <c r="AB10" s="23">
        <f>D10*F10/1000</f>
        <v>0</v>
      </c>
      <c r="AC10" s="23">
        <f>D10*G10/1000</f>
        <v>0</v>
      </c>
      <c r="AD10" s="23">
        <f>D10*H10/1000</f>
        <v>0</v>
      </c>
      <c r="AE10" s="23">
        <f t="shared" ref="AE10:AE35" si="1">D10*I10/1000</f>
        <v>0</v>
      </c>
      <c r="AF10" s="23">
        <f t="shared" ref="AF10:AF35" si="2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5" si="3">D10*H10*$AV$11/1000</f>
        <v>0</v>
      </c>
      <c r="AJ10" s="23">
        <f t="shared" ref="AJ10:AJ17" si="4">D10*I10*$AV$12/1000</f>
        <v>0</v>
      </c>
      <c r="AK10" s="23">
        <f t="shared" ref="AK10:AK17" si="5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5" si="6">AO10/$AO$36</f>
        <v>0</v>
      </c>
      <c r="AQ10" s="23">
        <f t="shared" ref="AQ10:AQ35" si="7">AO10/$AO$58</f>
        <v>0</v>
      </c>
      <c r="AR10" s="23">
        <f t="shared" ref="AR10:AR35" si="8">AO10/$AO$59</f>
        <v>0</v>
      </c>
      <c r="AS10" s="25"/>
      <c r="AU10" s="2" t="s">
        <v>26</v>
      </c>
      <c r="AV10" s="168">
        <v>28</v>
      </c>
    </row>
    <row r="11" spans="1:60">
      <c r="A11" s="1114"/>
      <c r="B11" s="26" t="str">
        <f>'1.1 Stationary '!A9</f>
        <v xml:space="preserve">น้ำมัน Diesel B7 (Fire Pump) </v>
      </c>
      <c r="C11" s="15" t="str">
        <f>'1.1 Stationary '!C9</f>
        <v xml:space="preserve"> L</v>
      </c>
      <c r="D11" s="27">
        <f>'1.1 Stationary '!G4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6" t="s">
        <v>2728</v>
      </c>
      <c r="V11" s="28"/>
      <c r="W11" s="28"/>
      <c r="X11" s="28"/>
      <c r="Y11" s="795"/>
      <c r="Z11" s="28" t="s">
        <v>1750</v>
      </c>
      <c r="AA11" s="23">
        <f>D11*E11/1000</f>
        <v>1.3552981884000002</v>
      </c>
      <c r="AB11" s="23">
        <f>D11*F11/1000</f>
        <v>5.4870371999999999E-5</v>
      </c>
      <c r="AC11" s="23">
        <f t="shared" ref="AC11:AC35" si="9">D11*G11/1000</f>
        <v>0</v>
      </c>
      <c r="AD11" s="23">
        <f t="shared" ref="AD11:AD35" si="10">D11*H11/1000</f>
        <v>1.0974074400000001E-5</v>
      </c>
      <c r="AE11" s="23">
        <f>D11*I11/1000</f>
        <v>0</v>
      </c>
      <c r="AF11" s="23">
        <f t="shared" si="2"/>
        <v>0</v>
      </c>
      <c r="AG11" s="23">
        <f>D11*F11*AJ13/1000</f>
        <v>0</v>
      </c>
      <c r="AH11" s="23">
        <f t="shared" ref="AH11:AH35" si="11">D11*G11*$AV$10/1000</f>
        <v>0</v>
      </c>
      <c r="AI11" s="23">
        <f t="shared" si="3"/>
        <v>2.9081297159999999E-3</v>
      </c>
      <c r="AJ11" s="23">
        <f>D11*I11*$AV$12/1000</f>
        <v>0</v>
      </c>
      <c r="AK11" s="23">
        <f t="shared" si="5"/>
        <v>0</v>
      </c>
      <c r="AL11" s="23">
        <f t="shared" ref="AL11:AL35" si="12">D11*K11*M11/1000</f>
        <v>0</v>
      </c>
      <c r="AM11" s="23">
        <f t="shared" ref="AM11:AM35" si="13">D11*L11*N11/1000</f>
        <v>0</v>
      </c>
      <c r="AN11" s="24"/>
      <c r="AO11" s="23">
        <f>D11*Q11/1000</f>
        <v>1.3598524292760004</v>
      </c>
      <c r="AP11" s="23">
        <f t="shared" si="6"/>
        <v>8.8582354889478153E-3</v>
      </c>
      <c r="AQ11" s="23">
        <f>AO11/$AO$58</f>
        <v>2.0638940297273983E-4</v>
      </c>
      <c r="AR11" s="23">
        <f t="shared" si="8"/>
        <v>4.4380208782024809E-5</v>
      </c>
      <c r="AS11" s="30"/>
      <c r="AT11" s="31"/>
      <c r="AU11" s="2" t="s">
        <v>27</v>
      </c>
      <c r="AV11" s="168">
        <v>265</v>
      </c>
    </row>
    <row r="12" spans="1:60">
      <c r="A12" s="1114"/>
      <c r="B12" s="26" t="str">
        <f>'1.1 Stationary '!A10</f>
        <v>น้ำมัน Gasohol 91/95 (เครื่องตัดหญ้า)</v>
      </c>
      <c r="C12" s="15" t="str">
        <f>'1.1 Stationary '!C10</f>
        <v>L</v>
      </c>
      <c r="D12" s="27">
        <f>'1.1 Stationary '!J5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>(E12*$AV$8)+(F12*$AV$9)+(G12*$AV$10)+(H12*$AV$11)+(I12*$AV$12)+(J12*$AV$13)+(K12*M12)+(L12*N12)</f>
        <v>2.1894025199999998</v>
      </c>
      <c r="R12" s="28"/>
      <c r="S12" s="28"/>
      <c r="T12" s="28"/>
      <c r="U12" s="796" t="s">
        <v>2728</v>
      </c>
      <c r="V12" s="28"/>
      <c r="W12" s="28"/>
      <c r="X12" s="28"/>
      <c r="Y12" s="795"/>
      <c r="Z12" s="28" t="s">
        <v>1751</v>
      </c>
      <c r="AA12" s="23">
        <f t="shared" ref="AA12:AA35" si="14">D12*E12/1000</f>
        <v>0.10120580814960001</v>
      </c>
      <c r="AB12" s="23">
        <f t="shared" ref="AB12:AB35" si="15">D12*F12/1000</f>
        <v>4.3812038160000008E-6</v>
      </c>
      <c r="AC12" s="23">
        <f t="shared" si="9"/>
        <v>0</v>
      </c>
      <c r="AD12" s="23">
        <f t="shared" si="10"/>
        <v>8.7624076319999986E-7</v>
      </c>
      <c r="AE12" s="23">
        <f t="shared" si="1"/>
        <v>0</v>
      </c>
      <c r="AF12" s="23">
        <f t="shared" si="2"/>
        <v>0</v>
      </c>
      <c r="AG12" s="23">
        <f t="shared" ref="AG12:AG35" si="16">D12*F12*$AV$9/1000</f>
        <v>1.3143611448000002E-4</v>
      </c>
      <c r="AH12" s="23">
        <f t="shared" si="11"/>
        <v>0</v>
      </c>
      <c r="AI12" s="23">
        <f t="shared" si="3"/>
        <v>2.3220380224799996E-4</v>
      </c>
      <c r="AJ12" s="23">
        <f t="shared" si="4"/>
        <v>0</v>
      </c>
      <c r="AK12" s="23">
        <f t="shared" si="5"/>
        <v>0</v>
      </c>
      <c r="AL12" s="23">
        <f t="shared" si="12"/>
        <v>0</v>
      </c>
      <c r="AM12" s="23">
        <f t="shared" si="13"/>
        <v>0</v>
      </c>
      <c r="AN12" s="24"/>
      <c r="AO12" s="23">
        <f t="shared" ref="AO12:AO34" si="17">D12*Q12/1000</f>
        <v>0.10156944806632799</v>
      </c>
      <c r="AP12" s="23">
        <f t="shared" si="6"/>
        <v>6.6163509369396225E-4</v>
      </c>
      <c r="AQ12" s="23">
        <f t="shared" si="7"/>
        <v>1.5415538697710738E-5</v>
      </c>
      <c r="AR12" s="23">
        <f t="shared" si="8"/>
        <v>3.3148253545854195E-6</v>
      </c>
      <c r="AS12" s="30"/>
      <c r="AT12" s="31"/>
      <c r="AU12" s="2" t="s">
        <v>28</v>
      </c>
      <c r="AV12" s="168">
        <v>23500</v>
      </c>
      <c r="AX12">
        <f>0.0025*265</f>
        <v>0.66249999999999998</v>
      </c>
    </row>
    <row r="13" spans="1:60">
      <c r="A13" s="1114"/>
      <c r="B13" s="26" t="str">
        <f>'1.1 Stationary '!A11</f>
        <v>Acetylene Gas (ซ่อมบำรุง)</v>
      </c>
      <c r="C13" s="15" t="str">
        <f>'1.1 Stationary '!C11</f>
        <v>kg</v>
      </c>
      <c r="D13" s="27">
        <f>'1.1 Stationary '!D11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0"/>
        <v>3.3846153846153846</v>
      </c>
      <c r="R13" s="28"/>
      <c r="S13" s="28"/>
      <c r="T13" s="28"/>
      <c r="U13" s="28"/>
      <c r="V13" s="28"/>
      <c r="W13" s="28"/>
      <c r="X13" s="796" t="s">
        <v>2728</v>
      </c>
      <c r="Y13" s="795"/>
      <c r="Z13" s="28" t="s">
        <v>2766</v>
      </c>
      <c r="AA13" s="23">
        <f t="shared" si="14"/>
        <v>0.16923076923076924</v>
      </c>
      <c r="AB13" s="23">
        <f t="shared" si="15"/>
        <v>0</v>
      </c>
      <c r="AC13" s="23">
        <f t="shared" si="9"/>
        <v>0</v>
      </c>
      <c r="AD13" s="23">
        <f t="shared" si="10"/>
        <v>0</v>
      </c>
      <c r="AE13" s="23">
        <f t="shared" si="1"/>
        <v>0</v>
      </c>
      <c r="AF13" s="23">
        <f>D13*J13/1000</f>
        <v>0</v>
      </c>
      <c r="AG13" s="23">
        <f t="shared" si="16"/>
        <v>0</v>
      </c>
      <c r="AH13" s="23">
        <f t="shared" si="11"/>
        <v>0</v>
      </c>
      <c r="AI13" s="23">
        <f t="shared" si="3"/>
        <v>0</v>
      </c>
      <c r="AJ13" s="23">
        <f t="shared" si="4"/>
        <v>0</v>
      </c>
      <c r="AK13" s="23">
        <f t="shared" si="5"/>
        <v>0</v>
      </c>
      <c r="AL13" s="23">
        <f t="shared" si="12"/>
        <v>0</v>
      </c>
      <c r="AM13" s="23">
        <f t="shared" si="13"/>
        <v>0</v>
      </c>
      <c r="AN13" s="24"/>
      <c r="AO13" s="23">
        <f t="shared" si="17"/>
        <v>0.16923076923076924</v>
      </c>
      <c r="AP13" s="23">
        <f t="shared" si="6"/>
        <v>1.102388739798823E-3</v>
      </c>
      <c r="AQ13" s="23">
        <f t="shared" si="7"/>
        <v>2.5684726279271133E-5</v>
      </c>
      <c r="AR13" s="23">
        <f t="shared" si="8"/>
        <v>5.523023461305184E-6</v>
      </c>
      <c r="AS13" s="32"/>
      <c r="AT13" s="31"/>
      <c r="AU13" s="2" t="s">
        <v>29</v>
      </c>
      <c r="AV13" s="168">
        <v>16100</v>
      </c>
    </row>
    <row r="14" spans="1:60">
      <c r="A14" s="1114"/>
      <c r="B14" s="26" t="s">
        <v>2755</v>
      </c>
      <c r="C14" s="15" t="s">
        <v>61</v>
      </c>
      <c r="D14" s="27">
        <f>'1.1 Stationary '!I4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0"/>
        <v>6.5609999999999991E-3</v>
      </c>
      <c r="R14" s="28"/>
      <c r="S14" s="28"/>
      <c r="T14" s="28"/>
      <c r="U14" s="28"/>
      <c r="V14" s="28"/>
      <c r="W14" s="796" t="s">
        <v>2728</v>
      </c>
      <c r="X14" s="796"/>
      <c r="Y14" s="795"/>
      <c r="Z14" s="28" t="s">
        <v>2763</v>
      </c>
      <c r="AA14" s="23">
        <f t="shared" ref="AA14:AA15" si="18">D14*E14/1000</f>
        <v>0</v>
      </c>
      <c r="AB14" s="23">
        <f t="shared" ref="AB14:AB15" si="19">D14*F14/1000</f>
        <v>0</v>
      </c>
      <c r="AC14" s="23">
        <f t="shared" ref="AC14:AC15" si="20">D14*G14/1000</f>
        <v>2.6637659999999963E-6</v>
      </c>
      <c r="AD14" s="23">
        <f t="shared" ref="AD14:AD15" si="21">D14*H14/1000</f>
        <v>5.3275319999999922E-7</v>
      </c>
      <c r="AE14" s="23">
        <f t="shared" ref="AE14:AE15" si="22">D14*I14/1000</f>
        <v>0</v>
      </c>
      <c r="AF14" s="23">
        <f t="shared" ref="AF14:AF15" si="23">D14*J14/1000</f>
        <v>0</v>
      </c>
      <c r="AG14" s="23">
        <f t="shared" ref="AG14:AG15" si="24">D14*F14*$AV$9/1000</f>
        <v>0</v>
      </c>
      <c r="AH14" s="23">
        <f t="shared" ref="AH14:AH15" si="25">D14*G14*$AV$10/1000</f>
        <v>7.4585447999999882E-5</v>
      </c>
      <c r="AI14" s="23">
        <f t="shared" ref="AI14:AI15" si="26">D14*H14*$AV$11/1000</f>
        <v>1.4117959799999979E-4</v>
      </c>
      <c r="AJ14" s="23">
        <f t="shared" ref="AJ14:AJ15" si="27">D14*I14*$AV$12/1000</f>
        <v>0</v>
      </c>
      <c r="AK14" s="23">
        <f t="shared" ref="AK14:AK15" si="28">D14*J14*$AV$13/1000</f>
        <v>0</v>
      </c>
      <c r="AL14" s="23">
        <f t="shared" ref="AL14:AL15" si="29">D14*K14*M14/1000</f>
        <v>0</v>
      </c>
      <c r="AM14" s="23">
        <f t="shared" ref="AM14:AM15" si="30">D14*L14*N14/1000</f>
        <v>0</v>
      </c>
      <c r="AN14" s="24"/>
      <c r="AO14" s="23">
        <f t="shared" ref="AO14:AO15" si="31">D14*Q14/1000</f>
        <v>2.1576504599999971E-4</v>
      </c>
      <c r="AP14" s="23">
        <f t="shared" si="6"/>
        <v>1.4055183831743054E-6</v>
      </c>
      <c r="AQ14" s="23">
        <f t="shared" si="7"/>
        <v>3.2747390869489267E-8</v>
      </c>
      <c r="AR14" s="23">
        <f t="shared" si="8"/>
        <v>7.0417183388357623E-9</v>
      </c>
      <c r="AS14" s="32"/>
      <c r="AT14" s="31"/>
      <c r="AV14" s="804"/>
    </row>
    <row r="15" spans="1:60">
      <c r="A15" s="1114"/>
      <c r="B15" s="26" t="s">
        <v>2756</v>
      </c>
      <c r="C15" s="15" t="s">
        <v>61</v>
      </c>
      <c r="D15" s="27">
        <f>'1.1 Stationary '!L5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0"/>
        <v>6.5609999999999991E-3</v>
      </c>
      <c r="R15" s="28"/>
      <c r="S15" s="28"/>
      <c r="T15" s="28"/>
      <c r="U15" s="28"/>
      <c r="V15" s="28"/>
      <c r="W15" s="796" t="s">
        <v>2728</v>
      </c>
      <c r="X15" s="796"/>
      <c r="Y15" s="795"/>
      <c r="Z15" s="28" t="s">
        <v>2763</v>
      </c>
      <c r="AA15" s="23">
        <f t="shared" si="18"/>
        <v>0</v>
      </c>
      <c r="AB15" s="23">
        <f t="shared" si="19"/>
        <v>0</v>
      </c>
      <c r="AC15" s="23">
        <f t="shared" si="20"/>
        <v>3.2984285400000013E-7</v>
      </c>
      <c r="AD15" s="23">
        <f t="shared" si="21"/>
        <v>6.5968570800000015E-8</v>
      </c>
      <c r="AE15" s="23">
        <f t="shared" si="22"/>
        <v>0</v>
      </c>
      <c r="AF15" s="23">
        <f t="shared" si="23"/>
        <v>0</v>
      </c>
      <c r="AG15" s="23">
        <f t="shared" si="24"/>
        <v>0</v>
      </c>
      <c r="AH15" s="23">
        <f t="shared" si="25"/>
        <v>9.2355999120000041E-6</v>
      </c>
      <c r="AI15" s="23">
        <f t="shared" si="26"/>
        <v>1.7481671262000003E-5</v>
      </c>
      <c r="AJ15" s="23">
        <f t="shared" si="27"/>
        <v>0</v>
      </c>
      <c r="AK15" s="23">
        <f t="shared" si="28"/>
        <v>0</v>
      </c>
      <c r="AL15" s="23">
        <f t="shared" si="29"/>
        <v>0</v>
      </c>
      <c r="AM15" s="23">
        <f t="shared" si="30"/>
        <v>0</v>
      </c>
      <c r="AN15" s="24"/>
      <c r="AO15" s="23">
        <f t="shared" si="31"/>
        <v>2.6717271174000008E-5</v>
      </c>
      <c r="AP15" s="23">
        <f t="shared" si="6"/>
        <v>1.7403938441127307E-7</v>
      </c>
      <c r="AQ15" s="23">
        <f t="shared" si="7"/>
        <v>4.0549706188328473E-9</v>
      </c>
      <c r="AR15" s="23">
        <f t="shared" si="8"/>
        <v>8.7194613714032345E-10</v>
      </c>
      <c r="AS15" s="32"/>
      <c r="AT15" s="31"/>
      <c r="AV15" s="804"/>
    </row>
    <row r="16" spans="1:60">
      <c r="A16" s="1114"/>
      <c r="B16" s="14" t="s">
        <v>281</v>
      </c>
      <c r="C16" s="15"/>
      <c r="D16" s="33"/>
      <c r="E16" s="28"/>
      <c r="F16" s="28"/>
      <c r="G16" s="28"/>
      <c r="H16" s="28"/>
      <c r="I16" s="28"/>
      <c r="J16" s="28"/>
      <c r="K16" s="28"/>
      <c r="L16" s="28"/>
      <c r="M16" s="18"/>
      <c r="N16" s="19"/>
      <c r="O16" s="29"/>
      <c r="P16" s="21"/>
      <c r="Q16" s="22">
        <f t="shared" si="0"/>
        <v>0</v>
      </c>
      <c r="R16" s="28"/>
      <c r="S16" s="28"/>
      <c r="T16" s="28"/>
      <c r="U16" s="28"/>
      <c r="V16" s="28"/>
      <c r="W16" s="28"/>
      <c r="X16" s="28"/>
      <c r="Y16" s="795"/>
      <c r="Z16" s="28"/>
      <c r="AA16" s="23">
        <f t="shared" si="14"/>
        <v>0</v>
      </c>
      <c r="AB16" s="23">
        <f t="shared" si="15"/>
        <v>0</v>
      </c>
      <c r="AC16" s="23">
        <f t="shared" si="9"/>
        <v>0</v>
      </c>
      <c r="AD16" s="23">
        <f t="shared" si="10"/>
        <v>0</v>
      </c>
      <c r="AE16" s="23">
        <f t="shared" si="1"/>
        <v>0</v>
      </c>
      <c r="AF16" s="23">
        <f t="shared" si="2"/>
        <v>0</v>
      </c>
      <c r="AG16" s="23">
        <f t="shared" si="16"/>
        <v>0</v>
      </c>
      <c r="AH16" s="23">
        <f t="shared" si="11"/>
        <v>0</v>
      </c>
      <c r="AI16" s="23">
        <f t="shared" si="3"/>
        <v>0</v>
      </c>
      <c r="AJ16" s="23">
        <f t="shared" si="4"/>
        <v>0</v>
      </c>
      <c r="AK16" s="23">
        <f t="shared" si="5"/>
        <v>0</v>
      </c>
      <c r="AL16" s="23">
        <f t="shared" si="12"/>
        <v>0</v>
      </c>
      <c r="AM16" s="23">
        <f t="shared" si="13"/>
        <v>0</v>
      </c>
      <c r="AN16" s="24"/>
      <c r="AO16" s="23">
        <f t="shared" si="17"/>
        <v>0</v>
      </c>
      <c r="AP16" s="23">
        <f t="shared" si="6"/>
        <v>0</v>
      </c>
      <c r="AQ16" s="23">
        <f t="shared" si="7"/>
        <v>0</v>
      </c>
      <c r="AR16" s="23">
        <f t="shared" si="8"/>
        <v>0</v>
      </c>
      <c r="AS16" s="30"/>
      <c r="AT16" s="31"/>
    </row>
    <row r="17" spans="1:46">
      <c r="A17" s="1114"/>
      <c r="B17" s="26" t="s">
        <v>2820</v>
      </c>
      <c r="C17" s="15" t="s">
        <v>296</v>
      </c>
      <c r="D17" s="33">
        <f>'1.2 Mobile'!G5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0"/>
        <v>2.7406232100000003</v>
      </c>
      <c r="R17" s="28"/>
      <c r="S17" s="28"/>
      <c r="T17" s="28"/>
      <c r="U17" s="796" t="s">
        <v>2728</v>
      </c>
      <c r="V17" s="28"/>
      <c r="W17" s="28"/>
      <c r="X17" s="28"/>
      <c r="Y17" s="28"/>
      <c r="Z17" s="28" t="s">
        <v>1747</v>
      </c>
      <c r="AA17" s="23">
        <f t="shared" si="14"/>
        <v>43.833560991147714</v>
      </c>
      <c r="AB17" s="23">
        <f t="shared" si="15"/>
        <v>2.3070295258498801E-3</v>
      </c>
      <c r="AC17" s="23">
        <f t="shared" si="9"/>
        <v>0</v>
      </c>
      <c r="AD17" s="23">
        <f t="shared" si="10"/>
        <v>2.3070295258498801E-3</v>
      </c>
      <c r="AE17" s="23">
        <f t="shared" si="1"/>
        <v>0</v>
      </c>
      <c r="AF17" s="23">
        <f t="shared" si="2"/>
        <v>0</v>
      </c>
      <c r="AG17" s="23">
        <f t="shared" si="16"/>
        <v>6.9210885775496403E-2</v>
      </c>
      <c r="AH17" s="23">
        <f t="shared" si="11"/>
        <v>0</v>
      </c>
      <c r="AI17" s="23">
        <f t="shared" si="3"/>
        <v>0.61136282435021827</v>
      </c>
      <c r="AJ17" s="23">
        <f t="shared" si="4"/>
        <v>0</v>
      </c>
      <c r="AK17" s="23">
        <f t="shared" si="5"/>
        <v>0</v>
      </c>
      <c r="AL17" s="23">
        <f t="shared" si="12"/>
        <v>0</v>
      </c>
      <c r="AM17" s="23">
        <f t="shared" si="13"/>
        <v>0</v>
      </c>
      <c r="AN17" s="24"/>
      <c r="AO17" s="23">
        <f t="shared" si="17"/>
        <v>44.514134701273441</v>
      </c>
      <c r="AP17" s="23">
        <f t="shared" si="6"/>
        <v>0.28997020506156113</v>
      </c>
      <c r="AQ17" s="23">
        <f t="shared" si="7"/>
        <v>6.756060795313895E-3</v>
      </c>
      <c r="AR17" s="23">
        <f t="shared" si="8"/>
        <v>1.4527654245876463E-3</v>
      </c>
      <c r="AS17" s="30"/>
      <c r="AT17" s="31"/>
    </row>
    <row r="18" spans="1:46">
      <c r="A18" s="1114"/>
      <c r="B18" s="26" t="s">
        <v>2821</v>
      </c>
      <c r="C18" s="15" t="s">
        <v>296</v>
      </c>
      <c r="D18" s="33">
        <f>'1.2 Mobile'!G6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si="0"/>
        <v>2.7406232100000003</v>
      </c>
      <c r="R18" s="28"/>
      <c r="S18" s="28"/>
      <c r="T18" s="28"/>
      <c r="U18" s="796" t="s">
        <v>2728</v>
      </c>
      <c r="V18" s="28"/>
      <c r="W18" s="28"/>
      <c r="X18" s="28"/>
      <c r="Y18" s="28"/>
      <c r="Z18" s="28" t="s">
        <v>1747</v>
      </c>
      <c r="AA18" s="23">
        <f t="shared" ref="AA18" si="32">D18*E18/1000</f>
        <v>0.12996775279799999</v>
      </c>
      <c r="AB18" s="23">
        <f t="shared" ref="AB18" si="33">D18*F18/1000</f>
        <v>6.8404080420000008E-6</v>
      </c>
      <c r="AC18" s="23">
        <f t="shared" ref="AC18" si="34">D18*G18/1000</f>
        <v>0</v>
      </c>
      <c r="AD18" s="23">
        <f t="shared" ref="AD18" si="35">D18*H18/1000</f>
        <v>6.8404080420000008E-6</v>
      </c>
      <c r="AE18" s="23">
        <f t="shared" ref="AE18" si="36">D18*I18/1000</f>
        <v>0</v>
      </c>
      <c r="AF18" s="23">
        <f t="shared" ref="AF18" si="37">D18*J18/1000</f>
        <v>0</v>
      </c>
      <c r="AG18" s="23">
        <f t="shared" ref="AG18" si="38">D18*F18*$AV$9/1000</f>
        <v>2.0521224126000001E-4</v>
      </c>
      <c r="AH18" s="23">
        <f t="shared" ref="AH18" si="39">D18*G18*$AV$10/1000</f>
        <v>0</v>
      </c>
      <c r="AI18" s="23">
        <f t="shared" ref="AI18" si="40">D18*H18*$AV$11/1000</f>
        <v>1.8127081311300002E-3</v>
      </c>
      <c r="AJ18" s="23">
        <f t="shared" ref="AJ18" si="41">D18*I18*$AV$12/1000</f>
        <v>0</v>
      </c>
      <c r="AK18" s="23">
        <f t="shared" ref="AK18" si="42">D18*J18*$AV$13/1000</f>
        <v>0</v>
      </c>
      <c r="AL18" s="23">
        <f t="shared" ref="AL18" si="43">D18*K18*M18/1000</f>
        <v>0</v>
      </c>
      <c r="AM18" s="23">
        <f t="shared" ref="AM18" si="44">D18*L18*N18/1000</f>
        <v>0</v>
      </c>
      <c r="AN18" s="24"/>
      <c r="AO18" s="23">
        <f t="shared" ref="AO18" si="45">D18*Q18/1000</f>
        <v>0.13198567317039001</v>
      </c>
      <c r="AP18" s="23">
        <f t="shared" si="6"/>
        <v>8.597698904233965E-4</v>
      </c>
      <c r="AQ18" s="23">
        <f t="shared" si="7"/>
        <v>2.0031912066440221E-5</v>
      </c>
      <c r="AR18" s="23">
        <f t="shared" si="8"/>
        <v>4.3074907287231307E-6</v>
      </c>
      <c r="AS18" s="30"/>
      <c r="AT18" s="31"/>
    </row>
    <row r="19" spans="1:46">
      <c r="A19" s="1114"/>
      <c r="B19" s="26" t="s">
        <v>2780</v>
      </c>
      <c r="C19" s="15" t="s">
        <v>296</v>
      </c>
      <c r="D19" s="33">
        <f>'1.2 Mobile'!J7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28"/>
      <c r="N19" s="19"/>
      <c r="O19" s="29"/>
      <c r="P19" s="34"/>
      <c r="Q19" s="22">
        <f t="shared" ref="Q19:Q20" si="46">(E19*$AV$8)+(F19*$AV$9)+(G19*$AV$10)+(H19*$AV$11)+(I19*$AV$12)+(J19*$AV$13)+(K19*M19)+(L19*N19)</f>
        <v>2.2719116000000001</v>
      </c>
      <c r="R19" s="28"/>
      <c r="S19" s="28"/>
      <c r="T19" s="28"/>
      <c r="U19" s="796" t="s">
        <v>2728</v>
      </c>
      <c r="V19" s="28"/>
      <c r="W19" s="28"/>
      <c r="X19" s="28"/>
      <c r="Y19" s="28"/>
      <c r="Z19" s="28" t="s">
        <v>1748</v>
      </c>
      <c r="AA19" s="23">
        <f t="shared" ref="AA19:AA21" si="47">D19*E19/1000</f>
        <v>8.2267367462279992</v>
      </c>
      <c r="AB19" s="23">
        <f t="shared" ref="AB19:AB21" si="48">D19*F19/1000</f>
        <v>2.9677982490000001E-3</v>
      </c>
      <c r="AC19" s="23">
        <f t="shared" ref="AC19:AC21" si="49">D19*G19/1000</f>
        <v>0</v>
      </c>
      <c r="AD19" s="23">
        <f t="shared" ref="AD19:AD21" si="50">D19*H19/1000</f>
        <v>9.4969543967999995E-4</v>
      </c>
      <c r="AE19" s="23">
        <f t="shared" ref="AE19:AE21" si="51">D19*I19/1000</f>
        <v>0</v>
      </c>
      <c r="AF19" s="23">
        <f t="shared" ref="AF19:AF21" si="52">D19*J19/1000</f>
        <v>0</v>
      </c>
      <c r="AG19" s="23">
        <f t="shared" ref="AG19:AG21" si="53">D19*F19*$AV$9/1000</f>
        <v>8.9033947469999999E-2</v>
      </c>
      <c r="AH19" s="23">
        <f t="shared" ref="AH19:AH21" si="54">D19*G19*$AV$10/1000</f>
        <v>0</v>
      </c>
      <c r="AI19" s="23">
        <f t="shared" ref="AI19:AI21" si="55">D19*H19*$AV$11/1000</f>
        <v>0.25166929151519996</v>
      </c>
      <c r="AJ19" s="23">
        <f t="shared" ref="AJ19:AJ21" si="56">D19*I19*$AV$12/1000</f>
        <v>0</v>
      </c>
      <c r="AK19" s="23">
        <f t="shared" ref="AK19:AK21" si="57">D19*J19*$AV$13/1000</f>
        <v>0</v>
      </c>
      <c r="AL19" s="23">
        <f t="shared" ref="AL19:AL21" si="58">D19*K19*M19/1000</f>
        <v>0</v>
      </c>
      <c r="AM19" s="23">
        <f t="shared" ref="AM19:AM21" si="59">D19*L19*N19/1000</f>
        <v>0</v>
      </c>
      <c r="AN19" s="24"/>
      <c r="AO19" s="23">
        <f t="shared" ref="AO19:AO21" si="60">D19*Q19/1000</f>
        <v>8.5674399852132002</v>
      </c>
      <c r="AP19" s="23">
        <f t="shared" si="6"/>
        <v>5.5809291723552701E-2</v>
      </c>
      <c r="AQ19" s="23">
        <f t="shared" si="7"/>
        <v>1.3003093464298585E-3</v>
      </c>
      <c r="AR19" s="23">
        <f t="shared" si="8"/>
        <v>2.7960738024615289E-4</v>
      </c>
      <c r="AS19" s="30"/>
      <c r="AT19" s="31"/>
    </row>
    <row r="20" spans="1:46">
      <c r="A20" s="1114"/>
      <c r="B20" s="26" t="s">
        <v>2781</v>
      </c>
      <c r="C20" s="15" t="s">
        <v>296</v>
      </c>
      <c r="D20" s="33">
        <f>'1.2 Mobile'!J8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827"/>
      <c r="N20" s="19"/>
      <c r="O20" s="29"/>
      <c r="P20" s="215"/>
      <c r="Q20" s="22">
        <f t="shared" si="46"/>
        <v>2.2719116000000001</v>
      </c>
      <c r="R20" s="28"/>
      <c r="S20" s="28"/>
      <c r="T20" s="28"/>
      <c r="U20" s="796" t="s">
        <v>2728</v>
      </c>
      <c r="V20" s="28"/>
      <c r="W20" s="28"/>
      <c r="X20" s="28"/>
      <c r="Y20" s="28"/>
      <c r="Z20" s="28" t="s">
        <v>1748</v>
      </c>
      <c r="AA20" s="23">
        <f t="shared" ref="AA20" si="61">D20*E20/1000</f>
        <v>0.26369000380800001</v>
      </c>
      <c r="AB20" s="23">
        <f t="shared" ref="AB20" si="62">D20*F20/1000</f>
        <v>9.5126263999999999E-5</v>
      </c>
      <c r="AC20" s="23">
        <f t="shared" ref="AC20" si="63">D20*G20/1000</f>
        <v>0</v>
      </c>
      <c r="AD20" s="23">
        <f t="shared" ref="AD20" si="64">D20*H20/1000</f>
        <v>3.044040448E-5</v>
      </c>
      <c r="AE20" s="23">
        <f t="shared" ref="AE20" si="65">D20*I20/1000</f>
        <v>0</v>
      </c>
      <c r="AF20" s="23">
        <f t="shared" ref="AF20" si="66">D20*J20/1000</f>
        <v>0</v>
      </c>
      <c r="AG20" s="23">
        <f t="shared" ref="AG20" si="67">D20*F20*$AV$9/1000</f>
        <v>2.8537879200000002E-3</v>
      </c>
      <c r="AH20" s="23">
        <f t="shared" ref="AH20" si="68">D20*G20*$AV$10/1000</f>
        <v>0</v>
      </c>
      <c r="AI20" s="23">
        <f t="shared" ref="AI20" si="69">D20*H20*$AV$11/1000</f>
        <v>8.0667071871999996E-3</v>
      </c>
      <c r="AJ20" s="23">
        <f t="shared" ref="AJ20" si="70">D20*I20*$AV$12/1000</f>
        <v>0</v>
      </c>
      <c r="AK20" s="23">
        <f t="shared" ref="AK20" si="71">D20*J20*$AV$13/1000</f>
        <v>0</v>
      </c>
      <c r="AL20" s="23">
        <f t="shared" ref="AL20" si="72">D20*K20*M20/1000</f>
        <v>0</v>
      </c>
      <c r="AM20" s="23">
        <f t="shared" ref="AM20" si="73">D20*L20*N20/1000</f>
        <v>0</v>
      </c>
      <c r="AN20" s="24"/>
      <c r="AO20" s="23">
        <f t="shared" ref="AO20" si="74">D20*Q20/1000</f>
        <v>0.27461049891520001</v>
      </c>
      <c r="AP20" s="23">
        <f t="shared" si="6"/>
        <v>1.7888444472047699E-3</v>
      </c>
      <c r="AQ20" s="23">
        <f t="shared" si="7"/>
        <v>4.1678564306664964E-5</v>
      </c>
      <c r="AR20" s="23">
        <f t="shared" si="8"/>
        <v>8.9622013486281035E-6</v>
      </c>
      <c r="AS20" s="30"/>
      <c r="AT20" s="31"/>
    </row>
    <row r="21" spans="1:46">
      <c r="A21" s="1114"/>
      <c r="B21" s="26" t="s">
        <v>2742</v>
      </c>
      <c r="C21" s="15" t="s">
        <v>296</v>
      </c>
      <c r="D21" s="33">
        <f>'1.2 Mobile'!G9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ref="Q21:Q35" si="75">(E21*$AV$8)+(F21*$AV$9)+(G21*$AV$10)+(H21*$AV$11)+(I21*$AV$12)+(J21*$AV$13)+(K21*M21)+(L21*N21)</f>
        <v>2.9792834700000004</v>
      </c>
      <c r="R21" s="28"/>
      <c r="S21" s="28"/>
      <c r="T21" s="28"/>
      <c r="U21" s="796" t="s">
        <v>2728</v>
      </c>
      <c r="V21" s="28"/>
      <c r="W21" s="28"/>
      <c r="X21" s="28"/>
      <c r="Y21" s="28"/>
      <c r="Z21" s="28" t="s">
        <v>1749</v>
      </c>
      <c r="AA21" s="23">
        <f t="shared" si="47"/>
        <v>11.670623289000002</v>
      </c>
      <c r="AB21" s="23">
        <f t="shared" si="48"/>
        <v>6.5361790350000018E-4</v>
      </c>
      <c r="AC21" s="23">
        <f t="shared" si="49"/>
        <v>0</v>
      </c>
      <c r="AD21" s="23">
        <f t="shared" si="50"/>
        <v>4.5044510940000001E-3</v>
      </c>
      <c r="AE21" s="23">
        <f t="shared" si="51"/>
        <v>0</v>
      </c>
      <c r="AF21" s="23">
        <f t="shared" si="52"/>
        <v>0</v>
      </c>
      <c r="AG21" s="23">
        <f t="shared" si="53"/>
        <v>1.9608537105000004E-2</v>
      </c>
      <c r="AH21" s="23">
        <f t="shared" si="54"/>
        <v>0</v>
      </c>
      <c r="AI21" s="23">
        <f t="shared" si="55"/>
        <v>1.1936795399100002</v>
      </c>
      <c r="AJ21" s="23">
        <f t="shared" si="56"/>
        <v>0</v>
      </c>
      <c r="AK21" s="23">
        <f t="shared" si="57"/>
        <v>0</v>
      </c>
      <c r="AL21" s="23">
        <f t="shared" si="58"/>
        <v>0</v>
      </c>
      <c r="AM21" s="23">
        <f t="shared" si="59"/>
        <v>0</v>
      </c>
      <c r="AN21" s="24"/>
      <c r="AO21" s="23">
        <f t="shared" si="60"/>
        <v>12.883911366015001</v>
      </c>
      <c r="AP21" s="23">
        <f t="shared" si="6"/>
        <v>8.3927283903633229E-2</v>
      </c>
      <c r="AQ21" s="23">
        <f t="shared" si="7"/>
        <v>1.9554348086146872E-3</v>
      </c>
      <c r="AR21" s="23">
        <f t="shared" si="8"/>
        <v>4.2047994623745717E-4</v>
      </c>
      <c r="AS21" s="30"/>
      <c r="AT21" s="31"/>
    </row>
    <row r="22" spans="1:46">
      <c r="A22" s="1114"/>
      <c r="B22" s="26" t="s">
        <v>2785</v>
      </c>
      <c r="C22" s="15" t="s">
        <v>61</v>
      </c>
      <c r="D22" s="33">
        <f>'1.2 Mobile'!I5+'1.2 Mobile'!I6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75"/>
        <v>0.20777040000000002</v>
      </c>
      <c r="R22" s="28"/>
      <c r="S22" s="28"/>
      <c r="T22" s="28"/>
      <c r="U22" s="796"/>
      <c r="V22" s="28"/>
      <c r="W22" s="796" t="s">
        <v>2728</v>
      </c>
      <c r="X22" s="28"/>
      <c r="Y22" s="28"/>
      <c r="Z22" s="28" t="s">
        <v>2763</v>
      </c>
      <c r="AA22" s="23">
        <f t="shared" ref="AA22:AA24" si="76">D22*E22/1000</f>
        <v>0</v>
      </c>
      <c r="AB22" s="23">
        <f t="shared" ref="AB22:AB24" si="77">D22*F22/1000</f>
        <v>0</v>
      </c>
      <c r="AC22" s="23">
        <f t="shared" ref="AC22:AC24" si="78">D22*G22/1000</f>
        <v>1.1969928191978987E-4</v>
      </c>
      <c r="AD22" s="23">
        <f t="shared" ref="AD22:AD24" si="79">D22*H22/1000</f>
        <v>8.2491553323035913E-4</v>
      </c>
      <c r="AE22" s="23">
        <f t="shared" ref="AE22:AE24" si="80">D22*I22/1000</f>
        <v>0</v>
      </c>
      <c r="AF22" s="23">
        <f t="shared" ref="AF22:AF24" si="81">D22*J22/1000</f>
        <v>0</v>
      </c>
      <c r="AG22" s="23">
        <f t="shared" ref="AG22:AG24" si="82">D22*F22*$AV$9/1000</f>
        <v>0</v>
      </c>
      <c r="AH22" s="23">
        <f t="shared" ref="AH22:AH24" si="83">D22*G22*$AV$10/1000</f>
        <v>3.3515798937541167E-3</v>
      </c>
      <c r="AI22" s="23">
        <f t="shared" ref="AI22:AI24" si="84">D22*H22*$AV$11/1000</f>
        <v>0.21860261630604519</v>
      </c>
      <c r="AJ22" s="23">
        <f t="shared" ref="AJ22:AJ24" si="85">D22*I22*$AV$12/1000</f>
        <v>0</v>
      </c>
      <c r="AK22" s="23">
        <f t="shared" ref="AK22:AK24" si="86">D22*J22*$AV$13/1000</f>
        <v>0</v>
      </c>
      <c r="AL22" s="23">
        <f t="shared" ref="AL22:AL24" si="87">D22*K22*M22/1000</f>
        <v>0</v>
      </c>
      <c r="AM22" s="23">
        <f t="shared" ref="AM22:AM24" si="88">D22*L22*N22/1000</f>
        <v>0</v>
      </c>
      <c r="AN22" s="24"/>
      <c r="AO22" s="23">
        <f t="shared" ref="AO22:AO24" si="89">D22*Q22/1000</f>
        <v>0.22195419619979931</v>
      </c>
      <c r="AP22" s="23">
        <f t="shared" si="6"/>
        <v>1.4458352210649304E-3</v>
      </c>
      <c r="AQ22" s="23">
        <f t="shared" si="7"/>
        <v>3.3686739130480598E-5</v>
      </c>
      <c r="AR22" s="23">
        <f t="shared" si="8"/>
        <v>7.2437077401391501E-6</v>
      </c>
      <c r="AS22" s="30"/>
      <c r="AT22" s="31"/>
    </row>
    <row r="23" spans="1:46">
      <c r="A23" s="1114"/>
      <c r="B23" s="26" t="s">
        <v>2786</v>
      </c>
      <c r="C23" s="15" t="s">
        <v>61</v>
      </c>
      <c r="D23" s="33">
        <f>'1.2 Mobile'!I9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75"/>
        <v>0.20777040000000002</v>
      </c>
      <c r="R23" s="28"/>
      <c r="S23" s="28"/>
      <c r="T23" s="28"/>
      <c r="U23" s="796"/>
      <c r="V23" s="28"/>
      <c r="W23" s="796" t="s">
        <v>2728</v>
      </c>
      <c r="X23" s="28"/>
      <c r="Y23" s="28"/>
      <c r="Z23" s="28" t="s">
        <v>2763</v>
      </c>
      <c r="AA23" s="23">
        <f t="shared" ref="AA23" si="90">D23*E23/1000</f>
        <v>0</v>
      </c>
      <c r="AB23" s="23">
        <f t="shared" ref="AB23" si="91">D23*F23/1000</f>
        <v>0</v>
      </c>
      <c r="AC23" s="23">
        <f t="shared" ref="AC23" si="92">D23*G23/1000</f>
        <v>3.1730879250000006E-5</v>
      </c>
      <c r="AD23" s="23">
        <f t="shared" ref="AD23" si="93">D23*H23/1000</f>
        <v>2.1867545700000001E-4</v>
      </c>
      <c r="AE23" s="23">
        <f t="shared" ref="AE23" si="94">D23*I23/1000</f>
        <v>0</v>
      </c>
      <c r="AF23" s="23">
        <f t="shared" ref="AF23" si="95">D23*J23/1000</f>
        <v>0</v>
      </c>
      <c r="AG23" s="23">
        <f t="shared" ref="AG23" si="96">D23*F23*$AV$9/1000</f>
        <v>0</v>
      </c>
      <c r="AH23" s="23">
        <f t="shared" ref="AH23" si="97">D23*G23*$AV$10/1000</f>
        <v>8.8846461900000007E-4</v>
      </c>
      <c r="AI23" s="23">
        <f t="shared" ref="AI23" si="98">D23*H23*$AV$11/1000</f>
        <v>5.7948996105000004E-2</v>
      </c>
      <c r="AJ23" s="23">
        <f t="shared" ref="AJ23" si="99">D23*I23*$AV$12/1000</f>
        <v>0</v>
      </c>
      <c r="AK23" s="23">
        <f t="shared" ref="AK23" si="100">D23*J23*$AV$13/1000</f>
        <v>0</v>
      </c>
      <c r="AL23" s="23">
        <f t="shared" ref="AL23" si="101">D23*K23*M23/1000</f>
        <v>0</v>
      </c>
      <c r="AM23" s="23">
        <f t="shared" ref="AM23" si="102">D23*L23*N23/1000</f>
        <v>0</v>
      </c>
      <c r="AN23" s="24"/>
      <c r="AO23" s="23">
        <f t="shared" ref="AO23" si="103">D23*Q23/1000</f>
        <v>5.8837460724E-2</v>
      </c>
      <c r="AP23" s="23">
        <f t="shared" si="6"/>
        <v>3.8327400197564108E-4</v>
      </c>
      <c r="AQ23" s="23">
        <f t="shared" si="7"/>
        <v>8.9299604352831705E-6</v>
      </c>
      <c r="AR23" s="23">
        <f t="shared" si="8"/>
        <v>1.9202221762588933E-6</v>
      </c>
      <c r="AS23" s="30"/>
      <c r="AT23" s="31"/>
    </row>
    <row r="24" spans="1:46">
      <c r="A24" s="1114"/>
      <c r="B24" s="26" t="s">
        <v>2757</v>
      </c>
      <c r="C24" s="15" t="s">
        <v>61</v>
      </c>
      <c r="D24" s="33">
        <f>'1.2 Mobile'!L7+'1.2 Mobile'!L8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75"/>
        <v>0.48991499999999999</v>
      </c>
      <c r="R24" s="28"/>
      <c r="S24" s="28"/>
      <c r="T24" s="28"/>
      <c r="U24" s="796"/>
      <c r="V24" s="28"/>
      <c r="W24" s="796" t="s">
        <v>2728</v>
      </c>
      <c r="X24" s="28"/>
      <c r="Y24" s="28"/>
      <c r="Z24" s="28" t="s">
        <v>2763</v>
      </c>
      <c r="AA24" s="23">
        <f t="shared" si="76"/>
        <v>0</v>
      </c>
      <c r="AB24" s="23">
        <f t="shared" si="77"/>
        <v>0</v>
      </c>
      <c r="AC24" s="23">
        <f t="shared" si="78"/>
        <v>2.4912898217999985E-3</v>
      </c>
      <c r="AD24" s="23">
        <f t="shared" si="79"/>
        <v>3.9285724112999968E-4</v>
      </c>
      <c r="AE24" s="23">
        <f t="shared" si="80"/>
        <v>0</v>
      </c>
      <c r="AF24" s="23">
        <f t="shared" si="81"/>
        <v>0</v>
      </c>
      <c r="AG24" s="23">
        <f t="shared" si="82"/>
        <v>0</v>
      </c>
      <c r="AH24" s="23">
        <f t="shared" si="83"/>
        <v>6.9756115010399952E-2</v>
      </c>
      <c r="AI24" s="23">
        <f t="shared" si="84"/>
        <v>0.10410716889944992</v>
      </c>
      <c r="AJ24" s="23">
        <f t="shared" si="85"/>
        <v>0</v>
      </c>
      <c r="AK24" s="23">
        <f t="shared" si="86"/>
        <v>0</v>
      </c>
      <c r="AL24" s="23">
        <f t="shared" si="87"/>
        <v>0</v>
      </c>
      <c r="AM24" s="23">
        <f t="shared" si="88"/>
        <v>0</v>
      </c>
      <c r="AN24" s="24"/>
      <c r="AO24" s="23">
        <f t="shared" si="89"/>
        <v>0.1738632839098499</v>
      </c>
      <c r="AP24" s="23">
        <f t="shared" si="6"/>
        <v>1.1325654744575623E-3</v>
      </c>
      <c r="AQ24" s="23">
        <f t="shared" si="7"/>
        <v>2.6387818701870949E-5</v>
      </c>
      <c r="AR24" s="23">
        <f t="shared" si="8"/>
        <v>5.6742104314625665E-6</v>
      </c>
      <c r="AS24" s="30"/>
      <c r="AT24" s="31"/>
    </row>
    <row r="25" spans="1:46">
      <c r="A25" s="1114"/>
      <c r="B25" s="14" t="s">
        <v>1726</v>
      </c>
      <c r="C25" s="15"/>
      <c r="D25" s="33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75"/>
        <v>0</v>
      </c>
      <c r="R25" s="28"/>
      <c r="S25" s="28"/>
      <c r="T25" s="28"/>
      <c r="U25" s="28"/>
      <c r="V25" s="28"/>
      <c r="W25" s="28"/>
      <c r="X25" s="28"/>
      <c r="Y25" s="28"/>
      <c r="Z25" s="28"/>
      <c r="AA25" s="23">
        <f t="shared" si="14"/>
        <v>0</v>
      </c>
      <c r="AB25" s="23">
        <f t="shared" si="15"/>
        <v>0</v>
      </c>
      <c r="AC25" s="23">
        <f t="shared" si="9"/>
        <v>0</v>
      </c>
      <c r="AD25" s="23">
        <f t="shared" si="10"/>
        <v>0</v>
      </c>
      <c r="AE25" s="23">
        <f t="shared" si="1"/>
        <v>0</v>
      </c>
      <c r="AF25" s="23">
        <f t="shared" si="2"/>
        <v>0</v>
      </c>
      <c r="AG25" s="23">
        <f t="shared" si="16"/>
        <v>0</v>
      </c>
      <c r="AH25" s="23">
        <f t="shared" si="11"/>
        <v>0</v>
      </c>
      <c r="AI25" s="23">
        <f t="shared" si="3"/>
        <v>0</v>
      </c>
      <c r="AJ25" s="23">
        <f>D25*I25*$AV$12/1000</f>
        <v>0</v>
      </c>
      <c r="AK25" s="23">
        <f>D25*J25*$AV$13/1000</f>
        <v>0</v>
      </c>
      <c r="AL25" s="23">
        <f t="shared" si="12"/>
        <v>0</v>
      </c>
      <c r="AM25" s="23">
        <f t="shared" si="13"/>
        <v>0</v>
      </c>
      <c r="AN25" s="24"/>
      <c r="AO25" s="23">
        <f t="shared" si="17"/>
        <v>0</v>
      </c>
      <c r="AP25" s="23">
        <f t="shared" si="6"/>
        <v>0</v>
      </c>
      <c r="AQ25" s="23">
        <f t="shared" si="7"/>
        <v>0</v>
      </c>
      <c r="AR25" s="23">
        <f t="shared" si="8"/>
        <v>0</v>
      </c>
      <c r="AS25" s="30"/>
      <c r="AT25" s="31"/>
    </row>
    <row r="26" spans="1:46">
      <c r="A26" s="1114"/>
      <c r="B26" s="26" t="str">
        <f>'1.4.1 สารทำความเย็น'!A7</f>
        <v>สารทำความเย็น R-32 -ครื่องปรับอากาศ</v>
      </c>
      <c r="C26" s="15" t="str">
        <f>'1.4.1 สารทำความเย็น'!D7</f>
        <v>kg</v>
      </c>
      <c r="D26" s="33">
        <f>'1.4.1 สารทำความเย็น'!E7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75"/>
        <v>677</v>
      </c>
      <c r="R26" s="28"/>
      <c r="S26" s="28"/>
      <c r="T26" s="28"/>
      <c r="U26" s="28"/>
      <c r="V26" s="28"/>
      <c r="W26" s="796" t="s">
        <v>2728</v>
      </c>
      <c r="X26" s="28"/>
      <c r="Y26" s="28"/>
      <c r="Z26" s="28" t="s">
        <v>1752</v>
      </c>
      <c r="AA26" s="23">
        <f t="shared" ref="AA26:AA28" si="104">D26*E26/1000</f>
        <v>0</v>
      </c>
      <c r="AB26" s="23">
        <f t="shared" ref="AB26:AB28" si="105">D26*F26/1000</f>
        <v>0</v>
      </c>
      <c r="AC26" s="23">
        <f t="shared" ref="AC26:AC28" si="106">D26*G26/1000</f>
        <v>0</v>
      </c>
      <c r="AD26" s="23">
        <f t="shared" ref="AD26:AD28" si="107">D26*H26/1000</f>
        <v>0</v>
      </c>
      <c r="AE26" s="23">
        <f t="shared" ref="AE26:AE28" si="108">D26*I26/1000</f>
        <v>0</v>
      </c>
      <c r="AF26" s="23">
        <f t="shared" ref="AF26:AF28" si="109">D26*J26/1000</f>
        <v>0</v>
      </c>
      <c r="AG26" s="23">
        <f t="shared" ref="AG26:AG28" si="110">D26*F26*$AV$9/1000</f>
        <v>0</v>
      </c>
      <c r="AH26" s="23">
        <f t="shared" ref="AH26:AH28" si="111">D26*G26*$AV$10/1000</f>
        <v>0</v>
      </c>
      <c r="AI26" s="23">
        <f t="shared" ref="AI26:AI28" si="112">D26*H26*$AV$11/1000</f>
        <v>0</v>
      </c>
      <c r="AJ26" s="23">
        <f t="shared" ref="AJ26:AJ28" si="113">D26*I26*$AV$12/1000</f>
        <v>0</v>
      </c>
      <c r="AK26" s="23">
        <f t="shared" ref="AK26:AK28" si="114">D26*J26*$AV$13/1000</f>
        <v>0</v>
      </c>
      <c r="AL26" s="23">
        <f t="shared" ref="AL26:AL28" si="115">D26*K26*M26/1000</f>
        <v>1.8543030000000005</v>
      </c>
      <c r="AM26" s="23">
        <f t="shared" ref="AM26:AM28" si="116">D26*L26*N26/1000</f>
        <v>0</v>
      </c>
      <c r="AN26" s="24"/>
      <c r="AO26" s="23">
        <f t="shared" ref="AO26:AO28" si="117">D26*Q26/1000</f>
        <v>1.8543030000000005</v>
      </c>
      <c r="AP26" s="23">
        <f t="shared" ref="AP26:AP28" si="118">AO26/$AO$36</f>
        <v>1.2079143507216956E-2</v>
      </c>
      <c r="AQ26" s="23">
        <f t="shared" si="7"/>
        <v>2.8143383859991226E-4</v>
      </c>
      <c r="AR26" s="23">
        <f t="shared" si="8"/>
        <v>6.0517121206268936E-5</v>
      </c>
      <c r="AS26" s="30"/>
      <c r="AT26" s="31"/>
    </row>
    <row r="27" spans="1:46">
      <c r="A27" s="1114"/>
      <c r="B27" s="26" t="str">
        <f>'1.4.1 สารทำความเย็น'!A8</f>
        <v>สารทำความเย็น R-410a - เครื่องปรับอากาศ</v>
      </c>
      <c r="C27" s="15" t="str">
        <f>'1.4.1 สารทำความเย็น'!D8</f>
        <v>kg</v>
      </c>
      <c r="D27" s="33">
        <f>'1.4.1 สารทำความเย็น'!E8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75"/>
        <v>1923.5</v>
      </c>
      <c r="R27" s="28"/>
      <c r="S27" s="28"/>
      <c r="T27" s="28"/>
      <c r="U27" s="28"/>
      <c r="V27" s="28"/>
      <c r="W27" s="796" t="s">
        <v>2728</v>
      </c>
      <c r="X27" s="28"/>
      <c r="Y27" s="28"/>
      <c r="Z27" s="28" t="s">
        <v>1752</v>
      </c>
      <c r="AA27" s="23">
        <f t="shared" si="104"/>
        <v>0</v>
      </c>
      <c r="AB27" s="23">
        <f t="shared" si="105"/>
        <v>0</v>
      </c>
      <c r="AC27" s="23">
        <f t="shared" si="106"/>
        <v>0</v>
      </c>
      <c r="AD27" s="23">
        <f t="shared" si="107"/>
        <v>0</v>
      </c>
      <c r="AE27" s="23">
        <f t="shared" si="108"/>
        <v>0</v>
      </c>
      <c r="AF27" s="23">
        <f t="shared" si="109"/>
        <v>0</v>
      </c>
      <c r="AG27" s="23">
        <f t="shared" si="110"/>
        <v>0</v>
      </c>
      <c r="AH27" s="23">
        <f t="shared" si="111"/>
        <v>0</v>
      </c>
      <c r="AI27" s="23">
        <f t="shared" si="112"/>
        <v>0</v>
      </c>
      <c r="AJ27" s="23">
        <f t="shared" si="113"/>
        <v>0</v>
      </c>
      <c r="AK27" s="23">
        <f t="shared" si="114"/>
        <v>0</v>
      </c>
      <c r="AL27" s="23">
        <f t="shared" si="115"/>
        <v>0</v>
      </c>
      <c r="AM27" s="23">
        <f t="shared" si="116"/>
        <v>0</v>
      </c>
      <c r="AN27" s="24"/>
      <c r="AO27" s="23">
        <f t="shared" si="117"/>
        <v>0</v>
      </c>
      <c r="AP27" s="23">
        <f t="shared" si="118"/>
        <v>0</v>
      </c>
      <c r="AQ27" s="23">
        <f t="shared" si="7"/>
        <v>0</v>
      </c>
      <c r="AR27" s="23">
        <f t="shared" si="8"/>
        <v>0</v>
      </c>
      <c r="AS27" s="30"/>
      <c r="AT27" s="31"/>
    </row>
    <row r="28" spans="1:46">
      <c r="A28" s="1114"/>
      <c r="B28" s="26" t="str">
        <f>'1.4.1 สารทำความเย็น'!A9</f>
        <v>สารทำความเย็น R-134a - ตู้แอร์ระบายความร้อน</v>
      </c>
      <c r="C28" s="15" t="str">
        <f>'1.4.1 สารทำความเย็น'!D9</f>
        <v>kg</v>
      </c>
      <c r="D28" s="33">
        <f>'1.4.1 สารทำความเย็น'!E9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75"/>
        <v>1300</v>
      </c>
      <c r="R28" s="28"/>
      <c r="S28" s="28"/>
      <c r="T28" s="28"/>
      <c r="U28" s="28"/>
      <c r="V28" s="28"/>
      <c r="W28" s="796" t="s">
        <v>2728</v>
      </c>
      <c r="X28" s="28"/>
      <c r="Y28" s="28"/>
      <c r="Z28" s="28" t="s">
        <v>1752</v>
      </c>
      <c r="AA28" s="23">
        <f t="shared" si="104"/>
        <v>0</v>
      </c>
      <c r="AB28" s="23">
        <f t="shared" si="105"/>
        <v>0</v>
      </c>
      <c r="AC28" s="23">
        <f t="shared" si="106"/>
        <v>0</v>
      </c>
      <c r="AD28" s="23">
        <f t="shared" si="107"/>
        <v>0</v>
      </c>
      <c r="AE28" s="23">
        <f t="shared" si="108"/>
        <v>0</v>
      </c>
      <c r="AF28" s="23">
        <f t="shared" si="109"/>
        <v>0</v>
      </c>
      <c r="AG28" s="23">
        <f t="shared" si="110"/>
        <v>0</v>
      </c>
      <c r="AH28" s="23">
        <f t="shared" si="111"/>
        <v>0</v>
      </c>
      <c r="AI28" s="23">
        <f t="shared" si="112"/>
        <v>0</v>
      </c>
      <c r="AJ28" s="23">
        <f t="shared" si="113"/>
        <v>0</v>
      </c>
      <c r="AK28" s="23">
        <f t="shared" si="114"/>
        <v>0</v>
      </c>
      <c r="AL28" s="23">
        <f t="shared" si="115"/>
        <v>0</v>
      </c>
      <c r="AM28" s="23">
        <f t="shared" si="116"/>
        <v>0</v>
      </c>
      <c r="AN28" s="24"/>
      <c r="AO28" s="23">
        <f t="shared" si="117"/>
        <v>0</v>
      </c>
      <c r="AP28" s="23">
        <f t="shared" si="118"/>
        <v>0</v>
      </c>
      <c r="AQ28" s="23">
        <f t="shared" si="7"/>
        <v>0</v>
      </c>
      <c r="AR28" s="23">
        <f t="shared" si="8"/>
        <v>0</v>
      </c>
      <c r="AS28" s="30"/>
      <c r="AT28" s="31"/>
    </row>
    <row r="29" spans="1:46">
      <c r="A29" s="1114"/>
      <c r="B29" s="26" t="str">
        <f>'1.4.1 สารทำความเย็น'!A10</f>
        <v>สารทำความเย็น R-407c - Air dryer/Chiller</v>
      </c>
      <c r="C29" s="15" t="str">
        <f>'1.4.1 สารทำความเย็น'!D10</f>
        <v>kg</v>
      </c>
      <c r="D29" s="33">
        <f>'1.4.1 สารทำความเย็น'!E10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75"/>
        <v>1624.21</v>
      </c>
      <c r="R29" s="28"/>
      <c r="S29" s="28"/>
      <c r="T29" s="28"/>
      <c r="U29" s="28"/>
      <c r="V29" s="28"/>
      <c r="W29" s="796" t="s">
        <v>2728</v>
      </c>
      <c r="X29" s="28"/>
      <c r="Y29" s="28"/>
      <c r="Z29" s="28" t="s">
        <v>1752</v>
      </c>
      <c r="AA29" s="23">
        <f t="shared" si="14"/>
        <v>0</v>
      </c>
      <c r="AB29" s="23">
        <f t="shared" si="15"/>
        <v>0</v>
      </c>
      <c r="AC29" s="23">
        <f t="shared" si="9"/>
        <v>0</v>
      </c>
      <c r="AD29" s="23">
        <f t="shared" si="10"/>
        <v>0</v>
      </c>
      <c r="AE29" s="23">
        <f t="shared" si="1"/>
        <v>0</v>
      </c>
      <c r="AF29" s="23">
        <f t="shared" si="2"/>
        <v>0</v>
      </c>
      <c r="AG29" s="23">
        <f t="shared" si="16"/>
        <v>0</v>
      </c>
      <c r="AH29" s="23">
        <f t="shared" si="11"/>
        <v>0</v>
      </c>
      <c r="AI29" s="23">
        <f t="shared" si="3"/>
        <v>0</v>
      </c>
      <c r="AJ29" s="23">
        <f>D29*I29*$AV$12/1000</f>
        <v>0</v>
      </c>
      <c r="AK29" s="23">
        <f>D29*J29*$AV$13/1000</f>
        <v>0</v>
      </c>
      <c r="AL29" s="23">
        <f t="shared" si="12"/>
        <v>0</v>
      </c>
      <c r="AM29" s="23">
        <f t="shared" si="13"/>
        <v>0</v>
      </c>
      <c r="AN29" s="24"/>
      <c r="AO29" s="23">
        <f t="shared" si="17"/>
        <v>0</v>
      </c>
      <c r="AP29" s="23">
        <f>AO29/$AO$36</f>
        <v>0</v>
      </c>
      <c r="AQ29" s="23">
        <f t="shared" si="7"/>
        <v>0</v>
      </c>
      <c r="AR29" s="23">
        <f t="shared" si="8"/>
        <v>0</v>
      </c>
      <c r="AS29" s="30"/>
      <c r="AT29" s="31"/>
    </row>
    <row r="30" spans="1:46">
      <c r="A30" s="1114"/>
      <c r="B30" s="26" t="str">
        <f>'1.4.2 สารดับเพลิง'!A4</f>
        <v>สารดับเพลิง CO2</v>
      </c>
      <c r="C30" s="15" t="str">
        <f>'1.4.2 สารดับเพลิง'!D4</f>
        <v xml:space="preserve">Kg </v>
      </c>
      <c r="D30" s="829">
        <f>'1.4.2 สารดับเพลิง'!E4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28"/>
      <c r="O30" s="29"/>
      <c r="P30" s="21"/>
      <c r="Q30" s="22">
        <f t="shared" si="75"/>
        <v>1</v>
      </c>
      <c r="R30" s="28"/>
      <c r="S30" s="28"/>
      <c r="T30" s="28"/>
      <c r="U30" s="28"/>
      <c r="V30" s="28"/>
      <c r="W30" s="796" t="s">
        <v>2728</v>
      </c>
      <c r="X30" s="28"/>
      <c r="Y30" s="28"/>
      <c r="Z30" s="28" t="s">
        <v>1752</v>
      </c>
      <c r="AA30" s="23">
        <f t="shared" si="14"/>
        <v>0</v>
      </c>
      <c r="AB30" s="23">
        <f t="shared" si="15"/>
        <v>0</v>
      </c>
      <c r="AC30" s="23">
        <f t="shared" si="9"/>
        <v>0</v>
      </c>
      <c r="AD30" s="23">
        <f t="shared" si="10"/>
        <v>0</v>
      </c>
      <c r="AE30" s="23">
        <f t="shared" si="1"/>
        <v>0</v>
      </c>
      <c r="AF30" s="23">
        <f t="shared" si="2"/>
        <v>0</v>
      </c>
      <c r="AG30" s="23">
        <f t="shared" si="16"/>
        <v>0</v>
      </c>
      <c r="AH30" s="23">
        <f t="shared" si="11"/>
        <v>0</v>
      </c>
      <c r="AI30" s="23">
        <f t="shared" si="3"/>
        <v>0</v>
      </c>
      <c r="AJ30" s="23">
        <f>D30*I30*$AV$12/1000</f>
        <v>0</v>
      </c>
      <c r="AK30" s="23">
        <f>D30*J30*$AV$13/1000</f>
        <v>0</v>
      </c>
      <c r="AL30" s="23">
        <f t="shared" si="12"/>
        <v>0</v>
      </c>
      <c r="AM30" s="23">
        <f t="shared" si="13"/>
        <v>0</v>
      </c>
      <c r="AN30" s="24"/>
      <c r="AO30" s="23">
        <f t="shared" si="17"/>
        <v>0</v>
      </c>
      <c r="AP30" s="23">
        <f>AO30/$AO$36</f>
        <v>0</v>
      </c>
      <c r="AQ30" s="23">
        <f t="shared" si="7"/>
        <v>0</v>
      </c>
      <c r="AR30" s="23">
        <f t="shared" si="8"/>
        <v>0</v>
      </c>
      <c r="AS30" s="30"/>
      <c r="AT30" s="31"/>
    </row>
    <row r="31" spans="1:46">
      <c r="A31" s="1114"/>
      <c r="B31" s="26" t="s">
        <v>1738</v>
      </c>
      <c r="C31" s="15" t="s">
        <v>1739</v>
      </c>
      <c r="D31" s="27">
        <f>'1.4.3 Septic'!I16+'1.4.3 Septic'!I34+'1.4.3 Septic'!I51+'1.4.3 Septic'!I68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75"/>
        <v>28</v>
      </c>
      <c r="R31" s="28"/>
      <c r="S31" s="28"/>
      <c r="T31" s="28"/>
      <c r="U31" s="28"/>
      <c r="V31" s="28"/>
      <c r="W31" s="796" t="s">
        <v>2728</v>
      </c>
      <c r="X31" s="28"/>
      <c r="Y31" s="28"/>
      <c r="Z31" s="28" t="s">
        <v>1752</v>
      </c>
      <c r="AA31" s="23">
        <f t="shared" si="14"/>
        <v>0</v>
      </c>
      <c r="AB31" s="23">
        <f t="shared" si="15"/>
        <v>0</v>
      </c>
      <c r="AC31" s="23">
        <f t="shared" si="9"/>
        <v>2.9702760000000006</v>
      </c>
      <c r="AD31" s="23">
        <f t="shared" si="10"/>
        <v>0</v>
      </c>
      <c r="AE31" s="23">
        <f t="shared" si="1"/>
        <v>0</v>
      </c>
      <c r="AF31" s="23">
        <f t="shared" si="2"/>
        <v>0</v>
      </c>
      <c r="AG31" s="23">
        <f t="shared" si="16"/>
        <v>0</v>
      </c>
      <c r="AH31" s="23">
        <f t="shared" si="11"/>
        <v>83.167728000000011</v>
      </c>
      <c r="AI31" s="23">
        <f t="shared" si="3"/>
        <v>0</v>
      </c>
      <c r="AJ31" s="23">
        <f>D31*I31*$AV$12/1000</f>
        <v>0</v>
      </c>
      <c r="AK31" s="23">
        <f>D31*J31*$AV$13/1000</f>
        <v>0</v>
      </c>
      <c r="AL31" s="23">
        <f t="shared" si="12"/>
        <v>0</v>
      </c>
      <c r="AM31" s="23">
        <f t="shared" si="13"/>
        <v>0</v>
      </c>
      <c r="AN31" s="24"/>
      <c r="AO31" s="23">
        <f t="shared" si="17"/>
        <v>83.167728000000011</v>
      </c>
      <c r="AP31" s="23">
        <f>AO31/$AO$36</f>
        <v>0.54176416782003034</v>
      </c>
      <c r="AQ31" s="23">
        <f t="shared" si="7"/>
        <v>1.2622647398334253E-2</v>
      </c>
      <c r="AR31" s="23">
        <f t="shared" si="8"/>
        <v>2.7142659402621932E-3</v>
      </c>
      <c r="AS31" s="30"/>
      <c r="AT31" s="31"/>
    </row>
    <row r="32" spans="1:46">
      <c r="A32" s="1114"/>
      <c r="B32" s="26" t="str">
        <f>'1.4.4 ปุ๋ย'!A3</f>
        <v>ปุ๋ยเคมี 16-16-16</v>
      </c>
      <c r="C32" s="15" t="str">
        <f>'1.4.4 ปุ๋ย'!C3</f>
        <v>Kg</v>
      </c>
      <c r="D32" s="551">
        <f>'1.4.4 ปุ๋ย'!D3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19"/>
      <c r="O32" s="29"/>
      <c r="P32" s="21"/>
      <c r="Q32" s="22">
        <f t="shared" si="75"/>
        <v>0.66249999999999998</v>
      </c>
      <c r="R32" s="28"/>
      <c r="S32" s="28"/>
      <c r="T32" s="28"/>
      <c r="U32" s="28"/>
      <c r="V32" s="28"/>
      <c r="W32" s="796" t="s">
        <v>2728</v>
      </c>
      <c r="X32" s="28"/>
      <c r="Y32" s="28"/>
      <c r="Z32" s="28" t="s">
        <v>1752</v>
      </c>
      <c r="AA32" s="23">
        <f t="shared" ref="AA32:AA33" si="119">D32*E32/1000</f>
        <v>0</v>
      </c>
      <c r="AB32" s="23">
        <f t="shared" ref="AB32:AB33" si="120">D32*F32/1000</f>
        <v>0</v>
      </c>
      <c r="AC32" s="23">
        <f t="shared" ref="AC32:AC33" si="121">D32*G32/1000</f>
        <v>0</v>
      </c>
      <c r="AD32" s="23">
        <f t="shared" ref="AD32:AD33" si="122">D32*H32/1000</f>
        <v>1.25E-4</v>
      </c>
      <c r="AE32" s="23">
        <f t="shared" ref="AE32:AE33" si="123">D32*I32/1000</f>
        <v>0</v>
      </c>
      <c r="AF32" s="23">
        <f t="shared" ref="AF32:AF33" si="124">D32*J32/1000</f>
        <v>0</v>
      </c>
      <c r="AG32" s="23">
        <f t="shared" ref="AG32:AG33" si="125">D32*F32*$AV$9/1000</f>
        <v>0</v>
      </c>
      <c r="AH32" s="23">
        <f t="shared" ref="AH32:AH33" si="126">D32*G32*$AV$10/1000</f>
        <v>0</v>
      </c>
      <c r="AI32" s="23">
        <f t="shared" ref="AI32:AI33" si="127">D32*H32*$AV$11/1000</f>
        <v>3.3125000000000002E-2</v>
      </c>
      <c r="AJ32" s="23">
        <f t="shared" ref="AJ32:AJ33" si="128">D32*I32*$AV$12/1000</f>
        <v>0</v>
      </c>
      <c r="AK32" s="23">
        <f t="shared" ref="AK32:AK33" si="129">D32*J32*$AV$13/1000</f>
        <v>0</v>
      </c>
      <c r="AL32" s="23">
        <f t="shared" ref="AL32:AL33" si="130">D32*K32*M32/1000</f>
        <v>0</v>
      </c>
      <c r="AM32" s="23">
        <f t="shared" ref="AM32:AM33" si="131">D32*L32*N32/1000</f>
        <v>0</v>
      </c>
      <c r="AN32" s="24"/>
      <c r="AO32" s="23">
        <f t="shared" ref="AO32:AO33" si="132">D32*Q32/1000</f>
        <v>3.3125000000000002E-2</v>
      </c>
      <c r="AP32" s="23">
        <f t="shared" ref="AP32:AP33" si="133">AO32/$AO$36</f>
        <v>2.1578006867084917E-4</v>
      </c>
      <c r="AQ32" s="23">
        <f t="shared" si="7"/>
        <v>5.0274932972777873E-6</v>
      </c>
      <c r="AR32" s="23">
        <f t="shared" si="8"/>
        <v>1.0810690809202477E-6</v>
      </c>
      <c r="AS32" s="30"/>
      <c r="AT32" s="31"/>
    </row>
    <row r="33" spans="1:47">
      <c r="A33" s="1114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75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119"/>
        <v>0</v>
      </c>
      <c r="AB33" s="23">
        <f t="shared" si="120"/>
        <v>0</v>
      </c>
      <c r="AC33" s="23">
        <f t="shared" si="121"/>
        <v>0</v>
      </c>
      <c r="AD33" s="23">
        <f t="shared" si="122"/>
        <v>0</v>
      </c>
      <c r="AE33" s="23">
        <f t="shared" si="123"/>
        <v>0</v>
      </c>
      <c r="AF33" s="23">
        <f t="shared" si="124"/>
        <v>0</v>
      </c>
      <c r="AG33" s="23">
        <f t="shared" si="125"/>
        <v>0</v>
      </c>
      <c r="AH33" s="23">
        <f t="shared" si="126"/>
        <v>0</v>
      </c>
      <c r="AI33" s="23">
        <f t="shared" si="127"/>
        <v>0</v>
      </c>
      <c r="AJ33" s="23">
        <f t="shared" si="128"/>
        <v>0</v>
      </c>
      <c r="AK33" s="23">
        <f t="shared" si="129"/>
        <v>0</v>
      </c>
      <c r="AL33" s="23">
        <f t="shared" si="130"/>
        <v>0</v>
      </c>
      <c r="AM33" s="23">
        <f t="shared" si="131"/>
        <v>0</v>
      </c>
      <c r="AN33" s="24"/>
      <c r="AO33" s="23">
        <f t="shared" si="132"/>
        <v>0</v>
      </c>
      <c r="AP33" s="23">
        <f t="shared" si="133"/>
        <v>0</v>
      </c>
      <c r="AQ33" s="23">
        <f t="shared" si="7"/>
        <v>0</v>
      </c>
      <c r="AR33" s="23">
        <f t="shared" si="8"/>
        <v>0</v>
      </c>
      <c r="AS33" s="30"/>
      <c r="AT33" s="31"/>
    </row>
    <row r="34" spans="1:47">
      <c r="A34" s="1114"/>
      <c r="B34" s="26"/>
      <c r="C34" s="15"/>
      <c r="D34" s="27"/>
      <c r="E34" s="28"/>
      <c r="F34" s="28"/>
      <c r="G34" s="28"/>
      <c r="H34" s="28"/>
      <c r="I34" s="28"/>
      <c r="J34" s="28"/>
      <c r="K34" s="28"/>
      <c r="L34" s="28"/>
      <c r="M34" s="18"/>
      <c r="N34" s="19"/>
      <c r="O34" s="29"/>
      <c r="P34" s="21"/>
      <c r="Q34" s="22">
        <f t="shared" si="75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14"/>
        <v>0</v>
      </c>
      <c r="AB34" s="23">
        <f t="shared" si="15"/>
        <v>0</v>
      </c>
      <c r="AC34" s="23">
        <f t="shared" si="9"/>
        <v>0</v>
      </c>
      <c r="AD34" s="23">
        <f t="shared" si="10"/>
        <v>0</v>
      </c>
      <c r="AE34" s="23">
        <f t="shared" si="1"/>
        <v>0</v>
      </c>
      <c r="AF34" s="23">
        <f t="shared" si="2"/>
        <v>0</v>
      </c>
      <c r="AG34" s="23">
        <f t="shared" si="16"/>
        <v>0</v>
      </c>
      <c r="AH34" s="23">
        <f t="shared" si="11"/>
        <v>0</v>
      </c>
      <c r="AI34" s="23">
        <f t="shared" si="3"/>
        <v>0</v>
      </c>
      <c r="AJ34" s="23">
        <f>D34*I34*$AV$12/1000</f>
        <v>0</v>
      </c>
      <c r="AK34" s="23">
        <f>D34*J34*$AV$13/1000</f>
        <v>0</v>
      </c>
      <c r="AL34" s="23">
        <f t="shared" si="12"/>
        <v>0</v>
      </c>
      <c r="AM34" s="23">
        <f t="shared" si="13"/>
        <v>0</v>
      </c>
      <c r="AN34" s="24"/>
      <c r="AO34" s="23">
        <f t="shared" si="17"/>
        <v>0</v>
      </c>
      <c r="AP34" s="23">
        <f>AO34/$AO$36</f>
        <v>0</v>
      </c>
      <c r="AQ34" s="23">
        <f t="shared" si="7"/>
        <v>0</v>
      </c>
      <c r="AR34" s="23">
        <f t="shared" si="8"/>
        <v>0</v>
      </c>
      <c r="AS34" s="35"/>
      <c r="AT34" s="31"/>
    </row>
    <row r="35" spans="1:47">
      <c r="A35" s="1114"/>
      <c r="B35" s="26"/>
      <c r="C35" s="15"/>
      <c r="D35" s="36"/>
      <c r="E35" s="37"/>
      <c r="F35" s="37"/>
      <c r="G35" s="37"/>
      <c r="H35" s="37"/>
      <c r="I35" s="37"/>
      <c r="J35" s="37"/>
      <c r="K35" s="37"/>
      <c r="L35" s="37"/>
      <c r="M35" s="18"/>
      <c r="N35" s="38"/>
      <c r="O35" s="29"/>
      <c r="P35" s="21"/>
      <c r="Q35" s="22">
        <f t="shared" si="75"/>
        <v>0</v>
      </c>
      <c r="R35" s="28"/>
      <c r="S35" s="28"/>
      <c r="T35" s="28"/>
      <c r="U35" s="28"/>
      <c r="V35" s="28"/>
      <c r="W35" s="28"/>
      <c r="X35" s="28"/>
      <c r="Y35" s="28"/>
      <c r="Z35" s="28"/>
      <c r="AA35" s="23">
        <f t="shared" si="14"/>
        <v>0</v>
      </c>
      <c r="AB35" s="23">
        <f t="shared" si="15"/>
        <v>0</v>
      </c>
      <c r="AC35" s="23">
        <f t="shared" si="9"/>
        <v>0</v>
      </c>
      <c r="AD35" s="23">
        <f t="shared" si="10"/>
        <v>0</v>
      </c>
      <c r="AE35" s="23">
        <f t="shared" si="1"/>
        <v>0</v>
      </c>
      <c r="AF35" s="23">
        <f t="shared" si="2"/>
        <v>0</v>
      </c>
      <c r="AG35" s="23">
        <f t="shared" si="16"/>
        <v>0</v>
      </c>
      <c r="AH35" s="23">
        <f t="shared" si="11"/>
        <v>0</v>
      </c>
      <c r="AI35" s="23">
        <f t="shared" si="3"/>
        <v>0</v>
      </c>
      <c r="AJ35" s="23">
        <f>D35*I35*$AV$12/1000</f>
        <v>0</v>
      </c>
      <c r="AK35" s="23">
        <f>D35*J35*$AV$13/1000</f>
        <v>0</v>
      </c>
      <c r="AL35" s="23">
        <f t="shared" si="12"/>
        <v>0</v>
      </c>
      <c r="AM35" s="23">
        <f t="shared" si="13"/>
        <v>0</v>
      </c>
      <c r="AN35" s="24"/>
      <c r="AO35" s="23">
        <f>D35*Q35/1000</f>
        <v>0</v>
      </c>
      <c r="AP35" s="23">
        <f>AO35/$AO$36</f>
        <v>0</v>
      </c>
      <c r="AQ35" s="23">
        <f t="shared" si="7"/>
        <v>0</v>
      </c>
      <c r="AR35" s="23">
        <f t="shared" si="8"/>
        <v>0</v>
      </c>
      <c r="AS35" s="25"/>
      <c r="AT35" s="31"/>
    </row>
    <row r="36" spans="1:47">
      <c r="A36" s="1115"/>
      <c r="B36" s="39"/>
      <c r="C36" s="40"/>
      <c r="D36" s="41"/>
      <c r="E36" s="1136"/>
      <c r="F36" s="1137"/>
      <c r="G36" s="1137"/>
      <c r="H36" s="1137"/>
      <c r="I36" s="1137"/>
      <c r="J36" s="1137"/>
      <c r="K36" s="1137"/>
      <c r="L36" s="1137"/>
      <c r="M36" s="1137"/>
      <c r="N36" s="1137"/>
      <c r="O36" s="1137"/>
      <c r="P36" s="1137"/>
      <c r="Q36" s="1138"/>
      <c r="R36" s="108"/>
      <c r="S36" s="108"/>
      <c r="T36" s="108"/>
      <c r="U36" s="108"/>
      <c r="V36" s="108"/>
      <c r="W36" s="108"/>
      <c r="X36" s="108"/>
      <c r="Y36" s="108"/>
      <c r="Z36" s="108"/>
      <c r="AA36" s="42">
        <f t="shared" ref="AA36:AN36" si="134">SUM(AA10:AA35)</f>
        <v>65.750313548762094</v>
      </c>
      <c r="AB36" s="42">
        <f t="shared" si="134"/>
        <v>6.0896639262078807E-3</v>
      </c>
      <c r="AC36" s="42">
        <f t="shared" si="134"/>
        <v>2.9729217135918242</v>
      </c>
      <c r="AD36" s="42">
        <f t="shared" si="134"/>
        <v>9.3723541403462392E-3</v>
      </c>
      <c r="AE36" s="42">
        <f t="shared" si="134"/>
        <v>0</v>
      </c>
      <c r="AF36" s="42">
        <f t="shared" si="134"/>
        <v>0</v>
      </c>
      <c r="AG36" s="42">
        <f>SUM(AG10:AG35)</f>
        <v>0.18104380662623637</v>
      </c>
      <c r="AH36" s="42">
        <f t="shared" si="134"/>
        <v>83.241807980571082</v>
      </c>
      <c r="AI36" s="42">
        <f t="shared" si="134"/>
        <v>2.4836738471917537</v>
      </c>
      <c r="AJ36" s="42">
        <f t="shared" si="134"/>
        <v>0</v>
      </c>
      <c r="AK36" s="42">
        <f t="shared" si="134"/>
        <v>0</v>
      </c>
      <c r="AL36" s="42">
        <f t="shared" si="134"/>
        <v>1.8543030000000005</v>
      </c>
      <c r="AM36" s="42">
        <f t="shared" si="134"/>
        <v>0</v>
      </c>
      <c r="AN36" s="42">
        <f t="shared" si="134"/>
        <v>0</v>
      </c>
      <c r="AO36" s="42">
        <f>SUM(AO10:AO35)</f>
        <v>153.51278829431121</v>
      </c>
      <c r="AP36" s="42">
        <f>SUM(AP10:AP35)</f>
        <v>0.99999999999999978</v>
      </c>
      <c r="AQ36" s="42"/>
      <c r="AR36" s="42"/>
      <c r="AS36" s="43"/>
    </row>
    <row r="37" spans="1:47">
      <c r="A37" s="1122" t="s">
        <v>2822</v>
      </c>
      <c r="B37" s="52" t="str">
        <f>'1.4.1 สารทำความเย็น'!A5</f>
        <v>สารทำความเย็น R-22  Chiller/เครื่องปรับอากาศ/Air dryer</v>
      </c>
      <c r="C37" s="53" t="str">
        <f>'1.4.1 สารทำความเย็น'!D5</f>
        <v>kg</v>
      </c>
      <c r="D37" s="54">
        <f>'1.4.1 สารทำความเย็น'!E5</f>
        <v>102.6</v>
      </c>
      <c r="E37" s="19"/>
      <c r="F37" s="34"/>
      <c r="G37" s="215"/>
      <c r="H37" s="21"/>
      <c r="I37" s="21"/>
      <c r="J37" s="21"/>
      <c r="K37" s="21"/>
      <c r="L37" s="21"/>
      <c r="M37" s="21"/>
      <c r="N37" s="55"/>
      <c r="O37" s="28">
        <v>1</v>
      </c>
      <c r="P37" s="28">
        <f>'EF TGO AR5'!H55</f>
        <v>1760</v>
      </c>
      <c r="Q37" s="22">
        <f>(E37*$AV$8)+(O37*P37)</f>
        <v>1760</v>
      </c>
      <c r="R37" s="28"/>
      <c r="S37" s="28"/>
      <c r="T37" s="28"/>
      <c r="U37" s="28"/>
      <c r="V37" s="28"/>
      <c r="W37" s="796" t="s">
        <v>2728</v>
      </c>
      <c r="X37" s="28"/>
      <c r="Y37" s="28"/>
      <c r="Z37" s="559" t="s">
        <v>1752</v>
      </c>
      <c r="AA37" s="23">
        <f>D37*E37*$AV$8/1000</f>
        <v>0</v>
      </c>
      <c r="AB37" s="56"/>
      <c r="AC37" s="216"/>
      <c r="AD37" s="57"/>
      <c r="AE37" s="57"/>
      <c r="AF37" s="57"/>
      <c r="AG37" s="56"/>
      <c r="AH37" s="216"/>
      <c r="AI37" s="57"/>
      <c r="AJ37" s="57"/>
      <c r="AK37" s="57"/>
      <c r="AL37" s="57"/>
      <c r="AM37" s="57"/>
      <c r="AN37" s="23">
        <f>D37*O37*P37/1000</f>
        <v>180.57599999999999</v>
      </c>
      <c r="AO37" s="23">
        <f>D37*Q37/1000</f>
        <v>180.57599999999999</v>
      </c>
      <c r="AP37" s="23">
        <f t="shared" ref="AP37:AP43" si="135">AO37/$AO$44</f>
        <v>0.97522788707075636</v>
      </c>
      <c r="AQ37" s="149"/>
      <c r="AR37" s="149"/>
      <c r="AS37" s="58"/>
    </row>
    <row r="38" spans="1:47">
      <c r="A38" s="1122"/>
      <c r="B38" s="26" t="str">
        <f>'1.4.2 สารดับเพลิง'!A5</f>
        <v>สารดับเพลิง HCFC-123</v>
      </c>
      <c r="C38" s="53" t="str">
        <f>'1.4.2 สารดับเพลิง'!D5</f>
        <v xml:space="preserve">Kg </v>
      </c>
      <c r="D38" s="848">
        <f>'1.4.2 สารดับเพลิง'!E5</f>
        <v>0</v>
      </c>
      <c r="E38" s="19"/>
      <c r="F38" s="34"/>
      <c r="G38" s="215"/>
      <c r="H38" s="21"/>
      <c r="I38" s="21"/>
      <c r="J38" s="21"/>
      <c r="K38" s="21"/>
      <c r="L38" s="21"/>
      <c r="M38" s="21"/>
      <c r="N38" s="55"/>
      <c r="O38" s="28">
        <v>1</v>
      </c>
      <c r="P38" s="28">
        <f>'EF (1)'!E13</f>
        <v>79</v>
      </c>
      <c r="Q38" s="22">
        <f>(E38*$AV$8)+(O38*P38)</f>
        <v>79</v>
      </c>
      <c r="R38" s="28"/>
      <c r="S38" s="28"/>
      <c r="T38" s="28"/>
      <c r="U38" s="28"/>
      <c r="V38" s="28"/>
      <c r="W38" s="796" t="s">
        <v>2728</v>
      </c>
      <c r="X38" s="28"/>
      <c r="Y38" s="28"/>
      <c r="Z38" s="559" t="s">
        <v>1752</v>
      </c>
      <c r="AA38" s="23">
        <f t="shared" ref="AA38:AA42" si="136">D38*E38*$AV$8/1000</f>
        <v>0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>D38*O38*P38/1000</f>
        <v>0</v>
      </c>
      <c r="AO38" s="23">
        <f>D38*Q38/1000</f>
        <v>0</v>
      </c>
      <c r="AP38" s="23">
        <f t="shared" si="135"/>
        <v>0</v>
      </c>
      <c r="AQ38" s="810"/>
      <c r="AR38" s="810"/>
      <c r="AS38" s="58"/>
    </row>
    <row r="39" spans="1:47">
      <c r="A39" s="1122"/>
      <c r="B39" s="26" t="s">
        <v>2787</v>
      </c>
      <c r="C39" s="811" t="s">
        <v>61</v>
      </c>
      <c r="D39" s="27">
        <f>D14</f>
        <v>32.88599999999996</v>
      </c>
      <c r="E39" s="19">
        <f>'EF (1)'!F28*'EF (1)'!C28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6" t="s">
        <v>2728</v>
      </c>
      <c r="X39" s="28"/>
      <c r="Y39" s="28"/>
      <c r="Z39" s="28" t="s">
        <v>2763</v>
      </c>
      <c r="AA39" s="23">
        <f>D39*E39*$AV$8/1000</f>
        <v>6.2864877599999924E-2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>D39*O39*P39/1000</f>
        <v>0</v>
      </c>
      <c r="AO39" s="23">
        <f t="shared" ref="AO39:AO42" si="137">D39*Q39/1000</f>
        <v>6.2864877599999924E-2</v>
      </c>
      <c r="AP39" s="23">
        <f t="shared" si="135"/>
        <v>3.3951124043510571E-4</v>
      </c>
      <c r="AQ39" s="149"/>
      <c r="AR39" s="149"/>
      <c r="AS39" s="58"/>
    </row>
    <row r="40" spans="1:47">
      <c r="A40" s="1122"/>
      <c r="B40" s="26" t="s">
        <v>2788</v>
      </c>
      <c r="C40" s="811" t="s">
        <v>61</v>
      </c>
      <c r="D40" s="829">
        <f>D15</f>
        <v>4.0721340000000019</v>
      </c>
      <c r="E40" s="807">
        <f>'EF (1)'!F29*'EF (1)'!C29</f>
        <v>1.9116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ref="Q40:Q41" si="138">(E40*$AV$8)+(O40*P40)</f>
        <v>1.9116</v>
      </c>
      <c r="R40" s="28"/>
      <c r="S40" s="28"/>
      <c r="T40" s="28"/>
      <c r="U40" s="28"/>
      <c r="V40" s="28"/>
      <c r="W40" s="796" t="s">
        <v>2728</v>
      </c>
      <c r="X40" s="28"/>
      <c r="Y40" s="28"/>
      <c r="Z40" s="28" t="s">
        <v>2763</v>
      </c>
      <c r="AA40" s="23">
        <f t="shared" si="136"/>
        <v>7.7842913544000029E-3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>D40*O40*P40/1000</f>
        <v>0</v>
      </c>
      <c r="AO40" s="23">
        <f t="shared" si="137"/>
        <v>7.7842913544000029E-3</v>
      </c>
      <c r="AP40" s="23">
        <f t="shared" si="135"/>
        <v>4.2040237960164537E-5</v>
      </c>
      <c r="AQ40" s="149"/>
      <c r="AR40" s="149"/>
      <c r="AS40" s="60"/>
      <c r="AT40" s="61"/>
    </row>
    <row r="41" spans="1:47">
      <c r="A41" s="1122"/>
      <c r="B41" s="26" t="s">
        <v>2789</v>
      </c>
      <c r="C41" s="811" t="s">
        <v>61</v>
      </c>
      <c r="D41" s="829">
        <f>D22</f>
        <v>1068.2666837999989</v>
      </c>
      <c r="E41" s="807">
        <f>'EF (1)'!$C$34</f>
        <v>2.8368489446681764</v>
      </c>
      <c r="F41" s="34"/>
      <c r="G41" s="215"/>
      <c r="H41" s="21"/>
      <c r="I41" s="21"/>
      <c r="J41" s="21"/>
      <c r="K41" s="21"/>
      <c r="L41" s="21"/>
      <c r="M41" s="59"/>
      <c r="N41" s="55"/>
      <c r="O41" s="28"/>
      <c r="P41" s="54"/>
      <c r="Q41" s="22">
        <f t="shared" si="138"/>
        <v>2.8368489446681764</v>
      </c>
      <c r="R41" s="28"/>
      <c r="S41" s="28"/>
      <c r="T41" s="28"/>
      <c r="U41" s="28"/>
      <c r="V41" s="28"/>
      <c r="W41" s="796" t="s">
        <v>2728</v>
      </c>
      <c r="X41" s="28"/>
      <c r="Y41" s="28"/>
      <c r="Z41" s="28" t="s">
        <v>2763</v>
      </c>
      <c r="AA41" s="23">
        <f t="shared" si="136"/>
        <v>3.0305112145621993</v>
      </c>
      <c r="AB41" s="56"/>
      <c r="AC41" s="216"/>
      <c r="AD41" s="57"/>
      <c r="AE41" s="57"/>
      <c r="AF41" s="57"/>
      <c r="AG41" s="56"/>
      <c r="AH41" s="216"/>
      <c r="AI41" s="57"/>
      <c r="AJ41" s="57"/>
      <c r="AK41" s="57"/>
      <c r="AL41" s="57"/>
      <c r="AM41" s="57"/>
      <c r="AN41" s="23">
        <f t="shared" ref="AN41:AN43" si="139">D41*O41*P41/1000</f>
        <v>0</v>
      </c>
      <c r="AO41" s="23">
        <f t="shared" si="137"/>
        <v>3.0305112145621993</v>
      </c>
      <c r="AP41" s="23">
        <f t="shared" si="135"/>
        <v>1.6366732281818876E-2</v>
      </c>
      <c r="AQ41" s="810"/>
      <c r="AR41" s="810"/>
      <c r="AS41" s="60"/>
      <c r="AT41" s="61"/>
    </row>
    <row r="42" spans="1:47">
      <c r="A42" s="1122"/>
      <c r="B42" s="26" t="s">
        <v>2790</v>
      </c>
      <c r="C42" s="811" t="s">
        <v>61</v>
      </c>
      <c r="D42" s="829">
        <f>D23</f>
        <v>283.185</v>
      </c>
      <c r="E42" s="807">
        <f>'EF (1)'!$C$36</f>
        <v>2.8368489446681764</v>
      </c>
      <c r="F42" s="34"/>
      <c r="G42" s="215"/>
      <c r="H42" s="215"/>
      <c r="I42" s="215"/>
      <c r="J42" s="215"/>
      <c r="K42" s="215"/>
      <c r="L42" s="215"/>
      <c r="M42" s="834"/>
      <c r="N42" s="55"/>
      <c r="O42" s="795"/>
      <c r="P42" s="831"/>
      <c r="Q42" s="830">
        <f>(E42*$AV$8)+(O41*P42)</f>
        <v>2.8368489446681764</v>
      </c>
      <c r="R42" s="28"/>
      <c r="S42" s="28"/>
      <c r="T42" s="28"/>
      <c r="U42" s="28"/>
      <c r="V42" s="28"/>
      <c r="W42" s="796" t="s">
        <v>2728</v>
      </c>
      <c r="X42" s="28"/>
      <c r="Y42" s="28"/>
      <c r="Z42" s="28" t="s">
        <v>2763</v>
      </c>
      <c r="AA42" s="837">
        <f t="shared" si="136"/>
        <v>0.80335306839585763</v>
      </c>
      <c r="AB42" s="56"/>
      <c r="AC42" s="216"/>
      <c r="AD42" s="216"/>
      <c r="AE42" s="216"/>
      <c r="AF42" s="835"/>
      <c r="AG42" s="216"/>
      <c r="AH42" s="216"/>
      <c r="AI42" s="216"/>
      <c r="AJ42" s="216"/>
      <c r="AK42" s="216"/>
      <c r="AL42" s="216"/>
      <c r="AM42" s="835"/>
      <c r="AN42" s="810">
        <f t="shared" si="139"/>
        <v>0</v>
      </c>
      <c r="AO42" s="23">
        <f t="shared" si="137"/>
        <v>0.80335306839585763</v>
      </c>
      <c r="AP42" s="23">
        <f t="shared" si="135"/>
        <v>4.3386292500858428E-3</v>
      </c>
      <c r="AQ42" s="149"/>
      <c r="AR42" s="149"/>
      <c r="AS42" s="60"/>
      <c r="AT42" s="61"/>
    </row>
    <row r="43" spans="1:47">
      <c r="A43" s="1122"/>
      <c r="B43" s="26" t="s">
        <v>2791</v>
      </c>
      <c r="C43" s="811" t="s">
        <v>61</v>
      </c>
      <c r="D43" s="829">
        <f>D24</f>
        <v>354.88458999999978</v>
      </c>
      <c r="E43" s="828">
        <f>'EF (1)'!$C$35</f>
        <v>1.9227721733334637</v>
      </c>
      <c r="F43" s="62"/>
      <c r="G43" s="63"/>
      <c r="H43" s="63"/>
      <c r="I43" s="63"/>
      <c r="J43" s="63"/>
      <c r="K43" s="63"/>
      <c r="L43" s="63"/>
      <c r="M43" s="64"/>
      <c r="N43" s="65"/>
      <c r="O43" s="833"/>
      <c r="P43" s="832"/>
      <c r="Q43" s="830">
        <f>(E43*$AV$8)+(O42*P43)</f>
        <v>1.9227721733334637</v>
      </c>
      <c r="R43" s="795"/>
      <c r="S43" s="795"/>
      <c r="T43" s="795"/>
      <c r="U43" s="795"/>
      <c r="V43" s="795"/>
      <c r="W43" s="796" t="s">
        <v>2728</v>
      </c>
      <c r="X43" s="28"/>
      <c r="Y43" s="28"/>
      <c r="Z43" s="28" t="s">
        <v>2763</v>
      </c>
      <c r="AA43" s="837">
        <f>D43*E43*$AV$8/1000</f>
        <v>0.68236221439685485</v>
      </c>
      <c r="AB43" s="66"/>
      <c r="AC43" s="67"/>
      <c r="AD43" s="67"/>
      <c r="AE43" s="67"/>
      <c r="AF43" s="836"/>
      <c r="AG43" s="67"/>
      <c r="AH43" s="67"/>
      <c r="AI43" s="67"/>
      <c r="AJ43" s="67"/>
      <c r="AK43" s="67"/>
      <c r="AL43" s="67"/>
      <c r="AM43" s="836"/>
      <c r="AN43" s="810">
        <f t="shared" si="139"/>
        <v>0</v>
      </c>
      <c r="AO43" s="23">
        <f t="shared" ref="AO43" si="140">D43*Q43/1000</f>
        <v>0.68236221439685485</v>
      </c>
      <c r="AP43" s="23">
        <f t="shared" si="135"/>
        <v>3.6851999189436426E-3</v>
      </c>
      <c r="AQ43" s="810"/>
      <c r="AR43" s="810"/>
      <c r="AS43" s="60"/>
      <c r="AT43" s="61"/>
    </row>
    <row r="44" spans="1:47">
      <c r="A44" s="1123"/>
      <c r="B44" s="1124"/>
      <c r="C44" s="1125"/>
      <c r="D44" s="1125"/>
      <c r="E44" s="1125"/>
      <c r="F44" s="1125"/>
      <c r="G44" s="1125"/>
      <c r="H44" s="1125"/>
      <c r="I44" s="1125"/>
      <c r="J44" s="1125"/>
      <c r="K44" s="1125"/>
      <c r="L44" s="1125"/>
      <c r="M44" s="1125"/>
      <c r="N44" s="1125"/>
      <c r="O44" s="1125"/>
      <c r="P44" s="1125"/>
      <c r="Q44" s="1126"/>
      <c r="R44" s="109"/>
      <c r="S44" s="109"/>
      <c r="T44" s="109"/>
      <c r="U44" s="109"/>
      <c r="V44" s="109"/>
      <c r="W44" s="109"/>
      <c r="X44" s="109"/>
      <c r="Y44" s="109"/>
      <c r="Z44" s="109"/>
      <c r="AA44" s="68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8">
        <f>SUM(AO37:AO43)</f>
        <v>185.1628756663093</v>
      </c>
      <c r="AP44" s="150">
        <f>SUM(AP37:AP43)</f>
        <v>1</v>
      </c>
      <c r="AQ44" s="150"/>
      <c r="AR44" s="150"/>
      <c r="AS44" s="70"/>
      <c r="AT44" s="61"/>
    </row>
    <row r="45" spans="1:47">
      <c r="A45" s="1113" t="s">
        <v>33</v>
      </c>
      <c r="B45" s="71" t="s">
        <v>1741</v>
      </c>
      <c r="C45" s="15" t="s">
        <v>416</v>
      </c>
      <c r="D45" s="72">
        <f>'Scope 2.1 Purchased Electricity'!E3+'Scope 2.1 Purchased Electricity'!E7+'Scope 2.1 Purchased Electricity'!E12+'Scope 2.1 Purchased Electricity'!E15</f>
        <v>12873090.23</v>
      </c>
      <c r="E45" s="1127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9"/>
      <c r="Q45" s="73">
        <f>'EF TGO AR5'!H53</f>
        <v>0.49990000000000001</v>
      </c>
      <c r="R45" s="28"/>
      <c r="S45" s="28"/>
      <c r="T45" s="28"/>
      <c r="U45" s="796" t="s">
        <v>2728</v>
      </c>
      <c r="V45" s="28"/>
      <c r="W45" s="28"/>
      <c r="X45" s="28"/>
      <c r="Y45" s="28"/>
      <c r="Z45" s="559" t="s">
        <v>1753</v>
      </c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105"/>
      <c r="AO45" s="23">
        <f>D45*Q45/1000</f>
        <v>6435.2578059770003</v>
      </c>
      <c r="AP45" s="23">
        <f>AO45/$AO$49</f>
        <v>1</v>
      </c>
      <c r="AQ45" s="23">
        <f>AO45/$AO$58</f>
        <v>0.97670084485445807</v>
      </c>
      <c r="AR45" s="23">
        <f>AO45/$AO$59</f>
        <v>0.210021380884299</v>
      </c>
      <c r="AS45" s="25"/>
      <c r="AU45" s="74"/>
    </row>
    <row r="46" spans="1:47">
      <c r="A46" s="1114"/>
      <c r="B46" s="71" t="s">
        <v>1742</v>
      </c>
      <c r="C46" s="15" t="s">
        <v>416</v>
      </c>
      <c r="D46" s="27">
        <f>'Scope 2.1 Purchased Electricity'!E8</f>
        <v>347500</v>
      </c>
      <c r="E46" s="1130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2"/>
      <c r="Q46" s="75">
        <v>0</v>
      </c>
      <c r="R46" s="28"/>
      <c r="S46" s="28"/>
      <c r="T46" s="28"/>
      <c r="U46" s="796" t="s">
        <v>2728</v>
      </c>
      <c r="V46" s="28"/>
      <c r="W46" s="28"/>
      <c r="X46" s="28"/>
      <c r="Y46" s="28"/>
      <c r="Z46" s="28" t="s">
        <v>1754</v>
      </c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107"/>
      <c r="AO46" s="23">
        <f>D46*Q46/1000</f>
        <v>0</v>
      </c>
      <c r="AP46" s="23">
        <f>AO46/$AO$49</f>
        <v>0</v>
      </c>
      <c r="AQ46" s="23">
        <f t="shared" ref="AQ46" si="141">AO46/$AO$58</f>
        <v>0</v>
      </c>
      <c r="AR46" s="23">
        <f t="shared" ref="AR46:AR48" si="142">AO46/$AO$59</f>
        <v>0</v>
      </c>
      <c r="AS46" s="30"/>
      <c r="AT46" s="31"/>
      <c r="AU46" s="76"/>
    </row>
    <row r="47" spans="1:47">
      <c r="A47" s="1114"/>
      <c r="B47" s="71"/>
      <c r="C47" s="15"/>
      <c r="D47" s="27"/>
      <c r="E47" s="1130"/>
      <c r="F47" s="1131"/>
      <c r="G47" s="1131"/>
      <c r="H47" s="1131"/>
      <c r="I47" s="1131"/>
      <c r="J47" s="1131"/>
      <c r="K47" s="1131"/>
      <c r="L47" s="1131"/>
      <c r="M47" s="1131"/>
      <c r="N47" s="1131"/>
      <c r="O47" s="1131"/>
      <c r="P47" s="1132"/>
      <c r="Q47" s="75"/>
      <c r="R47" s="28"/>
      <c r="S47" s="28"/>
      <c r="T47" s="28"/>
      <c r="U47" s="28"/>
      <c r="V47" s="28"/>
      <c r="W47" s="28"/>
      <c r="X47" s="28"/>
      <c r="Y47" s="28"/>
      <c r="Z47" s="28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107"/>
      <c r="AO47" s="23">
        <f>D47*Q47/1000</f>
        <v>0</v>
      </c>
      <c r="AP47" s="23">
        <f t="shared" ref="AP47:AP48" si="143">AO47/$AO$49</f>
        <v>0</v>
      </c>
      <c r="AQ47" s="23">
        <f>AO47/$AO$58</f>
        <v>0</v>
      </c>
      <c r="AR47" s="23">
        <f t="shared" si="142"/>
        <v>0</v>
      </c>
      <c r="AS47" s="25"/>
    </row>
    <row r="48" spans="1:47">
      <c r="A48" s="1114"/>
      <c r="B48" s="71"/>
      <c r="C48" s="15"/>
      <c r="D48" s="77"/>
      <c r="E48" s="1133"/>
      <c r="F48" s="1134"/>
      <c r="G48" s="1134"/>
      <c r="H48" s="1134"/>
      <c r="I48" s="1134"/>
      <c r="J48" s="1134"/>
      <c r="K48" s="1134"/>
      <c r="L48" s="1134"/>
      <c r="M48" s="1134"/>
      <c r="N48" s="1134"/>
      <c r="O48" s="1134"/>
      <c r="P48" s="1135"/>
      <c r="Q48" s="78"/>
      <c r="R48" s="28"/>
      <c r="S48" s="28"/>
      <c r="T48" s="28"/>
      <c r="U48" s="28"/>
      <c r="V48" s="28"/>
      <c r="W48" s="28"/>
      <c r="X48" s="28"/>
      <c r="Y48" s="28"/>
      <c r="Z48" s="2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9"/>
      <c r="AO48" s="23"/>
      <c r="AP48" s="23">
        <f t="shared" si="143"/>
        <v>0</v>
      </c>
      <c r="AQ48" s="23">
        <f>AO48/$AO$58</f>
        <v>0</v>
      </c>
      <c r="AR48" s="23">
        <f t="shared" si="142"/>
        <v>0</v>
      </c>
      <c r="AS48" s="25"/>
      <c r="AU48" s="79"/>
    </row>
    <row r="49" spans="1:47">
      <c r="A49" s="1115"/>
      <c r="B49" s="1110"/>
      <c r="C49" s="1111"/>
      <c r="D49" s="1111"/>
      <c r="E49" s="1111"/>
      <c r="F49" s="1111"/>
      <c r="G49" s="1111"/>
      <c r="H49" s="1111"/>
      <c r="I49" s="1111"/>
      <c r="J49" s="1111"/>
      <c r="K49" s="1111"/>
      <c r="L49" s="1111"/>
      <c r="M49" s="1111"/>
      <c r="N49" s="1111"/>
      <c r="O49" s="1111"/>
      <c r="P49" s="1111"/>
      <c r="Q49" s="1112"/>
      <c r="R49" s="111"/>
      <c r="S49" s="111"/>
      <c r="T49" s="111"/>
      <c r="U49" s="111"/>
      <c r="V49" s="111"/>
      <c r="W49" s="111"/>
      <c r="X49" s="111"/>
      <c r="Y49" s="111"/>
      <c r="Z49" s="111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>
        <f>SUM(AO45:AO48)</f>
        <v>6435.2578059770003</v>
      </c>
      <c r="AP49" s="68">
        <f>SUM(AP45:AP48)</f>
        <v>1</v>
      </c>
      <c r="AQ49" s="68"/>
      <c r="AR49" s="68"/>
      <c r="AS49" s="80"/>
    </row>
    <row r="50" spans="1:47">
      <c r="A50" s="1113" t="s">
        <v>34</v>
      </c>
      <c r="B50" s="814" t="s">
        <v>393</v>
      </c>
      <c r="C50" s="81"/>
      <c r="D50" s="82"/>
      <c r="E50" s="1116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2"/>
      <c r="R50" s="28"/>
      <c r="S50" s="28"/>
      <c r="T50" s="28"/>
      <c r="U50" s="28"/>
      <c r="V50" s="28"/>
      <c r="W50" s="28"/>
      <c r="X50" s="28"/>
      <c r="Y50" s="28"/>
      <c r="Z50" s="28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5"/>
      <c r="AO50" s="23">
        <f t="shared" ref="AO50:AO55" si="144">D50*Q50/1000</f>
        <v>0</v>
      </c>
      <c r="AP50" s="23">
        <f>AO50/$AO$57</f>
        <v>0</v>
      </c>
      <c r="AQ50" s="23"/>
      <c r="AR50" s="23">
        <f>AO50/$AO$59</f>
        <v>0</v>
      </c>
      <c r="AS50" s="25"/>
    </row>
    <row r="51" spans="1:47">
      <c r="A51" s="1114"/>
      <c r="B51" s="71" t="str">
        <f>'Fr-03.2'!C22</f>
        <v>เม็ดพลาสติก LDPE</v>
      </c>
      <c r="C51" s="83" t="str">
        <f>'Screen scope 3'!D3</f>
        <v>Kg</v>
      </c>
      <c r="D51" s="84">
        <f>'Screen scope 3'!E3</f>
        <v>3887250</v>
      </c>
      <c r="E51" s="1118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  <c r="Q51" s="113">
        <f>'Screen scope 3'!H3</f>
        <v>2.6257999999999999</v>
      </c>
      <c r="R51" s="28"/>
      <c r="S51" s="28"/>
      <c r="T51" s="28"/>
      <c r="U51" s="796" t="s">
        <v>2728</v>
      </c>
      <c r="V51" s="28"/>
      <c r="W51" s="28"/>
      <c r="X51" s="28"/>
      <c r="Y51" s="28"/>
      <c r="Z51" s="28" t="str">
        <f>'Screen scope 3'!K3</f>
        <v xml:space="preserve">TGO-CFP-EF-(ก.ค. 65)-6 LDPE </v>
      </c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7"/>
      <c r="AO51" s="23">
        <f t="shared" si="144"/>
        <v>10207.141049999998</v>
      </c>
      <c r="AP51" s="23">
        <f t="shared" ref="AP51:AP56" si="145">AO51/$AO$57</f>
        <v>0.42437462574945639</v>
      </c>
      <c r="AQ51" s="23"/>
      <c r="AR51" s="23">
        <f t="shared" ref="AR51:AR55" si="146">AO51/$AO$59</f>
        <v>0.33312074245273449</v>
      </c>
      <c r="AS51" s="30"/>
      <c r="AT51" s="31"/>
    </row>
    <row r="52" spans="1:47">
      <c r="A52" s="1114"/>
      <c r="B52" s="71" t="str">
        <f>'Fr-03.2'!C23</f>
        <v>เม็ดพลาสติก LLDPE</v>
      </c>
      <c r="C52" s="83" t="str">
        <f>'Screen scope 3'!D4</f>
        <v>Kg</v>
      </c>
      <c r="D52" s="84">
        <f>'Screen scope 3'!E4</f>
        <v>3753000</v>
      </c>
      <c r="E52" s="1118"/>
      <c r="F52" s="1119"/>
      <c r="G52" s="1119"/>
      <c r="H52" s="1119"/>
      <c r="I52" s="1119"/>
      <c r="J52" s="1119"/>
      <c r="K52" s="1119"/>
      <c r="L52" s="1119"/>
      <c r="M52" s="1119"/>
      <c r="N52" s="1119"/>
      <c r="O52" s="1119"/>
      <c r="P52" s="1119"/>
      <c r="Q52" s="113">
        <f>'Screen scope 3'!H4</f>
        <v>2.1356000000000002</v>
      </c>
      <c r="R52" s="28"/>
      <c r="S52" s="28"/>
      <c r="T52" s="28"/>
      <c r="U52" s="796" t="s">
        <v>2728</v>
      </c>
      <c r="V52" s="28"/>
      <c r="W52" s="28"/>
      <c r="X52" s="28"/>
      <c r="Y52" s="28"/>
      <c r="Z52" s="28" t="str">
        <f>'Screen scope 3'!K4</f>
        <v xml:space="preserve">TGO-CFP-EF-(ก.ค. 65)-5 LLDPE </v>
      </c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7"/>
      <c r="AO52" s="23">
        <f t="shared" si="144"/>
        <v>8014.9068000000007</v>
      </c>
      <c r="AP52" s="23">
        <f t="shared" si="145"/>
        <v>0.33322975130894011</v>
      </c>
      <c r="AQ52" s="23"/>
      <c r="AR52" s="23">
        <f t="shared" si="146"/>
        <v>0.26157488084339453</v>
      </c>
      <c r="AS52" s="30"/>
    </row>
    <row r="53" spans="1:47">
      <c r="A53" s="1114"/>
      <c r="B53" s="71" t="str">
        <f>'Fr-03.2'!C24</f>
        <v>เม็ดพลาสติก HDPE</v>
      </c>
      <c r="C53" s="83" t="str">
        <f>'Screen scope 3'!D5</f>
        <v>Kg</v>
      </c>
      <c r="D53" s="84">
        <f>'Screen scope 3'!E5</f>
        <v>869250</v>
      </c>
      <c r="E53" s="1118"/>
      <c r="F53" s="1119"/>
      <c r="G53" s="1119"/>
      <c r="H53" s="1119"/>
      <c r="I53" s="1119"/>
      <c r="J53" s="1119"/>
      <c r="K53" s="1119"/>
      <c r="L53" s="1119"/>
      <c r="M53" s="1119"/>
      <c r="N53" s="1119"/>
      <c r="O53" s="1119"/>
      <c r="P53" s="1119"/>
      <c r="Q53" s="113">
        <f>'Screen scope 3'!H5</f>
        <v>6.7070999999999996</v>
      </c>
      <c r="R53" s="28"/>
      <c r="S53" s="28"/>
      <c r="T53" s="28"/>
      <c r="U53" s="796" t="s">
        <v>2728</v>
      </c>
      <c r="V53" s="28"/>
      <c r="W53" s="28"/>
      <c r="X53" s="28"/>
      <c r="Y53" s="28"/>
      <c r="Z53" s="28" t="str">
        <f>'Screen scope 3'!K5</f>
        <v xml:space="preserve">TGO-CFP-EF-(ก.ค. 65)-3 HDPE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7"/>
      <c r="AO53" s="23">
        <f t="shared" si="144"/>
        <v>5830.146675</v>
      </c>
      <c r="AP53" s="23">
        <f t="shared" si="145"/>
        <v>0.24239562294160349</v>
      </c>
      <c r="AQ53" s="23"/>
      <c r="AR53" s="23">
        <f t="shared" si="146"/>
        <v>0.19027294513426377</v>
      </c>
      <c r="AS53" s="25"/>
      <c r="AU53" s="85"/>
    </row>
    <row r="54" spans="1:47">
      <c r="A54" s="1114"/>
      <c r="B54" s="71"/>
      <c r="C54" s="83"/>
      <c r="D54" s="84"/>
      <c r="E54" s="1118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3"/>
      <c r="R54" s="28"/>
      <c r="S54" s="28"/>
      <c r="T54" s="28"/>
      <c r="U54" s="28"/>
      <c r="V54" s="28"/>
      <c r="W54" s="28"/>
      <c r="X54" s="28"/>
      <c r="Y54" s="28"/>
      <c r="Z54" s="28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107"/>
      <c r="AO54" s="23">
        <f t="shared" si="144"/>
        <v>0</v>
      </c>
      <c r="AP54" s="23">
        <f t="shared" si="145"/>
        <v>0</v>
      </c>
      <c r="AQ54" s="23"/>
      <c r="AR54" s="23">
        <f t="shared" si="146"/>
        <v>0</v>
      </c>
      <c r="AS54" s="25"/>
    </row>
    <row r="55" spans="1:47">
      <c r="A55" s="1114"/>
      <c r="B55" s="52"/>
      <c r="C55" s="83"/>
      <c r="D55" s="27"/>
      <c r="E55" s="1118"/>
      <c r="F55" s="1119"/>
      <c r="G55" s="1119"/>
      <c r="H55" s="1119"/>
      <c r="I55" s="1119"/>
      <c r="J55" s="1119"/>
      <c r="K55" s="1119"/>
      <c r="L55" s="1119"/>
      <c r="M55" s="1119"/>
      <c r="N55" s="1119"/>
      <c r="O55" s="1119"/>
      <c r="P55" s="1119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107"/>
      <c r="AO55" s="23">
        <f t="shared" si="144"/>
        <v>0</v>
      </c>
      <c r="AP55" s="23">
        <f t="shared" si="145"/>
        <v>0</v>
      </c>
      <c r="AQ55" s="23"/>
      <c r="AR55" s="23">
        <f t="shared" si="146"/>
        <v>0</v>
      </c>
      <c r="AS55" s="25"/>
    </row>
    <row r="56" spans="1:47">
      <c r="A56" s="1114"/>
      <c r="B56" s="86"/>
      <c r="C56" s="83"/>
      <c r="D56" s="77"/>
      <c r="E56" s="1120"/>
      <c r="F56" s="1121"/>
      <c r="G56" s="1121"/>
      <c r="H56" s="1121"/>
      <c r="I56" s="1121"/>
      <c r="J56" s="1121"/>
      <c r="K56" s="1121"/>
      <c r="L56" s="1121"/>
      <c r="M56" s="1121"/>
      <c r="N56" s="1121"/>
      <c r="O56" s="1121"/>
      <c r="P56" s="1121"/>
      <c r="Q56" s="37"/>
      <c r="R56" s="28"/>
      <c r="S56" s="28"/>
      <c r="T56" s="28"/>
      <c r="U56" s="28"/>
      <c r="V56" s="28"/>
      <c r="W56" s="28"/>
      <c r="X56" s="28"/>
      <c r="Y56" s="28"/>
      <c r="Z56" s="28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109"/>
      <c r="AO56" s="23"/>
      <c r="AP56" s="23">
        <f t="shared" si="145"/>
        <v>0</v>
      </c>
      <c r="AQ56" s="23"/>
      <c r="AR56" s="23">
        <f>AO56/$AO$59</f>
        <v>0</v>
      </c>
      <c r="AS56" s="25"/>
    </row>
    <row r="57" spans="1:47">
      <c r="A57" s="1115"/>
      <c r="B57" s="1110"/>
      <c r="C57" s="1111"/>
      <c r="D57" s="1111"/>
      <c r="E57" s="1111"/>
      <c r="F57" s="1111"/>
      <c r="G57" s="1111"/>
      <c r="H57" s="1111"/>
      <c r="I57" s="1111"/>
      <c r="J57" s="1111"/>
      <c r="K57" s="1111"/>
      <c r="L57" s="1111"/>
      <c r="M57" s="1111"/>
      <c r="N57" s="1111"/>
      <c r="O57" s="1111"/>
      <c r="P57" s="1111"/>
      <c r="Q57" s="1112"/>
      <c r="R57" s="111"/>
      <c r="S57" s="111"/>
      <c r="T57" s="111"/>
      <c r="U57" s="111"/>
      <c r="V57" s="111"/>
      <c r="W57" s="111"/>
      <c r="X57" s="111"/>
      <c r="Y57" s="111"/>
      <c r="Z57" s="111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>
        <f>SUM(AO50:AO56)</f>
        <v>24052.194524999999</v>
      </c>
      <c r="AP57" s="150">
        <f>SUM(AP50:AP56)</f>
        <v>1</v>
      </c>
      <c r="AQ57" s="150"/>
      <c r="AR57" s="150"/>
      <c r="AS57" s="70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>AA36+AA49</f>
        <v>65.750313548762094</v>
      </c>
      <c r="AB58" s="89">
        <f>AB36+AB49</f>
        <v>6.0896639262078807E-3</v>
      </c>
      <c r="AC58" s="89"/>
      <c r="AD58" s="89">
        <f>AD36+AD49</f>
        <v>9.3723541403462392E-3</v>
      </c>
      <c r="AE58" s="89">
        <f>AE36+AE49</f>
        <v>0</v>
      </c>
      <c r="AF58" s="89">
        <f>AF36+AF49</f>
        <v>0</v>
      </c>
      <c r="AG58" s="89">
        <f>AG36+AG49</f>
        <v>0.18104380662623637</v>
      </c>
      <c r="AH58" s="89"/>
      <c r="AI58" s="89">
        <f>AI36+AI49</f>
        <v>2.4836738471917537</v>
      </c>
      <c r="AJ58" s="89">
        <f t="shared" ref="AJ58:AN58" si="147">AJ36+AJ49</f>
        <v>0</v>
      </c>
      <c r="AK58" s="89">
        <f t="shared" si="147"/>
        <v>0</v>
      </c>
      <c r="AL58" s="89">
        <f t="shared" si="147"/>
        <v>1.8543030000000005</v>
      </c>
      <c r="AM58" s="89">
        <f>AM36+AM49</f>
        <v>0</v>
      </c>
      <c r="AN58" s="89">
        <f t="shared" si="147"/>
        <v>0</v>
      </c>
      <c r="AO58" s="89">
        <f>AO36+AO49</f>
        <v>6588.7705942713119</v>
      </c>
      <c r="AP58" s="89"/>
      <c r="AQ58" s="89">
        <f>SUM(AQ10:AQ35)+SUM(AQ45:AQ48)</f>
        <v>0.99999999999999989</v>
      </c>
      <c r="AR58" s="89">
        <f>SUM(AR10:AR35)+SUM(AR45:AR48)+SUM(AR50:AR56)</f>
        <v>1</v>
      </c>
      <c r="AS58" s="90"/>
      <c r="AT58" s="61"/>
    </row>
    <row r="59" spans="1:47">
      <c r="A59" s="87"/>
      <c r="B59" s="85"/>
      <c r="C59" s="88"/>
      <c r="D59" s="84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89">
        <f>AA36+AA49+AA57</f>
        <v>65.750313548762094</v>
      </c>
      <c r="AB59" s="89">
        <f>AB36+AB49+AB57</f>
        <v>6.0896639262078807E-3</v>
      </c>
      <c r="AC59" s="89"/>
      <c r="AD59" s="89">
        <f>AD36+AD49+AD57</f>
        <v>9.3723541403462392E-3</v>
      </c>
      <c r="AE59" s="89">
        <f>AE36+AE49+AE57</f>
        <v>0</v>
      </c>
      <c r="AF59" s="89">
        <f>AF36+AF49+AF57</f>
        <v>0</v>
      </c>
      <c r="AG59" s="89">
        <f>AG36+AG49+AG57</f>
        <v>0.18104380662623637</v>
      </c>
      <c r="AH59" s="89"/>
      <c r="AI59" s="89">
        <f t="shared" ref="AI59:AN59" si="148">AI36+AI49+AI57</f>
        <v>2.4836738471917537</v>
      </c>
      <c r="AJ59" s="89">
        <f t="shared" si="148"/>
        <v>0</v>
      </c>
      <c r="AK59" s="89">
        <f t="shared" si="148"/>
        <v>0</v>
      </c>
      <c r="AL59" s="89">
        <f t="shared" si="148"/>
        <v>1.8543030000000005</v>
      </c>
      <c r="AM59" s="89">
        <f t="shared" si="148"/>
        <v>0</v>
      </c>
      <c r="AN59" s="89">
        <f t="shared" si="148"/>
        <v>0</v>
      </c>
      <c r="AO59" s="89">
        <f>AO36+AO49+AO57</f>
        <v>30640.96511927131</v>
      </c>
      <c r="AP59" s="89"/>
      <c r="AQ59" s="89"/>
      <c r="AR59" s="89"/>
      <c r="AS59" s="90"/>
      <c r="AT59" s="61"/>
    </row>
    <row r="60" spans="1:47">
      <c r="A60" s="91" t="s">
        <v>35</v>
      </c>
      <c r="B60" s="1048" t="str">
        <f>'Fr-03.1'!B35</f>
        <v>บริษัท อีโค เซ็นทริก คอร์ปอเรชั่น จำกัด</v>
      </c>
      <c r="C60" s="1049"/>
      <c r="D60" s="1049"/>
      <c r="E60" s="1049"/>
      <c r="F60" s="1049"/>
      <c r="G60" s="1049"/>
      <c r="H60" s="1049"/>
      <c r="I60" s="1049"/>
      <c r="J60" s="1049"/>
      <c r="K60" s="1049"/>
      <c r="L60" s="1049"/>
      <c r="M60" s="1049"/>
      <c r="N60" s="1049"/>
      <c r="O60" s="1049"/>
      <c r="P60" s="1049"/>
      <c r="Q60" s="1049"/>
      <c r="R60" s="110"/>
      <c r="S60" s="110"/>
      <c r="T60" s="110"/>
      <c r="U60" s="110"/>
      <c r="V60" s="110"/>
      <c r="W60" s="110"/>
      <c r="X60" s="110"/>
      <c r="Y60" s="110"/>
      <c r="Z60" s="110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819" cm="1">
        <f t="array" ref="AS60:AU60">'Fr-03.1'!K35:M35</f>
        <v>243829</v>
      </c>
      <c r="AT60">
        <v>0</v>
      </c>
      <c r="AU60">
        <v>0</v>
      </c>
    </row>
    <row r="61" spans="1:47">
      <c r="A61" s="85"/>
      <c r="B61" s="85"/>
      <c r="C61" s="93"/>
      <c r="D61" s="94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95"/>
    </row>
    <row r="62" spans="1:47">
      <c r="B62" s="85"/>
    </row>
    <row r="63" spans="1:47" ht="19.2">
      <c r="B63" s="96"/>
    </row>
    <row r="64" spans="1:47" ht="19.2">
      <c r="B64" s="96"/>
    </row>
    <row r="65" spans="2:2" ht="19.2">
      <c r="B65" s="96"/>
    </row>
  </sheetData>
  <mergeCells count="57">
    <mergeCell ref="AU6:AV6"/>
    <mergeCell ref="AP6:AP9"/>
    <mergeCell ref="AO3:AQ3"/>
    <mergeCell ref="AO4:AQ4"/>
    <mergeCell ref="AR3:AS3"/>
    <mergeCell ref="AR4:AS4"/>
    <mergeCell ref="AS6:AS9"/>
    <mergeCell ref="AQ6:AQ9"/>
    <mergeCell ref="AR6:AR9"/>
    <mergeCell ref="C3:F3"/>
    <mergeCell ref="B1:AN2"/>
    <mergeCell ref="AO1:AS2"/>
    <mergeCell ref="C4:F4"/>
    <mergeCell ref="I3:AA3"/>
    <mergeCell ref="I4:AA4"/>
    <mergeCell ref="AB3:AD3"/>
    <mergeCell ref="AE3:AN3"/>
    <mergeCell ref="A1:A4"/>
    <mergeCell ref="T8:T9"/>
    <mergeCell ref="A5:AS5"/>
    <mergeCell ref="A6:A9"/>
    <mergeCell ref="B6:B9"/>
    <mergeCell ref="C6:D8"/>
    <mergeCell ref="E6:N7"/>
    <mergeCell ref="O6:P7"/>
    <mergeCell ref="Q6:Q9"/>
    <mergeCell ref="E8:L8"/>
    <mergeCell ref="M8:N8"/>
    <mergeCell ref="O8:O9"/>
    <mergeCell ref="P8:P9"/>
    <mergeCell ref="AA6:AF8"/>
    <mergeCell ref="AG6:AN8"/>
    <mergeCell ref="AO6:AO7"/>
    <mergeCell ref="A10:A36"/>
    <mergeCell ref="E36:Q36"/>
    <mergeCell ref="Z6:Z9"/>
    <mergeCell ref="Y6:Y9"/>
    <mergeCell ref="W8:W9"/>
    <mergeCell ref="T7:W7"/>
    <mergeCell ref="U8:U9"/>
    <mergeCell ref="V8:V9"/>
    <mergeCell ref="S8:S9"/>
    <mergeCell ref="R6:X6"/>
    <mergeCell ref="X7:X9"/>
    <mergeCell ref="R7:S7"/>
    <mergeCell ref="R8:R9"/>
    <mergeCell ref="A37:A44"/>
    <mergeCell ref="B44:Q44"/>
    <mergeCell ref="A45:A49"/>
    <mergeCell ref="E45:P48"/>
    <mergeCell ref="B60:Q60"/>
    <mergeCell ref="AA45:AN48"/>
    <mergeCell ref="B49:Q49"/>
    <mergeCell ref="A50:A57"/>
    <mergeCell ref="E50:P56"/>
    <mergeCell ref="AA50:AN56"/>
    <mergeCell ref="B57:Q57"/>
  </mergeCells>
  <phoneticPr fontId="8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64"/>
  <sheetViews>
    <sheetView workbookViewId="0">
      <selection activeCell="E35" sqref="E35:Q35"/>
    </sheetView>
  </sheetViews>
  <sheetFormatPr defaultRowHeight="13.8"/>
  <cols>
    <col min="2" max="2" width="25.09765625" customWidth="1"/>
    <col min="4" max="4" width="13.3984375" bestFit="1" customWidth="1"/>
    <col min="15" max="15" width="11.69921875" customWidth="1"/>
    <col min="17" max="17" width="13.09765625" customWidth="1"/>
    <col min="18" max="25" width="3.09765625" customWidth="1"/>
    <col min="26" max="26" width="16.59765625" customWidth="1"/>
    <col min="41" max="44" width="12.59765625" customWidth="1"/>
    <col min="45" max="45" width="44.59765625" customWidth="1"/>
    <col min="46" max="46" width="2.59765625" customWidth="1"/>
    <col min="47" max="47" width="10.296875" bestFit="1" customWidth="1"/>
    <col min="48" max="48" width="9.3984375" bestFit="1" customWidth="1"/>
  </cols>
  <sheetData>
    <row r="1" spans="1:60" s="228" customFormat="1" ht="15" customHeight="1">
      <c r="A1" s="1152"/>
      <c r="B1" s="1238" t="s">
        <v>201</v>
      </c>
      <c r="C1" s="1239"/>
      <c r="D1" s="1239"/>
      <c r="E1" s="1239"/>
      <c r="F1" s="1239"/>
      <c r="G1" s="1239"/>
      <c r="H1" s="1239"/>
      <c r="I1" s="1239"/>
      <c r="J1" s="1239"/>
      <c r="K1" s="1239"/>
      <c r="L1" s="1239"/>
      <c r="M1" s="1239"/>
      <c r="N1" s="1239"/>
      <c r="O1" s="1239"/>
      <c r="P1" s="1239"/>
      <c r="Q1" s="1239"/>
      <c r="R1" s="1239"/>
      <c r="S1" s="1239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9"/>
      <c r="AL1" s="1239"/>
      <c r="AM1" s="1239"/>
      <c r="AN1" s="1240"/>
      <c r="AO1" s="1204" t="s">
        <v>265</v>
      </c>
      <c r="AP1" s="1205"/>
      <c r="AQ1" s="1205"/>
      <c r="AR1" s="1205"/>
      <c r="AS1" s="1206"/>
      <c r="BF1" s="236"/>
      <c r="BG1" s="236"/>
      <c r="BH1" s="236"/>
    </row>
    <row r="2" spans="1:60" s="228" customFormat="1" ht="15" customHeight="1">
      <c r="A2" s="1153"/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2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2"/>
      <c r="AL2" s="1242"/>
      <c r="AM2" s="1242"/>
      <c r="AN2" s="1243"/>
      <c r="AO2" s="1207"/>
      <c r="AP2" s="1208"/>
      <c r="AQ2" s="1208"/>
      <c r="AR2" s="1208"/>
      <c r="AS2" s="1209"/>
      <c r="BF2" s="236"/>
      <c r="BG2" s="236"/>
      <c r="BH2" s="236"/>
    </row>
    <row r="3" spans="1:60" s="228" customFormat="1" ht="21.75" customHeight="1">
      <c r="A3" s="1153"/>
      <c r="B3" s="237" t="s">
        <v>0</v>
      </c>
      <c r="C3" s="1195" t="s">
        <v>97</v>
      </c>
      <c r="D3" s="1196"/>
      <c r="E3" s="1196"/>
      <c r="F3" s="1197"/>
      <c r="G3" s="242"/>
      <c r="H3" s="238" t="s">
        <v>98</v>
      </c>
      <c r="I3" s="1210" t="str">
        <f>'Fr-01'!$B$6</f>
        <v>บริษัท มัลติแบกซ์ จำกัด (มหาชน)</v>
      </c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1211"/>
      <c r="Y3" s="1211"/>
      <c r="Z3" s="1211"/>
      <c r="AA3" s="1212"/>
      <c r="AB3" s="1216" t="s">
        <v>203</v>
      </c>
      <c r="AC3" s="1217"/>
      <c r="AD3" s="1218"/>
      <c r="AE3" s="1210" t="str">
        <f>'Fr-01'!H38</f>
        <v>1 มกราคม - 31 ธันวาคม 2566</v>
      </c>
      <c r="AF3" s="1211"/>
      <c r="AG3" s="1211"/>
      <c r="AH3" s="1211"/>
      <c r="AI3" s="1211"/>
      <c r="AJ3" s="1211"/>
      <c r="AK3" s="1211"/>
      <c r="AL3" s="1211"/>
      <c r="AM3" s="1211"/>
      <c r="AN3" s="1212"/>
      <c r="AO3" s="1224" t="s">
        <v>99</v>
      </c>
      <c r="AP3" s="1225"/>
      <c r="AQ3" s="1226"/>
      <c r="AR3" s="1227">
        <v>5</v>
      </c>
      <c r="AS3" s="1228"/>
      <c r="BF3" s="236"/>
      <c r="BG3" s="236"/>
      <c r="BH3" s="236"/>
    </row>
    <row r="4" spans="1:60" s="228" customFormat="1" ht="21" customHeight="1">
      <c r="A4" s="1154"/>
      <c r="B4" s="237" t="s">
        <v>1</v>
      </c>
      <c r="C4" s="1195" t="s">
        <v>260</v>
      </c>
      <c r="D4" s="1196"/>
      <c r="E4" s="1196"/>
      <c r="F4" s="1197"/>
      <c r="G4" s="242"/>
      <c r="H4" s="238" t="s">
        <v>101</v>
      </c>
      <c r="I4" s="1213" t="str">
        <f>'Fr-01'!$G$4</f>
        <v>บริษัท อีโค เซ็นทริก คอร์ปอเรชั่น จำกัด</v>
      </c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1214"/>
      <c r="AA4" s="1215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4" t="s">
        <v>116</v>
      </c>
      <c r="AP4" s="1225"/>
      <c r="AQ4" s="1226"/>
      <c r="AR4" s="1229">
        <f>'Fr-04.1'!AR4</f>
        <v>45494</v>
      </c>
      <c r="AS4" s="1230"/>
      <c r="BF4" s="236"/>
      <c r="BG4" s="236"/>
      <c r="BH4" s="236"/>
    </row>
    <row r="5" spans="1:60">
      <c r="A5" s="1155"/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1156"/>
      <c r="Q5" s="1156"/>
      <c r="R5" s="1156"/>
      <c r="S5" s="1156"/>
      <c r="T5" s="1156"/>
      <c r="U5" s="1156"/>
      <c r="V5" s="1156"/>
      <c r="W5" s="1156"/>
      <c r="X5" s="1156"/>
      <c r="Y5" s="1156"/>
      <c r="Z5" s="1156"/>
      <c r="AA5" s="1156"/>
      <c r="AB5" s="1156"/>
      <c r="AC5" s="1156"/>
      <c r="AD5" s="1156"/>
      <c r="AE5" s="1156"/>
      <c r="AF5" s="1156"/>
      <c r="AG5" s="1156"/>
      <c r="AH5" s="1156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7"/>
    </row>
    <row r="6" spans="1:60" ht="15" customHeight="1">
      <c r="A6" s="1158" t="s">
        <v>3</v>
      </c>
      <c r="B6" s="1161" t="s">
        <v>4</v>
      </c>
      <c r="C6" s="1164" t="s">
        <v>5</v>
      </c>
      <c r="D6" s="1165"/>
      <c r="E6" s="1170" t="s">
        <v>6</v>
      </c>
      <c r="F6" s="1171"/>
      <c r="G6" s="1171"/>
      <c r="H6" s="1171"/>
      <c r="I6" s="1171"/>
      <c r="J6" s="1171"/>
      <c r="K6" s="1171"/>
      <c r="L6" s="1171"/>
      <c r="M6" s="1171"/>
      <c r="N6" s="1172"/>
      <c r="O6" s="1170" t="s">
        <v>7</v>
      </c>
      <c r="P6" s="1172"/>
      <c r="Q6" s="1176" t="s">
        <v>8</v>
      </c>
      <c r="R6" s="1146" t="s">
        <v>13</v>
      </c>
      <c r="S6" s="1147"/>
      <c r="T6" s="1147"/>
      <c r="U6" s="1147"/>
      <c r="V6" s="1147"/>
      <c r="W6" s="1147"/>
      <c r="X6" s="1150"/>
      <c r="Y6" s="1141" t="s">
        <v>117</v>
      </c>
      <c r="Z6" s="1139" t="s">
        <v>118</v>
      </c>
      <c r="AA6" s="1184" t="s">
        <v>127</v>
      </c>
      <c r="AB6" s="1185"/>
      <c r="AC6" s="1185"/>
      <c r="AD6" s="1185"/>
      <c r="AE6" s="1185"/>
      <c r="AF6" s="1186"/>
      <c r="AG6" s="1185" t="s">
        <v>9</v>
      </c>
      <c r="AH6" s="1185"/>
      <c r="AI6" s="1185"/>
      <c r="AJ6" s="1185"/>
      <c r="AK6" s="1185"/>
      <c r="AL6" s="1185"/>
      <c r="AM6" s="1185"/>
      <c r="AN6" s="1186"/>
      <c r="AO6" s="1193" t="s">
        <v>10</v>
      </c>
      <c r="AP6" s="1221" t="s">
        <v>130</v>
      </c>
      <c r="AQ6" s="1221" t="s">
        <v>131</v>
      </c>
      <c r="AR6" s="1221" t="s">
        <v>132</v>
      </c>
      <c r="AS6" s="1235" t="s">
        <v>202</v>
      </c>
      <c r="AU6" s="1219" t="s">
        <v>12</v>
      </c>
      <c r="AV6" s="1220"/>
    </row>
    <row r="7" spans="1:60" ht="15" customHeight="1">
      <c r="A7" s="1159"/>
      <c r="B7" s="1162"/>
      <c r="C7" s="1166"/>
      <c r="D7" s="1167"/>
      <c r="E7" s="1173"/>
      <c r="F7" s="1174"/>
      <c r="G7" s="1174"/>
      <c r="H7" s="1174"/>
      <c r="I7" s="1174"/>
      <c r="J7" s="1174"/>
      <c r="K7" s="1174"/>
      <c r="L7" s="1174"/>
      <c r="M7" s="1174"/>
      <c r="N7" s="1175"/>
      <c r="O7" s="1173"/>
      <c r="P7" s="1175"/>
      <c r="Q7" s="1177"/>
      <c r="R7" s="1151" t="s">
        <v>119</v>
      </c>
      <c r="S7" s="1151"/>
      <c r="T7" s="1146" t="s">
        <v>120</v>
      </c>
      <c r="U7" s="1147"/>
      <c r="V7" s="1147"/>
      <c r="W7" s="1147"/>
      <c r="X7" s="1141" t="s">
        <v>30</v>
      </c>
      <c r="Y7" s="1142"/>
      <c r="Z7" s="1140"/>
      <c r="AA7" s="1187"/>
      <c r="AB7" s="1188"/>
      <c r="AC7" s="1188"/>
      <c r="AD7" s="1188"/>
      <c r="AE7" s="1188"/>
      <c r="AF7" s="1189"/>
      <c r="AG7" s="1188"/>
      <c r="AH7" s="1188"/>
      <c r="AI7" s="1188"/>
      <c r="AJ7" s="1188"/>
      <c r="AK7" s="1188"/>
      <c r="AL7" s="1188"/>
      <c r="AM7" s="1188"/>
      <c r="AN7" s="1189"/>
      <c r="AO7" s="1194"/>
      <c r="AP7" s="1222"/>
      <c r="AQ7" s="1222"/>
      <c r="AR7" s="1222"/>
      <c r="AS7" s="1236"/>
      <c r="AT7" s="1"/>
      <c r="AU7" s="2" t="s">
        <v>13</v>
      </c>
      <c r="AV7" s="131" t="s">
        <v>151</v>
      </c>
    </row>
    <row r="8" spans="1:60" ht="31.5" customHeight="1">
      <c r="A8" s="1159"/>
      <c r="B8" s="1162"/>
      <c r="C8" s="1168"/>
      <c r="D8" s="1169"/>
      <c r="E8" s="1179" t="s">
        <v>128</v>
      </c>
      <c r="F8" s="1180"/>
      <c r="G8" s="1180"/>
      <c r="H8" s="1180"/>
      <c r="I8" s="1180"/>
      <c r="J8" s="1180"/>
      <c r="K8" s="1180"/>
      <c r="L8" s="1181"/>
      <c r="M8" s="1179" t="s">
        <v>15</v>
      </c>
      <c r="N8" s="1181"/>
      <c r="O8" s="1182" t="s">
        <v>128</v>
      </c>
      <c r="P8" s="1182" t="s">
        <v>15</v>
      </c>
      <c r="Q8" s="1177"/>
      <c r="R8" s="1141" t="s">
        <v>121</v>
      </c>
      <c r="S8" s="1148" t="s">
        <v>122</v>
      </c>
      <c r="T8" s="1141" t="s">
        <v>123</v>
      </c>
      <c r="U8" s="1141" t="s">
        <v>124</v>
      </c>
      <c r="V8" s="1141" t="s">
        <v>125</v>
      </c>
      <c r="W8" s="1144" t="s">
        <v>126</v>
      </c>
      <c r="X8" s="1142"/>
      <c r="Y8" s="1142"/>
      <c r="Z8" s="1140"/>
      <c r="AA8" s="1190"/>
      <c r="AB8" s="1191"/>
      <c r="AC8" s="1191"/>
      <c r="AD8" s="1191"/>
      <c r="AE8" s="1191"/>
      <c r="AF8" s="1192"/>
      <c r="AG8" s="1191"/>
      <c r="AH8" s="1191"/>
      <c r="AI8" s="1191"/>
      <c r="AJ8" s="1191"/>
      <c r="AK8" s="1191"/>
      <c r="AL8" s="1191"/>
      <c r="AM8" s="1191"/>
      <c r="AN8" s="1192"/>
      <c r="AO8" s="3" t="s">
        <v>200</v>
      </c>
      <c r="AP8" s="1222"/>
      <c r="AQ8" s="1222"/>
      <c r="AR8" s="1222"/>
      <c r="AS8" s="1236"/>
      <c r="AT8" s="1"/>
      <c r="AU8" s="2" t="s">
        <v>16</v>
      </c>
      <c r="AV8" s="2">
        <v>1</v>
      </c>
    </row>
    <row r="9" spans="1:60">
      <c r="A9" s="1160"/>
      <c r="B9" s="116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3"/>
      <c r="P9" s="1183"/>
      <c r="Q9" s="1178"/>
      <c r="R9" s="1143"/>
      <c r="S9" s="1149"/>
      <c r="T9" s="1143"/>
      <c r="U9" s="1143"/>
      <c r="V9" s="1143"/>
      <c r="W9" s="1145"/>
      <c r="X9" s="1143"/>
      <c r="Y9" s="1143"/>
      <c r="Z9" s="1140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3"/>
      <c r="AQ9" s="1223"/>
      <c r="AR9" s="1223"/>
      <c r="AS9" s="1237"/>
      <c r="AU9" s="2" t="s">
        <v>257</v>
      </c>
      <c r="AV9" s="168">
        <v>30</v>
      </c>
    </row>
    <row r="10" spans="1:60">
      <c r="A10" s="1113" t="s">
        <v>31</v>
      </c>
      <c r="B10" s="14" t="str">
        <f>'Fr-04.1'!B10</f>
        <v>Stationary combustion</v>
      </c>
      <c r="C10" s="15"/>
      <c r="D10" s="16"/>
      <c r="E10" s="17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>(E10*$AV$8)+(F10*$AV$9)+(G10*$AV$10)+(H10*$AV$11)+(I10*$AV$12)+(J10*$AV$13)+(K10*M10)+(L10*N10)</f>
        <v>0</v>
      </c>
      <c r="R10" s="28"/>
      <c r="S10" s="28"/>
      <c r="T10" s="28"/>
      <c r="U10" s="28"/>
      <c r="V10" s="28"/>
      <c r="W10" s="28"/>
      <c r="X10" s="28"/>
      <c r="Y10" s="28"/>
      <c r="Z10" s="28"/>
      <c r="AA10" s="23">
        <f t="shared" ref="AA10:AA34" si="0">D10*E10/1000</f>
        <v>0</v>
      </c>
      <c r="AB10" s="23">
        <f t="shared" ref="AB10:AB34" si="1">D10*F10/1000</f>
        <v>0</v>
      </c>
      <c r="AC10" s="23">
        <f>D10*G10/1000</f>
        <v>0</v>
      </c>
      <c r="AD10" s="23">
        <f t="shared" ref="AD10:AD34" si="2">D10*H10/1000</f>
        <v>0</v>
      </c>
      <c r="AE10" s="23">
        <f t="shared" ref="AE10:AE34" si="3">D10*I10/1000</f>
        <v>0</v>
      </c>
      <c r="AF10" s="23">
        <f t="shared" ref="AF10:AF34" si="4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4" si="5">D10*H10*$AV$11/1000</f>
        <v>0</v>
      </c>
      <c r="AJ10" s="23">
        <f t="shared" ref="AJ10:AJ34" si="6">D10*I10*$AV$12/1000</f>
        <v>0</v>
      </c>
      <c r="AK10" s="23">
        <f t="shared" ref="AK10:AK34" si="7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1" si="8">AO10/$AO$35</f>
        <v>0</v>
      </c>
      <c r="AQ10" s="23">
        <f t="shared" ref="AQ10:AQ23" si="9">AO10/$AO$57</f>
        <v>0</v>
      </c>
      <c r="AR10" s="23">
        <f t="shared" ref="AR10:AR23" si="10">AO10/$AO$58</f>
        <v>0</v>
      </c>
      <c r="AS10" s="25"/>
      <c r="AU10" s="2" t="s">
        <v>26</v>
      </c>
      <c r="AV10" s="168">
        <v>28</v>
      </c>
    </row>
    <row r="11" spans="1:60">
      <c r="A11" s="1114"/>
      <c r="B11" s="26" t="str">
        <f>'Fr-04.1'!B11</f>
        <v xml:space="preserve">น้ำมัน Diesel B7 (Fire Pump) </v>
      </c>
      <c r="C11" s="15" t="str">
        <f>'Fr-04.1'!C11</f>
        <v xml:space="preserve"> L</v>
      </c>
      <c r="D11" s="27">
        <f>'Fr-04.1'!D11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6" t="s">
        <v>2728</v>
      </c>
      <c r="V11" s="28"/>
      <c r="W11" s="28"/>
      <c r="X11" s="28"/>
      <c r="Y11" s="28"/>
      <c r="Z11" s="28" t="str">
        <f>'Fr-04.1'!Z11</f>
        <v>TGO CFO EF (เมษายน 2565):Gas/Diesel oil</v>
      </c>
      <c r="AA11" s="23">
        <f t="shared" si="0"/>
        <v>1.3552981884000002</v>
      </c>
      <c r="AB11" s="23">
        <f t="shared" si="1"/>
        <v>5.4870371999999999E-5</v>
      </c>
      <c r="AC11" s="23">
        <f t="shared" ref="AC11:AC34" si="11">D11*G11/1000</f>
        <v>0</v>
      </c>
      <c r="AD11" s="23">
        <f t="shared" si="2"/>
        <v>1.0974074400000001E-5</v>
      </c>
      <c r="AE11" s="23">
        <f t="shared" si="3"/>
        <v>0</v>
      </c>
      <c r="AF11" s="23">
        <f t="shared" si="4"/>
        <v>0</v>
      </c>
      <c r="AG11" s="23">
        <f t="shared" ref="AG11:AG34" si="12">D11*F11*$AV$9/1000</f>
        <v>1.64611116E-3</v>
      </c>
      <c r="AH11" s="23">
        <f t="shared" ref="AH11:AH34" si="13">D11*G11*$AV$10/1000</f>
        <v>0</v>
      </c>
      <c r="AI11" s="23">
        <f t="shared" si="5"/>
        <v>2.9081297159999999E-3</v>
      </c>
      <c r="AJ11" s="23">
        <f t="shared" si="6"/>
        <v>0</v>
      </c>
      <c r="AK11" s="23">
        <f t="shared" si="7"/>
        <v>0</v>
      </c>
      <c r="AL11" s="23">
        <f t="shared" ref="AL11:AL34" si="14">D11*K11*M11/1000</f>
        <v>0</v>
      </c>
      <c r="AM11" s="23">
        <f t="shared" ref="AM11:AM34" si="15">D11*L11*N11/1000</f>
        <v>0</v>
      </c>
      <c r="AN11" s="24"/>
      <c r="AO11" s="23">
        <f t="shared" ref="AO11:AO34" si="16">D11*Q11/1000</f>
        <v>1.3598524292760004</v>
      </c>
      <c r="AP11" s="23">
        <f t="shared" si="8"/>
        <v>8.8582354889478153E-3</v>
      </c>
      <c r="AQ11" s="23">
        <f t="shared" si="9"/>
        <v>2.0638940297273983E-4</v>
      </c>
      <c r="AR11" s="23">
        <f t="shared" si="10"/>
        <v>4.4380208782024809E-5</v>
      </c>
      <c r="AS11" s="30"/>
      <c r="AT11" s="31"/>
      <c r="AU11" s="2" t="s">
        <v>27</v>
      </c>
      <c r="AV11" s="2">
        <v>265</v>
      </c>
    </row>
    <row r="12" spans="1:60">
      <c r="A12" s="1114"/>
      <c r="B12" s="26" t="str">
        <f>'Fr-04.1'!B12</f>
        <v>น้ำมัน Gasohol 91/95 (เครื่องตัดหญ้า)</v>
      </c>
      <c r="C12" s="15" t="str">
        <f>'Fr-04.1'!C12</f>
        <v>L</v>
      </c>
      <c r="D12" s="27">
        <f>'Fr-04.1'!D12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 t="shared" ref="Q12:Q34" si="17">(E12*$AV$8)+(F12*$AV$9)+(G12*$AV$10)+(H12*$AV$11)+(I12*$AV$12)+(J12*$AV$13)+(K12*M12)+(L12*N12)</f>
        <v>2.1894025199999998</v>
      </c>
      <c r="R12" s="28"/>
      <c r="S12" s="28"/>
      <c r="T12" s="28"/>
      <c r="U12" s="796" t="s">
        <v>2728</v>
      </c>
      <c r="V12" s="28"/>
      <c r="W12" s="28"/>
      <c r="X12" s="28"/>
      <c r="Y12" s="28"/>
      <c r="Z12" s="28" t="str">
        <f>'Fr-04.1'!Z12</f>
        <v>TGO CFO EF (เมษายน 2565):  Motor Gasoline</v>
      </c>
      <c r="AA12" s="23">
        <f t="shared" si="0"/>
        <v>0.10120580814960001</v>
      </c>
      <c r="AB12" s="23">
        <f t="shared" si="1"/>
        <v>4.3812038160000008E-6</v>
      </c>
      <c r="AC12" s="23">
        <f t="shared" si="11"/>
        <v>0</v>
      </c>
      <c r="AD12" s="23">
        <f t="shared" si="2"/>
        <v>8.7624076319999986E-7</v>
      </c>
      <c r="AE12" s="23">
        <f t="shared" si="3"/>
        <v>0</v>
      </c>
      <c r="AF12" s="23">
        <f t="shared" si="4"/>
        <v>0</v>
      </c>
      <c r="AG12" s="23">
        <f t="shared" si="12"/>
        <v>1.3143611448000002E-4</v>
      </c>
      <c r="AH12" s="23">
        <f t="shared" si="13"/>
        <v>0</v>
      </c>
      <c r="AI12" s="23">
        <f t="shared" si="5"/>
        <v>2.3220380224799996E-4</v>
      </c>
      <c r="AJ12" s="23">
        <f t="shared" si="6"/>
        <v>0</v>
      </c>
      <c r="AK12" s="23">
        <f t="shared" si="7"/>
        <v>0</v>
      </c>
      <c r="AL12" s="23">
        <f t="shared" si="14"/>
        <v>0</v>
      </c>
      <c r="AM12" s="23">
        <f t="shared" si="15"/>
        <v>0</v>
      </c>
      <c r="AN12" s="24"/>
      <c r="AO12" s="23">
        <f t="shared" si="16"/>
        <v>0.10156944806632799</v>
      </c>
      <c r="AP12" s="23">
        <f t="shared" si="8"/>
        <v>6.6163509369396225E-4</v>
      </c>
      <c r="AQ12" s="23">
        <f t="shared" si="9"/>
        <v>1.5415538697710738E-5</v>
      </c>
      <c r="AR12" s="23">
        <f t="shared" si="10"/>
        <v>3.3148253545854195E-6</v>
      </c>
      <c r="AS12" s="30"/>
      <c r="AT12" s="31"/>
      <c r="AU12" s="2" t="s">
        <v>28</v>
      </c>
      <c r="AV12" s="2">
        <v>23500</v>
      </c>
    </row>
    <row r="13" spans="1:60">
      <c r="A13" s="1114"/>
      <c r="B13" s="26" t="str">
        <f>'Fr-04.1'!B13</f>
        <v>Acetylene Gas (ซ่อมบำรุง)</v>
      </c>
      <c r="C13" s="15" t="str">
        <f>'Fr-04.1'!C13</f>
        <v>kg</v>
      </c>
      <c r="D13" s="27">
        <f>'Fr-04.1'!D13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17"/>
        <v>3.3846153846153846</v>
      </c>
      <c r="R13" s="28"/>
      <c r="S13" s="28"/>
      <c r="T13" s="28"/>
      <c r="U13" s="28"/>
      <c r="V13" s="28"/>
      <c r="W13" s="28"/>
      <c r="X13" s="796" t="s">
        <v>2728</v>
      </c>
      <c r="Y13" s="28"/>
      <c r="Z13" s="28" t="str">
        <f>'Fr-04.1'!Z13</f>
        <v>EF (1) สมการเคมี</v>
      </c>
      <c r="AA13" s="23">
        <f t="shared" si="0"/>
        <v>0.16923076923076924</v>
      </c>
      <c r="AB13" s="23">
        <f t="shared" si="1"/>
        <v>0</v>
      </c>
      <c r="AC13" s="23">
        <f t="shared" si="11"/>
        <v>0</v>
      </c>
      <c r="AD13" s="23">
        <f t="shared" si="2"/>
        <v>0</v>
      </c>
      <c r="AE13" s="23">
        <f t="shared" si="3"/>
        <v>0</v>
      </c>
      <c r="AF13" s="23">
        <f>D13*J13/1000</f>
        <v>0</v>
      </c>
      <c r="AG13" s="23">
        <f t="shared" si="12"/>
        <v>0</v>
      </c>
      <c r="AH13" s="23">
        <f t="shared" si="13"/>
        <v>0</v>
      </c>
      <c r="AI13" s="23">
        <f t="shared" si="5"/>
        <v>0</v>
      </c>
      <c r="AJ13" s="23">
        <f t="shared" si="6"/>
        <v>0</v>
      </c>
      <c r="AK13" s="23">
        <f t="shared" si="7"/>
        <v>0</v>
      </c>
      <c r="AL13" s="23">
        <f t="shared" si="14"/>
        <v>0</v>
      </c>
      <c r="AM13" s="23">
        <f t="shared" si="15"/>
        <v>0</v>
      </c>
      <c r="AN13" s="24"/>
      <c r="AO13" s="23">
        <f t="shared" si="16"/>
        <v>0.16923076923076924</v>
      </c>
      <c r="AP13" s="23">
        <f t="shared" si="8"/>
        <v>1.102388739798823E-3</v>
      </c>
      <c r="AQ13" s="23">
        <f t="shared" si="9"/>
        <v>2.5684726279271133E-5</v>
      </c>
      <c r="AR13" s="23">
        <f t="shared" si="10"/>
        <v>5.523023461305184E-6</v>
      </c>
      <c r="AS13" s="32"/>
      <c r="AT13" s="31"/>
      <c r="AU13" s="2" t="s">
        <v>29</v>
      </c>
      <c r="AV13" s="2">
        <v>16100</v>
      </c>
    </row>
    <row r="14" spans="1:60">
      <c r="A14" s="1114"/>
      <c r="B14" s="26" t="str">
        <f>'Fr-04.1'!B14</f>
        <v>Biodiesel (Stationary combustion)</v>
      </c>
      <c r="C14" s="15" t="str">
        <f>'Fr-04.1'!C14</f>
        <v>kg</v>
      </c>
      <c r="D14" s="27">
        <f>'Fr-04.1'!D14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17"/>
        <v>6.5609999999999991E-3</v>
      </c>
      <c r="R14" s="28"/>
      <c r="S14" s="28"/>
      <c r="T14" s="28"/>
      <c r="U14" s="28"/>
      <c r="V14" s="28"/>
      <c r="W14" s="796" t="s">
        <v>2728</v>
      </c>
      <c r="X14" s="28"/>
      <c r="Y14" s="28"/>
      <c r="Z14" s="28" t="str">
        <f>'Fr-04.1'!Z14</f>
        <v>IPCC, 2006</v>
      </c>
      <c r="AA14" s="23">
        <f t="shared" si="0"/>
        <v>0</v>
      </c>
      <c r="AB14" s="23">
        <f t="shared" si="1"/>
        <v>0</v>
      </c>
      <c r="AC14" s="23">
        <f t="shared" si="11"/>
        <v>2.6637659999999963E-6</v>
      </c>
      <c r="AD14" s="23">
        <f t="shared" si="2"/>
        <v>5.3275319999999922E-7</v>
      </c>
      <c r="AE14" s="23">
        <f t="shared" si="3"/>
        <v>0</v>
      </c>
      <c r="AF14" s="23">
        <f t="shared" si="4"/>
        <v>0</v>
      </c>
      <c r="AG14" s="23">
        <f t="shared" si="12"/>
        <v>0</v>
      </c>
      <c r="AH14" s="23">
        <f t="shared" si="13"/>
        <v>7.4585447999999882E-5</v>
      </c>
      <c r="AI14" s="23">
        <f t="shared" si="5"/>
        <v>1.4117959799999979E-4</v>
      </c>
      <c r="AJ14" s="23">
        <f t="shared" si="6"/>
        <v>0</v>
      </c>
      <c r="AK14" s="23">
        <f t="shared" si="7"/>
        <v>0</v>
      </c>
      <c r="AL14" s="23">
        <f t="shared" si="14"/>
        <v>0</v>
      </c>
      <c r="AM14" s="23">
        <f t="shared" si="15"/>
        <v>0</v>
      </c>
      <c r="AN14" s="24"/>
      <c r="AO14" s="23">
        <f t="shared" si="16"/>
        <v>2.1576504599999971E-4</v>
      </c>
      <c r="AP14" s="23">
        <f t="shared" si="8"/>
        <v>1.4055183831743054E-6</v>
      </c>
      <c r="AQ14" s="23">
        <f t="shared" si="9"/>
        <v>3.2747390869489267E-8</v>
      </c>
      <c r="AR14" s="23">
        <f t="shared" si="10"/>
        <v>7.0417183388357623E-9</v>
      </c>
      <c r="AS14" s="30"/>
      <c r="AT14" s="31"/>
    </row>
    <row r="15" spans="1:60">
      <c r="A15" s="1114"/>
      <c r="B15" s="26" t="str">
        <f>'Fr-04.1'!B15</f>
        <v>Biogasoline (Ethanol) (Stationary combustion)</v>
      </c>
      <c r="C15" s="15" t="str">
        <f>'Fr-04.1'!C15</f>
        <v>kg</v>
      </c>
      <c r="D15" s="27">
        <f>'Fr-04.1'!D15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17"/>
        <v>6.5609999999999991E-3</v>
      </c>
      <c r="R15" s="28"/>
      <c r="S15" s="28"/>
      <c r="T15" s="28"/>
      <c r="U15" s="28"/>
      <c r="V15" s="28"/>
      <c r="W15" s="796" t="s">
        <v>2728</v>
      </c>
      <c r="X15" s="28"/>
      <c r="Y15" s="28"/>
      <c r="Z15" s="28" t="str">
        <f>'Fr-04.1'!Z15</f>
        <v>IPCC, 2006</v>
      </c>
      <c r="AA15" s="23">
        <f t="shared" si="0"/>
        <v>0</v>
      </c>
      <c r="AB15" s="23">
        <f t="shared" si="1"/>
        <v>0</v>
      </c>
      <c r="AC15" s="23">
        <f t="shared" si="11"/>
        <v>3.2984285400000013E-7</v>
      </c>
      <c r="AD15" s="23">
        <f t="shared" si="2"/>
        <v>6.5968570800000015E-8</v>
      </c>
      <c r="AE15" s="23">
        <f t="shared" si="3"/>
        <v>0</v>
      </c>
      <c r="AF15" s="23">
        <f t="shared" si="4"/>
        <v>0</v>
      </c>
      <c r="AG15" s="23">
        <f t="shared" si="12"/>
        <v>0</v>
      </c>
      <c r="AH15" s="23">
        <f t="shared" si="13"/>
        <v>9.2355999120000041E-6</v>
      </c>
      <c r="AI15" s="23">
        <f t="shared" si="5"/>
        <v>1.7481671262000003E-5</v>
      </c>
      <c r="AJ15" s="23">
        <f t="shared" si="6"/>
        <v>0</v>
      </c>
      <c r="AK15" s="23">
        <f t="shared" si="7"/>
        <v>0</v>
      </c>
      <c r="AL15" s="23">
        <f t="shared" si="14"/>
        <v>0</v>
      </c>
      <c r="AM15" s="23">
        <f t="shared" si="15"/>
        <v>0</v>
      </c>
      <c r="AN15" s="24"/>
      <c r="AO15" s="23">
        <f t="shared" si="16"/>
        <v>2.6717271174000008E-5</v>
      </c>
      <c r="AP15" s="23">
        <f t="shared" si="8"/>
        <v>1.7403938441127307E-7</v>
      </c>
      <c r="AQ15" s="23">
        <f t="shared" si="9"/>
        <v>4.0549706188328473E-9</v>
      </c>
      <c r="AR15" s="23">
        <f t="shared" si="10"/>
        <v>8.7194613714032345E-10</v>
      </c>
      <c r="AS15" s="30"/>
      <c r="AT15" s="31"/>
    </row>
    <row r="16" spans="1:60">
      <c r="A16" s="1114"/>
      <c r="B16" s="14" t="str">
        <f>'Fr-04.1'!B16</f>
        <v>Mobile combustion</v>
      </c>
      <c r="C16" s="1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19"/>
      <c r="O16" s="29"/>
      <c r="P16" s="34"/>
      <c r="Q16" s="22">
        <f t="shared" si="17"/>
        <v>0</v>
      </c>
      <c r="R16" s="28"/>
      <c r="S16" s="28"/>
      <c r="T16" s="28"/>
      <c r="U16" s="28"/>
      <c r="V16" s="28"/>
      <c r="W16" s="28"/>
      <c r="X16" s="28"/>
      <c r="Y16" s="28"/>
      <c r="Z16" s="28">
        <f>'Fr-04.1'!Z16</f>
        <v>0</v>
      </c>
      <c r="AA16" s="23">
        <f t="shared" si="0"/>
        <v>0</v>
      </c>
      <c r="AB16" s="23">
        <f t="shared" si="1"/>
        <v>0</v>
      </c>
      <c r="AC16" s="23">
        <f t="shared" si="11"/>
        <v>0</v>
      </c>
      <c r="AD16" s="23">
        <f t="shared" si="2"/>
        <v>0</v>
      </c>
      <c r="AE16" s="23">
        <f t="shared" si="3"/>
        <v>0</v>
      </c>
      <c r="AF16" s="23">
        <f t="shared" si="4"/>
        <v>0</v>
      </c>
      <c r="AG16" s="23">
        <f t="shared" si="12"/>
        <v>0</v>
      </c>
      <c r="AH16" s="23">
        <f t="shared" si="13"/>
        <v>0</v>
      </c>
      <c r="AI16" s="23">
        <f t="shared" si="5"/>
        <v>0</v>
      </c>
      <c r="AJ16" s="23">
        <f t="shared" si="6"/>
        <v>0</v>
      </c>
      <c r="AK16" s="23">
        <f t="shared" si="7"/>
        <v>0</v>
      </c>
      <c r="AL16" s="23">
        <f t="shared" si="14"/>
        <v>0</v>
      </c>
      <c r="AM16" s="23">
        <f t="shared" si="15"/>
        <v>0</v>
      </c>
      <c r="AN16" s="24"/>
      <c r="AO16" s="23">
        <f t="shared" si="16"/>
        <v>0</v>
      </c>
      <c r="AP16" s="23">
        <f t="shared" si="8"/>
        <v>0</v>
      </c>
      <c r="AQ16" s="23">
        <f t="shared" si="9"/>
        <v>0</v>
      </c>
      <c r="AR16" s="23">
        <f t="shared" si="10"/>
        <v>0</v>
      </c>
      <c r="AS16" s="30"/>
      <c r="AT16" s="31"/>
    </row>
    <row r="17" spans="1:46">
      <c r="A17" s="1114"/>
      <c r="B17" s="26" t="str">
        <f>'Fr-04.1'!B17</f>
        <v>น้ำมัน Diesel B7   รถยนต์องค์กร</v>
      </c>
      <c r="C17" s="15" t="str">
        <f>'Fr-04.1'!C17</f>
        <v>L</v>
      </c>
      <c r="D17" s="27">
        <f>'Fr-04.1'!D17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17"/>
        <v>2.7406232100000003</v>
      </c>
      <c r="R17" s="28"/>
      <c r="S17" s="28"/>
      <c r="T17" s="28"/>
      <c r="U17" s="796" t="s">
        <v>2728</v>
      </c>
      <c r="V17" s="28"/>
      <c r="W17" s="28"/>
      <c r="X17" s="28"/>
      <c r="Y17" s="28"/>
      <c r="Z17" s="28" t="str">
        <f>'Fr-04.1'!Z17</f>
        <v>TGO CFO EF (เมษายน 2565):Gas/Diesel (Mobile Combustion)</v>
      </c>
      <c r="AA17" s="23">
        <f t="shared" si="0"/>
        <v>43.833560991147714</v>
      </c>
      <c r="AB17" s="23">
        <f t="shared" si="1"/>
        <v>2.3070295258498801E-3</v>
      </c>
      <c r="AC17" s="23">
        <f t="shared" si="11"/>
        <v>0</v>
      </c>
      <c r="AD17" s="23">
        <f t="shared" si="2"/>
        <v>2.3070295258498801E-3</v>
      </c>
      <c r="AE17" s="23">
        <f t="shared" si="3"/>
        <v>0</v>
      </c>
      <c r="AF17" s="23">
        <f t="shared" si="4"/>
        <v>0</v>
      </c>
      <c r="AG17" s="23">
        <f t="shared" si="12"/>
        <v>6.9210885775496403E-2</v>
      </c>
      <c r="AH17" s="23">
        <f t="shared" si="13"/>
        <v>0</v>
      </c>
      <c r="AI17" s="23">
        <f t="shared" si="5"/>
        <v>0.61136282435021827</v>
      </c>
      <c r="AJ17" s="23">
        <f t="shared" si="6"/>
        <v>0</v>
      </c>
      <c r="AK17" s="23">
        <f t="shared" si="7"/>
        <v>0</v>
      </c>
      <c r="AL17" s="23">
        <f t="shared" si="14"/>
        <v>0</v>
      </c>
      <c r="AM17" s="23">
        <f t="shared" si="15"/>
        <v>0</v>
      </c>
      <c r="AN17" s="24"/>
      <c r="AO17" s="23">
        <f t="shared" si="16"/>
        <v>44.514134701273441</v>
      </c>
      <c r="AP17" s="23">
        <f t="shared" si="8"/>
        <v>0.28997020506156113</v>
      </c>
      <c r="AQ17" s="23">
        <f t="shared" si="9"/>
        <v>6.756060795313895E-3</v>
      </c>
      <c r="AR17" s="23">
        <f t="shared" si="10"/>
        <v>1.4527654245876463E-3</v>
      </c>
      <c r="AS17" s="30"/>
      <c r="AT17" s="31"/>
    </row>
    <row r="18" spans="1:46">
      <c r="A18" s="1114"/>
      <c r="B18" s="26" t="str">
        <f>'Fr-04.1'!B18</f>
        <v>น้ำมัน Diesel B10   รถยนต์องค์กร</v>
      </c>
      <c r="C18" s="15" t="str">
        <f>'Fr-04.1'!C18</f>
        <v>L</v>
      </c>
      <c r="D18" s="27">
        <f>'Fr-04.1'!D18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ref="Q18:Q28" si="18">(E18*$AV$8)+(F18*$AV$9)+(G18*$AV$10)+(H18*$AV$11)+(I18*$AV$12)+(J18*$AV$13)+(K18*M18)+(L18*N18)</f>
        <v>2.7406232100000003</v>
      </c>
      <c r="R18" s="28"/>
      <c r="S18" s="28"/>
      <c r="T18" s="28"/>
      <c r="U18" s="796" t="s">
        <v>2728</v>
      </c>
      <c r="V18" s="28"/>
      <c r="W18" s="28"/>
      <c r="X18" s="28"/>
      <c r="Y18" s="28"/>
      <c r="Z18" s="28" t="str">
        <f>'Fr-04.1'!Z18</f>
        <v>TGO CFO EF (เมษายน 2565):Gas/Diesel (Mobile Combustion)</v>
      </c>
      <c r="AA18" s="23">
        <f t="shared" ref="AA18:AA28" si="19">D18*E18/1000</f>
        <v>0.12996775279799999</v>
      </c>
      <c r="AB18" s="23">
        <f t="shared" ref="AB18:AB28" si="20">D18*F18/1000</f>
        <v>6.8404080420000008E-6</v>
      </c>
      <c r="AC18" s="23">
        <f t="shared" ref="AC18:AC28" si="21">D18*G18/1000</f>
        <v>0</v>
      </c>
      <c r="AD18" s="23">
        <f t="shared" ref="AD18:AD28" si="22">D18*H18/1000</f>
        <v>6.8404080420000008E-6</v>
      </c>
      <c r="AE18" s="23">
        <f t="shared" ref="AE18:AE28" si="23">D18*I18/1000</f>
        <v>0</v>
      </c>
      <c r="AF18" s="23">
        <f t="shared" ref="AF18:AF28" si="24">D18*J18/1000</f>
        <v>0</v>
      </c>
      <c r="AG18" s="23">
        <f t="shared" ref="AG18:AG28" si="25">D18*F18*$AV$9/1000</f>
        <v>2.0521224126000001E-4</v>
      </c>
      <c r="AH18" s="23">
        <f t="shared" ref="AH18:AH28" si="26">D18*G18*$AV$10/1000</f>
        <v>0</v>
      </c>
      <c r="AI18" s="23">
        <f t="shared" ref="AI18:AI28" si="27">D18*H18*$AV$11/1000</f>
        <v>1.8127081311300002E-3</v>
      </c>
      <c r="AJ18" s="23">
        <f t="shared" ref="AJ18:AJ28" si="28">D18*I18*$AV$12/1000</f>
        <v>0</v>
      </c>
      <c r="AK18" s="23">
        <f t="shared" ref="AK18:AK28" si="29">D18*J18*$AV$13/1000</f>
        <v>0</v>
      </c>
      <c r="AL18" s="23">
        <f t="shared" ref="AL18:AL28" si="30">D18*K18*M18/1000</f>
        <v>0</v>
      </c>
      <c r="AM18" s="23">
        <f t="shared" ref="AM18:AM28" si="31">D18*L18*N18/1000</f>
        <v>0</v>
      </c>
      <c r="AN18" s="24"/>
      <c r="AO18" s="23">
        <f t="shared" ref="AO18:AO28" si="32">D18*Q18/1000</f>
        <v>0.13198567317039001</v>
      </c>
      <c r="AP18" s="23">
        <f t="shared" si="8"/>
        <v>8.597698904233965E-4</v>
      </c>
      <c r="AQ18" s="23">
        <f t="shared" si="9"/>
        <v>2.0031912066440221E-5</v>
      </c>
      <c r="AR18" s="23">
        <f t="shared" si="10"/>
        <v>4.3074907287231307E-6</v>
      </c>
      <c r="AS18" s="30"/>
      <c r="AT18" s="31"/>
    </row>
    <row r="19" spans="1:46">
      <c r="A19" s="1114"/>
      <c r="B19" s="26" t="str">
        <f>'Fr-04.1'!B19</f>
        <v>น้ำมัน Gasohol 91/95  รถยนต์องค์กร</v>
      </c>
      <c r="C19" s="15" t="str">
        <f>'Fr-04.1'!C19</f>
        <v>L</v>
      </c>
      <c r="D19" s="27">
        <f>'Fr-04.1'!D19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18"/>
      <c r="N19" s="19"/>
      <c r="O19" s="29"/>
      <c r="P19" s="21"/>
      <c r="Q19" s="22">
        <f t="shared" si="18"/>
        <v>2.2719116000000001</v>
      </c>
      <c r="R19" s="28"/>
      <c r="S19" s="28"/>
      <c r="T19" s="28"/>
      <c r="U19" s="796" t="s">
        <v>2728</v>
      </c>
      <c r="V19" s="28"/>
      <c r="W19" s="28"/>
      <c r="X19" s="28"/>
      <c r="Y19" s="28"/>
      <c r="Z19" s="28" t="str">
        <f>'Fr-04.1'!Z19</f>
        <v>TGO CFO EF (เมษายน 2565):  Motor gasoline-oxidation catalyst (Mobile Combustion on road)</v>
      </c>
      <c r="AA19" s="23">
        <f t="shared" si="19"/>
        <v>8.2267367462279992</v>
      </c>
      <c r="AB19" s="23">
        <f t="shared" si="20"/>
        <v>2.9677982490000001E-3</v>
      </c>
      <c r="AC19" s="23">
        <f t="shared" si="21"/>
        <v>0</v>
      </c>
      <c r="AD19" s="23">
        <f t="shared" si="22"/>
        <v>9.4969543967999995E-4</v>
      </c>
      <c r="AE19" s="23">
        <f t="shared" si="23"/>
        <v>0</v>
      </c>
      <c r="AF19" s="23">
        <f t="shared" si="24"/>
        <v>0</v>
      </c>
      <c r="AG19" s="23">
        <f t="shared" si="25"/>
        <v>8.9033947469999999E-2</v>
      </c>
      <c r="AH19" s="23">
        <f t="shared" si="26"/>
        <v>0</v>
      </c>
      <c r="AI19" s="23">
        <f t="shared" si="27"/>
        <v>0.25166929151519996</v>
      </c>
      <c r="AJ19" s="23">
        <f t="shared" si="28"/>
        <v>0</v>
      </c>
      <c r="AK19" s="23">
        <f t="shared" si="29"/>
        <v>0</v>
      </c>
      <c r="AL19" s="23">
        <f t="shared" si="30"/>
        <v>0</v>
      </c>
      <c r="AM19" s="23">
        <f t="shared" si="31"/>
        <v>0</v>
      </c>
      <c r="AN19" s="24"/>
      <c r="AO19" s="23">
        <f t="shared" si="32"/>
        <v>8.5674399852132002</v>
      </c>
      <c r="AP19" s="23">
        <f t="shared" si="8"/>
        <v>5.5809291723552701E-2</v>
      </c>
      <c r="AQ19" s="23">
        <f t="shared" si="9"/>
        <v>1.3003093464298585E-3</v>
      </c>
      <c r="AR19" s="23">
        <f t="shared" si="10"/>
        <v>2.7960738024615289E-4</v>
      </c>
      <c r="AS19" s="30"/>
      <c r="AT19" s="31"/>
    </row>
    <row r="20" spans="1:46">
      <c r="A20" s="1114"/>
      <c r="B20" s="26" t="str">
        <f>'Fr-04.1'!B20</f>
        <v>น้ำมัน Gasohol E20 รถยนต์องค์กร</v>
      </c>
      <c r="C20" s="15" t="str">
        <f>'Fr-04.1'!C20</f>
        <v>L</v>
      </c>
      <c r="D20" s="27">
        <f>'Fr-04.1'!D20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18"/>
      <c r="N20" s="19"/>
      <c r="O20" s="29"/>
      <c r="P20" s="21"/>
      <c r="Q20" s="22">
        <f t="shared" si="18"/>
        <v>2.2719116000000001</v>
      </c>
      <c r="R20" s="28"/>
      <c r="S20" s="28"/>
      <c r="T20" s="28"/>
      <c r="U20" s="28"/>
      <c r="V20" s="28"/>
      <c r="W20" s="796" t="s">
        <v>2728</v>
      </c>
      <c r="X20" s="28"/>
      <c r="Y20" s="28"/>
      <c r="Z20" s="28" t="str">
        <f>'Fr-04.1'!Z20</f>
        <v>TGO CFO EF (เมษายน 2565):  Motor gasoline-oxidation catalyst (Mobile Combustion on road)</v>
      </c>
      <c r="AA20" s="23">
        <f t="shared" si="19"/>
        <v>0.26369000380800001</v>
      </c>
      <c r="AB20" s="23">
        <f t="shared" si="20"/>
        <v>9.5126263999999999E-5</v>
      </c>
      <c r="AC20" s="23">
        <f t="shared" si="21"/>
        <v>0</v>
      </c>
      <c r="AD20" s="23">
        <f t="shared" si="22"/>
        <v>3.044040448E-5</v>
      </c>
      <c r="AE20" s="23">
        <f t="shared" si="23"/>
        <v>0</v>
      </c>
      <c r="AF20" s="23">
        <f t="shared" si="24"/>
        <v>0</v>
      </c>
      <c r="AG20" s="23">
        <f t="shared" si="25"/>
        <v>2.8537879200000002E-3</v>
      </c>
      <c r="AH20" s="23">
        <f t="shared" si="26"/>
        <v>0</v>
      </c>
      <c r="AI20" s="23">
        <f t="shared" si="27"/>
        <v>8.0667071871999996E-3</v>
      </c>
      <c r="AJ20" s="23">
        <f t="shared" si="28"/>
        <v>0</v>
      </c>
      <c r="AK20" s="23">
        <f t="shared" si="29"/>
        <v>0</v>
      </c>
      <c r="AL20" s="23">
        <f t="shared" si="30"/>
        <v>0</v>
      </c>
      <c r="AM20" s="23">
        <f t="shared" si="31"/>
        <v>0</v>
      </c>
      <c r="AN20" s="24"/>
      <c r="AO20" s="23">
        <f t="shared" si="32"/>
        <v>0.27461049891520001</v>
      </c>
      <c r="AP20" s="23">
        <f t="shared" si="8"/>
        <v>1.7888444472047699E-3</v>
      </c>
      <c r="AQ20" s="23">
        <f t="shared" si="9"/>
        <v>4.1678564306664964E-5</v>
      </c>
      <c r="AR20" s="23">
        <f t="shared" si="10"/>
        <v>8.9622013486281035E-6</v>
      </c>
      <c r="AS20" s="30"/>
      <c r="AT20" s="31"/>
    </row>
    <row r="21" spans="1:46">
      <c r="A21" s="1114"/>
      <c r="B21" s="26" t="str">
        <f>'Fr-04.1'!B21</f>
        <v>น้ำมัน Diesel B7 FL/รถใช้ขนส่งภายในองค์กร (off-road)</v>
      </c>
      <c r="C21" s="15" t="str">
        <f>'Fr-04.1'!C21</f>
        <v>L</v>
      </c>
      <c r="D21" s="27">
        <f>'Fr-04.1'!D21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si="18"/>
        <v>2.9792834700000004</v>
      </c>
      <c r="R21" s="28"/>
      <c r="S21" s="28"/>
      <c r="T21" s="28"/>
      <c r="U21" s="28"/>
      <c r="V21" s="28"/>
      <c r="W21" s="796" t="s">
        <v>2728</v>
      </c>
      <c r="X21" s="28"/>
      <c r="Y21" s="28"/>
      <c r="Z21" s="28" t="str">
        <f>'Fr-04.1'!Z21</f>
        <v>TGO CFO EF (เมษายน 2565):  Diesel Industry (Mobile Combustion off road)</v>
      </c>
      <c r="AA21" s="23">
        <f t="shared" si="19"/>
        <v>11.670623289000002</v>
      </c>
      <c r="AB21" s="23">
        <f t="shared" si="20"/>
        <v>6.5361790350000018E-4</v>
      </c>
      <c r="AC21" s="23">
        <f t="shared" si="21"/>
        <v>0</v>
      </c>
      <c r="AD21" s="23">
        <f t="shared" si="22"/>
        <v>4.5044510940000001E-3</v>
      </c>
      <c r="AE21" s="23">
        <f t="shared" si="23"/>
        <v>0</v>
      </c>
      <c r="AF21" s="23">
        <f t="shared" si="24"/>
        <v>0</v>
      </c>
      <c r="AG21" s="23">
        <f t="shared" si="25"/>
        <v>1.9608537105000004E-2</v>
      </c>
      <c r="AH21" s="23">
        <f t="shared" si="26"/>
        <v>0</v>
      </c>
      <c r="AI21" s="23">
        <f t="shared" si="27"/>
        <v>1.1936795399100002</v>
      </c>
      <c r="AJ21" s="23">
        <f t="shared" si="28"/>
        <v>0</v>
      </c>
      <c r="AK21" s="23">
        <f t="shared" si="29"/>
        <v>0</v>
      </c>
      <c r="AL21" s="23">
        <f t="shared" si="30"/>
        <v>0</v>
      </c>
      <c r="AM21" s="23">
        <f t="shared" si="31"/>
        <v>0</v>
      </c>
      <c r="AN21" s="24"/>
      <c r="AO21" s="23">
        <f t="shared" si="32"/>
        <v>12.883911366015001</v>
      </c>
      <c r="AP21" s="23">
        <f t="shared" si="8"/>
        <v>8.3927283903633229E-2</v>
      </c>
      <c r="AQ21" s="23">
        <f t="shared" si="9"/>
        <v>1.9554348086146872E-3</v>
      </c>
      <c r="AR21" s="23">
        <f t="shared" si="10"/>
        <v>4.2047994623745717E-4</v>
      </c>
      <c r="AS21" s="30"/>
      <c r="AT21" s="31"/>
    </row>
    <row r="22" spans="1:46">
      <c r="A22" s="1114"/>
      <c r="B22" s="26" t="str">
        <f>'Fr-04.1'!B22</f>
        <v>Biodiesel (Mobile combustion-on road)</v>
      </c>
      <c r="C22" s="15" t="str">
        <f>'Fr-04.1'!C22</f>
        <v>kg</v>
      </c>
      <c r="D22" s="27">
        <f>'Fr-04.1'!D22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18"/>
        <v>0.20777040000000002</v>
      </c>
      <c r="R22" s="28"/>
      <c r="S22" s="28"/>
      <c r="T22" s="28"/>
      <c r="U22" s="28"/>
      <c r="V22" s="28"/>
      <c r="W22" s="796" t="s">
        <v>2728</v>
      </c>
      <c r="X22" s="28"/>
      <c r="Y22" s="28"/>
      <c r="Z22" s="28" t="str">
        <f>'Fr-04.1'!Z22</f>
        <v>IPCC, 2006</v>
      </c>
      <c r="AA22" s="23">
        <f t="shared" ref="AA22:AA23" si="33">D22*E22/1000</f>
        <v>0</v>
      </c>
      <c r="AB22" s="23">
        <f t="shared" ref="AB22:AB23" si="34">D22*F22/1000</f>
        <v>0</v>
      </c>
      <c r="AC22" s="23">
        <f t="shared" ref="AC22:AC23" si="35">D22*G22/1000</f>
        <v>1.1969928191978987E-4</v>
      </c>
      <c r="AD22" s="23">
        <f t="shared" ref="AD22:AD23" si="36">D22*H22/1000</f>
        <v>8.2491553323035913E-4</v>
      </c>
      <c r="AE22" s="23">
        <f t="shared" ref="AE22:AE23" si="37">D22*I22/1000</f>
        <v>0</v>
      </c>
      <c r="AF22" s="23">
        <f t="shared" ref="AF22:AF23" si="38">D22*J22/1000</f>
        <v>0</v>
      </c>
      <c r="AG22" s="23">
        <f t="shared" ref="AG22:AG23" si="39">D22*F22*$AV$9/1000</f>
        <v>0</v>
      </c>
      <c r="AH22" s="23">
        <f t="shared" ref="AH22:AH23" si="40">D22*G22*$AV$10/1000</f>
        <v>3.3515798937541167E-3</v>
      </c>
      <c r="AI22" s="23">
        <f t="shared" ref="AI22:AI23" si="41">D22*H22*$AV$11/1000</f>
        <v>0.21860261630604519</v>
      </c>
      <c r="AJ22" s="23">
        <f t="shared" ref="AJ22:AJ23" si="42">D22*I22*$AV$12/1000</f>
        <v>0</v>
      </c>
      <c r="AK22" s="23">
        <f t="shared" ref="AK22:AK23" si="43">D22*J22*$AV$13/1000</f>
        <v>0</v>
      </c>
      <c r="AL22" s="23">
        <f t="shared" ref="AL22:AL23" si="44">D22*K22*M22/1000</f>
        <v>0</v>
      </c>
      <c r="AM22" s="23">
        <f t="shared" ref="AM22:AM23" si="45">D22*L22*N22/1000</f>
        <v>0</v>
      </c>
      <c r="AN22" s="24"/>
      <c r="AO22" s="23">
        <f t="shared" ref="AO22:AO23" si="46">D22*Q22/1000</f>
        <v>0.22195419619979931</v>
      </c>
      <c r="AP22" s="23">
        <f t="shared" ref="AP22:AP23" si="47">AO22/$AO$35</f>
        <v>1.4458352210649304E-3</v>
      </c>
      <c r="AQ22" s="23">
        <f t="shared" si="9"/>
        <v>3.3686739130480598E-5</v>
      </c>
      <c r="AR22" s="23">
        <f t="shared" si="10"/>
        <v>7.2437077401391501E-6</v>
      </c>
      <c r="AS22" s="30"/>
      <c r="AT22" s="31"/>
    </row>
    <row r="23" spans="1:46">
      <c r="A23" s="1114"/>
      <c r="B23" s="26" t="str">
        <f>'Fr-04.1'!B23</f>
        <v>Biodiesel (Mobile combustion-off road)</v>
      </c>
      <c r="C23" s="15" t="str">
        <f>'Fr-04.1'!C23</f>
        <v>kg</v>
      </c>
      <c r="D23" s="27">
        <f>'Fr-04.1'!D23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18"/>
        <v>0.20777040000000002</v>
      </c>
      <c r="R23" s="28"/>
      <c r="S23" s="28"/>
      <c r="T23" s="28"/>
      <c r="U23" s="28"/>
      <c r="V23" s="28"/>
      <c r="W23" s="796" t="s">
        <v>2728</v>
      </c>
      <c r="X23" s="28"/>
      <c r="Y23" s="28"/>
      <c r="Z23" s="28" t="str">
        <f>'Fr-04.1'!Z23</f>
        <v>IPCC, 2006</v>
      </c>
      <c r="AA23" s="23">
        <f t="shared" si="33"/>
        <v>0</v>
      </c>
      <c r="AB23" s="23">
        <f t="shared" si="34"/>
        <v>0</v>
      </c>
      <c r="AC23" s="23">
        <f t="shared" si="35"/>
        <v>3.1730879250000006E-5</v>
      </c>
      <c r="AD23" s="23">
        <f t="shared" si="36"/>
        <v>2.1867545700000001E-4</v>
      </c>
      <c r="AE23" s="23">
        <f t="shared" si="37"/>
        <v>0</v>
      </c>
      <c r="AF23" s="23">
        <f t="shared" si="38"/>
        <v>0</v>
      </c>
      <c r="AG23" s="23">
        <f t="shared" si="39"/>
        <v>0</v>
      </c>
      <c r="AH23" s="23">
        <f t="shared" si="40"/>
        <v>8.8846461900000007E-4</v>
      </c>
      <c r="AI23" s="23">
        <f t="shared" si="41"/>
        <v>5.7948996105000004E-2</v>
      </c>
      <c r="AJ23" s="23">
        <f t="shared" si="42"/>
        <v>0</v>
      </c>
      <c r="AK23" s="23">
        <f t="shared" si="43"/>
        <v>0</v>
      </c>
      <c r="AL23" s="23">
        <f t="shared" si="44"/>
        <v>0</v>
      </c>
      <c r="AM23" s="23">
        <f t="shared" si="45"/>
        <v>0</v>
      </c>
      <c r="AN23" s="24"/>
      <c r="AO23" s="23">
        <f t="shared" si="46"/>
        <v>5.8837460724E-2</v>
      </c>
      <c r="AP23" s="23">
        <f t="shared" si="47"/>
        <v>3.8327400197564108E-4</v>
      </c>
      <c r="AQ23" s="23">
        <f t="shared" si="9"/>
        <v>8.9299604352831705E-6</v>
      </c>
      <c r="AR23" s="23">
        <f t="shared" si="10"/>
        <v>1.9202221762588933E-6</v>
      </c>
      <c r="AS23" s="30"/>
      <c r="AT23" s="31"/>
    </row>
    <row r="24" spans="1:46">
      <c r="A24" s="1114"/>
      <c r="B24" s="26" t="str">
        <f>'Fr-04.1'!B24</f>
        <v>Biogasoline (Ethanol) (Mobile combustion)</v>
      </c>
      <c r="C24" s="15" t="str">
        <f>'Fr-04.1'!C24</f>
        <v>kg</v>
      </c>
      <c r="D24" s="27">
        <f>'Fr-04.1'!D24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18"/>
        <v>0.48991499999999999</v>
      </c>
      <c r="R24" s="28"/>
      <c r="S24" s="28"/>
      <c r="T24" s="28"/>
      <c r="U24" s="28"/>
      <c r="V24" s="28"/>
      <c r="W24" s="796" t="s">
        <v>2728</v>
      </c>
      <c r="X24" s="28"/>
      <c r="Y24" s="28"/>
      <c r="Z24" s="28" t="str">
        <f>'Fr-04.1'!Z24</f>
        <v>IPCC, 2006</v>
      </c>
      <c r="AA24" s="23">
        <f t="shared" ref="AA24" si="48">D24*E24/1000</f>
        <v>0</v>
      </c>
      <c r="AB24" s="23">
        <f t="shared" ref="AB24" si="49">D24*F24/1000</f>
        <v>0</v>
      </c>
      <c r="AC24" s="23">
        <f t="shared" ref="AC24" si="50">D24*G24/1000</f>
        <v>2.4912898217999985E-3</v>
      </c>
      <c r="AD24" s="23">
        <f t="shared" ref="AD24" si="51">D24*H24/1000</f>
        <v>3.9285724112999968E-4</v>
      </c>
      <c r="AE24" s="23">
        <f t="shared" ref="AE24" si="52">D24*I24/1000</f>
        <v>0</v>
      </c>
      <c r="AF24" s="23">
        <f t="shared" ref="AF24" si="53">D24*J24/1000</f>
        <v>0</v>
      </c>
      <c r="AG24" s="23">
        <f t="shared" ref="AG24" si="54">D24*F24*$AV$9/1000</f>
        <v>0</v>
      </c>
      <c r="AH24" s="23">
        <f t="shared" ref="AH24" si="55">D24*G24*$AV$10/1000</f>
        <v>6.9756115010399952E-2</v>
      </c>
      <c r="AI24" s="23">
        <f t="shared" ref="AI24" si="56">D24*H24*$AV$11/1000</f>
        <v>0.10410716889944992</v>
      </c>
      <c r="AJ24" s="23">
        <f t="shared" ref="AJ24" si="57">D24*I24*$AV$12/1000</f>
        <v>0</v>
      </c>
      <c r="AK24" s="23">
        <f t="shared" ref="AK24" si="58">D24*J24*$AV$13/1000</f>
        <v>0</v>
      </c>
      <c r="AL24" s="23">
        <f t="shared" ref="AL24" si="59">D24*K24*M24/1000</f>
        <v>0</v>
      </c>
      <c r="AM24" s="23">
        <f t="shared" ref="AM24" si="60">D24*L24*N24/1000</f>
        <v>0</v>
      </c>
      <c r="AN24" s="24"/>
      <c r="AO24" s="23">
        <f t="shared" ref="AO24" si="61">D24*Q24/1000</f>
        <v>0.1738632839098499</v>
      </c>
      <c r="AP24" s="23">
        <f t="shared" ref="AP24" si="62">AO24/$AO$35</f>
        <v>1.1325654744575623E-3</v>
      </c>
      <c r="AQ24" s="23">
        <f t="shared" ref="AQ24" si="63">AO24/$AO$57</f>
        <v>2.6387818701870949E-5</v>
      </c>
      <c r="AR24" s="23">
        <f t="shared" ref="AR24" si="64">AO24/$AO$58</f>
        <v>5.6742104314625665E-6</v>
      </c>
      <c r="AS24" s="30"/>
      <c r="AT24" s="31"/>
    </row>
    <row r="25" spans="1:46">
      <c r="A25" s="1114"/>
      <c r="B25" s="14" t="str">
        <f>'Fr-04.1'!B25</f>
        <v>Fugitive</v>
      </c>
      <c r="C25" s="15"/>
      <c r="D25" s="27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18"/>
        <v>0</v>
      </c>
      <c r="R25" s="28"/>
      <c r="S25" s="28"/>
      <c r="T25" s="28"/>
      <c r="U25" s="28"/>
      <c r="V25" s="28"/>
      <c r="W25" s="28"/>
      <c r="X25" s="28"/>
      <c r="Y25" s="28"/>
      <c r="Z25" s="28">
        <f>'Fr-04.1'!Z25</f>
        <v>0</v>
      </c>
      <c r="AA25" s="23">
        <f t="shared" si="19"/>
        <v>0</v>
      </c>
      <c r="AB25" s="23">
        <f t="shared" si="20"/>
        <v>0</v>
      </c>
      <c r="AC25" s="23">
        <f t="shared" si="21"/>
        <v>0</v>
      </c>
      <c r="AD25" s="23">
        <f t="shared" si="22"/>
        <v>0</v>
      </c>
      <c r="AE25" s="23">
        <f t="shared" si="23"/>
        <v>0</v>
      </c>
      <c r="AF25" s="23">
        <f t="shared" si="24"/>
        <v>0</v>
      </c>
      <c r="AG25" s="23">
        <f t="shared" si="25"/>
        <v>0</v>
      </c>
      <c r="AH25" s="23">
        <f t="shared" si="26"/>
        <v>0</v>
      </c>
      <c r="AI25" s="23">
        <f t="shared" si="27"/>
        <v>0</v>
      </c>
      <c r="AJ25" s="23">
        <f t="shared" si="28"/>
        <v>0</v>
      </c>
      <c r="AK25" s="23">
        <f t="shared" si="29"/>
        <v>0</v>
      </c>
      <c r="AL25" s="23">
        <f t="shared" si="30"/>
        <v>0</v>
      </c>
      <c r="AM25" s="23">
        <f t="shared" si="31"/>
        <v>0</v>
      </c>
      <c r="AN25" s="24"/>
      <c r="AO25" s="23">
        <f t="shared" si="32"/>
        <v>0</v>
      </c>
      <c r="AP25" s="23">
        <f>AO25/$AO$35</f>
        <v>0</v>
      </c>
      <c r="AQ25" s="23">
        <f t="shared" ref="AQ25:AQ34" si="65">AO25/$AO$57</f>
        <v>0</v>
      </c>
      <c r="AR25" s="23">
        <f t="shared" ref="AR25:AR34" si="66">AO25/$AO$58</f>
        <v>0</v>
      </c>
      <c r="AS25" s="30"/>
      <c r="AT25" s="31"/>
    </row>
    <row r="26" spans="1:46">
      <c r="A26" s="1114"/>
      <c r="B26" s="26" t="str">
        <f>'Fr-04.1'!B26</f>
        <v>สารทำความเย็น R-32 -ครื่องปรับอากาศ</v>
      </c>
      <c r="C26" s="15" t="str">
        <f>'Fr-04.1'!C26</f>
        <v>kg</v>
      </c>
      <c r="D26" s="27">
        <f>'Fr-04.1'!D26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18"/>
        <v>677</v>
      </c>
      <c r="R26" s="28"/>
      <c r="S26" s="28"/>
      <c r="T26" s="28"/>
      <c r="U26" s="28"/>
      <c r="V26" s="28"/>
      <c r="W26" s="796" t="s">
        <v>2728</v>
      </c>
      <c r="X26" s="28"/>
      <c r="Y26" s="28"/>
      <c r="Z26" s="28" t="str">
        <f>'Fr-04.1'!Z26</f>
        <v>IPCC : GWP (AR5)</v>
      </c>
      <c r="AA26" s="23">
        <f t="shared" si="19"/>
        <v>0</v>
      </c>
      <c r="AB26" s="23">
        <f t="shared" si="20"/>
        <v>0</v>
      </c>
      <c r="AC26" s="23">
        <f t="shared" si="21"/>
        <v>0</v>
      </c>
      <c r="AD26" s="23">
        <f t="shared" si="22"/>
        <v>0</v>
      </c>
      <c r="AE26" s="23">
        <f t="shared" si="23"/>
        <v>0</v>
      </c>
      <c r="AF26" s="23">
        <f t="shared" si="24"/>
        <v>0</v>
      </c>
      <c r="AG26" s="23">
        <f t="shared" si="25"/>
        <v>0</v>
      </c>
      <c r="AH26" s="23">
        <f t="shared" si="26"/>
        <v>0</v>
      </c>
      <c r="AI26" s="23">
        <f t="shared" si="27"/>
        <v>0</v>
      </c>
      <c r="AJ26" s="23">
        <f t="shared" si="28"/>
        <v>0</v>
      </c>
      <c r="AK26" s="23">
        <f t="shared" si="29"/>
        <v>0</v>
      </c>
      <c r="AL26" s="23">
        <f t="shared" si="30"/>
        <v>1.8543030000000005</v>
      </c>
      <c r="AM26" s="23">
        <f t="shared" si="31"/>
        <v>0</v>
      </c>
      <c r="AN26" s="24"/>
      <c r="AO26" s="23">
        <f t="shared" si="32"/>
        <v>1.8543030000000005</v>
      </c>
      <c r="AP26" s="23">
        <f>AO26/$AO$35</f>
        <v>1.2079143507216956E-2</v>
      </c>
      <c r="AQ26" s="23">
        <f t="shared" si="65"/>
        <v>2.8143383859991226E-4</v>
      </c>
      <c r="AR26" s="23">
        <f t="shared" si="66"/>
        <v>6.0517121206268936E-5</v>
      </c>
      <c r="AS26" s="30"/>
      <c r="AT26" s="31"/>
    </row>
    <row r="27" spans="1:46">
      <c r="A27" s="1114"/>
      <c r="B27" s="26" t="str">
        <f>'Fr-04.1'!B27</f>
        <v>สารทำความเย็น R-410a - เครื่องปรับอากาศ</v>
      </c>
      <c r="C27" s="15" t="str">
        <f>'Fr-04.1'!C27</f>
        <v>kg</v>
      </c>
      <c r="D27" s="27">
        <f>'Fr-04.1'!D27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18"/>
        <v>1923.5</v>
      </c>
      <c r="R27" s="28"/>
      <c r="S27" s="28"/>
      <c r="T27" s="28"/>
      <c r="U27" s="28"/>
      <c r="V27" s="28"/>
      <c r="W27" s="796" t="s">
        <v>2728</v>
      </c>
      <c r="X27" s="28"/>
      <c r="Y27" s="28"/>
      <c r="Z27" s="28" t="str">
        <f>'Fr-04.1'!Z27</f>
        <v>IPCC : GWP (AR5)</v>
      </c>
      <c r="AA27" s="23">
        <f t="shared" si="19"/>
        <v>0</v>
      </c>
      <c r="AB27" s="23">
        <f t="shared" si="20"/>
        <v>0</v>
      </c>
      <c r="AC27" s="23">
        <f t="shared" si="21"/>
        <v>0</v>
      </c>
      <c r="AD27" s="23">
        <f t="shared" si="22"/>
        <v>0</v>
      </c>
      <c r="AE27" s="23">
        <f t="shared" si="23"/>
        <v>0</v>
      </c>
      <c r="AF27" s="23">
        <f t="shared" si="24"/>
        <v>0</v>
      </c>
      <c r="AG27" s="23">
        <f t="shared" si="25"/>
        <v>0</v>
      </c>
      <c r="AH27" s="23">
        <f t="shared" si="26"/>
        <v>0</v>
      </c>
      <c r="AI27" s="23">
        <f t="shared" si="27"/>
        <v>0</v>
      </c>
      <c r="AJ27" s="23">
        <f t="shared" si="28"/>
        <v>0</v>
      </c>
      <c r="AK27" s="23">
        <f t="shared" si="29"/>
        <v>0</v>
      </c>
      <c r="AL27" s="23">
        <f t="shared" si="30"/>
        <v>0</v>
      </c>
      <c r="AM27" s="23">
        <f t="shared" si="31"/>
        <v>0</v>
      </c>
      <c r="AN27" s="24"/>
      <c r="AO27" s="23">
        <f t="shared" si="32"/>
        <v>0</v>
      </c>
      <c r="AP27" s="23">
        <f>AO27/$AO$35</f>
        <v>0</v>
      </c>
      <c r="AQ27" s="23">
        <f t="shared" si="65"/>
        <v>0</v>
      </c>
      <c r="AR27" s="23">
        <f t="shared" si="66"/>
        <v>0</v>
      </c>
      <c r="AS27" s="30"/>
      <c r="AT27" s="31"/>
    </row>
    <row r="28" spans="1:46">
      <c r="A28" s="1114"/>
      <c r="B28" s="26" t="str">
        <f>'Fr-04.1'!B28</f>
        <v>สารทำความเย็น R-134a - ตู้แอร์ระบายความร้อน</v>
      </c>
      <c r="C28" s="15" t="str">
        <f>'Fr-04.1'!C28</f>
        <v>kg</v>
      </c>
      <c r="D28" s="27">
        <f>'Fr-04.1'!D28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18"/>
        <v>1300</v>
      </c>
      <c r="R28" s="28"/>
      <c r="S28" s="28"/>
      <c r="T28" s="28"/>
      <c r="U28" s="28"/>
      <c r="V28" s="28"/>
      <c r="W28" s="796" t="s">
        <v>2728</v>
      </c>
      <c r="X28" s="28"/>
      <c r="Y28" s="28"/>
      <c r="Z28" s="28" t="str">
        <f>'Fr-04.1'!Z28</f>
        <v>IPCC : GWP (AR5)</v>
      </c>
      <c r="AA28" s="23">
        <f t="shared" si="19"/>
        <v>0</v>
      </c>
      <c r="AB28" s="23">
        <f t="shared" si="20"/>
        <v>0</v>
      </c>
      <c r="AC28" s="23">
        <f t="shared" si="21"/>
        <v>0</v>
      </c>
      <c r="AD28" s="23">
        <f t="shared" si="22"/>
        <v>0</v>
      </c>
      <c r="AE28" s="23">
        <f t="shared" si="23"/>
        <v>0</v>
      </c>
      <c r="AF28" s="23">
        <f t="shared" si="24"/>
        <v>0</v>
      </c>
      <c r="AG28" s="23">
        <f t="shared" si="25"/>
        <v>0</v>
      </c>
      <c r="AH28" s="23">
        <f t="shared" si="26"/>
        <v>0</v>
      </c>
      <c r="AI28" s="23">
        <f t="shared" si="27"/>
        <v>0</v>
      </c>
      <c r="AJ28" s="23">
        <f t="shared" si="28"/>
        <v>0</v>
      </c>
      <c r="AK28" s="23">
        <f t="shared" si="29"/>
        <v>0</v>
      </c>
      <c r="AL28" s="23">
        <f t="shared" si="30"/>
        <v>0</v>
      </c>
      <c r="AM28" s="23">
        <f t="shared" si="31"/>
        <v>0</v>
      </c>
      <c r="AN28" s="24"/>
      <c r="AO28" s="23">
        <f t="shared" si="32"/>
        <v>0</v>
      </c>
      <c r="AP28" s="23">
        <f>AO28/$AO$35</f>
        <v>0</v>
      </c>
      <c r="AQ28" s="23">
        <f t="shared" si="65"/>
        <v>0</v>
      </c>
      <c r="AR28" s="23">
        <f t="shared" si="66"/>
        <v>0</v>
      </c>
      <c r="AS28" s="30"/>
      <c r="AT28" s="31"/>
    </row>
    <row r="29" spans="1:46">
      <c r="A29" s="1114"/>
      <c r="B29" s="26" t="str">
        <f>'Fr-04.1'!B29</f>
        <v>สารทำความเย็น R-407c - Air dryer/Chiller</v>
      </c>
      <c r="C29" s="15" t="str">
        <f>'Fr-04.1'!C29</f>
        <v>kg</v>
      </c>
      <c r="D29" s="27">
        <f>'Fr-04.1'!D29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17"/>
        <v>1624.21</v>
      </c>
      <c r="R29" s="28"/>
      <c r="S29" s="28"/>
      <c r="T29" s="28"/>
      <c r="U29" s="28"/>
      <c r="V29" s="28"/>
      <c r="W29" s="796" t="s">
        <v>2728</v>
      </c>
      <c r="X29" s="28"/>
      <c r="Y29" s="28"/>
      <c r="Z29" s="28" t="str">
        <f>'Fr-04.1'!Z29</f>
        <v>IPCC : GWP (AR5)</v>
      </c>
      <c r="AA29" s="23">
        <f t="shared" si="0"/>
        <v>0</v>
      </c>
      <c r="AB29" s="23">
        <f t="shared" si="1"/>
        <v>0</v>
      </c>
      <c r="AC29" s="23">
        <f t="shared" si="11"/>
        <v>0</v>
      </c>
      <c r="AD29" s="23">
        <f t="shared" si="2"/>
        <v>0</v>
      </c>
      <c r="AE29" s="23">
        <f t="shared" si="3"/>
        <v>0</v>
      </c>
      <c r="AF29" s="23">
        <f t="shared" si="4"/>
        <v>0</v>
      </c>
      <c r="AG29" s="23">
        <f t="shared" si="12"/>
        <v>0</v>
      </c>
      <c r="AH29" s="23">
        <f t="shared" si="13"/>
        <v>0</v>
      </c>
      <c r="AI29" s="23">
        <f t="shared" si="5"/>
        <v>0</v>
      </c>
      <c r="AJ29" s="23">
        <f t="shared" si="6"/>
        <v>0</v>
      </c>
      <c r="AK29" s="23">
        <f t="shared" si="7"/>
        <v>0</v>
      </c>
      <c r="AL29" s="23">
        <f t="shared" si="14"/>
        <v>0</v>
      </c>
      <c r="AM29" s="23">
        <f t="shared" si="15"/>
        <v>0</v>
      </c>
      <c r="AN29" s="24"/>
      <c r="AO29" s="23">
        <f t="shared" si="16"/>
        <v>0</v>
      </c>
      <c r="AP29" s="23">
        <f t="shared" ref="AP29:AP34" si="67">AO29/$AO$35</f>
        <v>0</v>
      </c>
      <c r="AQ29" s="23">
        <f t="shared" si="65"/>
        <v>0</v>
      </c>
      <c r="AR29" s="23">
        <f t="shared" si="66"/>
        <v>0</v>
      </c>
      <c r="AS29" s="30"/>
      <c r="AT29" s="31"/>
    </row>
    <row r="30" spans="1:46">
      <c r="A30" s="1114"/>
      <c r="B30" s="26" t="str">
        <f>'Fr-04.1'!B30</f>
        <v>สารดับเพลิง CO2</v>
      </c>
      <c r="C30" s="15" t="str">
        <f>'Fr-04.1'!C30</f>
        <v xml:space="preserve">Kg </v>
      </c>
      <c r="D30" s="27">
        <f>'Fr-04.1'!D30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19"/>
      <c r="O30" s="29"/>
      <c r="P30" s="21"/>
      <c r="Q30" s="22">
        <f t="shared" si="17"/>
        <v>1</v>
      </c>
      <c r="R30" s="28"/>
      <c r="S30" s="28"/>
      <c r="T30" s="28"/>
      <c r="U30" s="28"/>
      <c r="V30" s="28"/>
      <c r="W30" s="796" t="s">
        <v>2728</v>
      </c>
      <c r="X30" s="28"/>
      <c r="Y30" s="28"/>
      <c r="Z30" s="28" t="str">
        <f>'Fr-04.1'!Z30</f>
        <v>IPCC : GWP (AR5)</v>
      </c>
      <c r="AA30" s="23">
        <f t="shared" si="0"/>
        <v>0</v>
      </c>
      <c r="AB30" s="23">
        <f t="shared" si="1"/>
        <v>0</v>
      </c>
      <c r="AC30" s="23">
        <f t="shared" si="11"/>
        <v>0</v>
      </c>
      <c r="AD30" s="23">
        <f t="shared" si="2"/>
        <v>0</v>
      </c>
      <c r="AE30" s="23">
        <f t="shared" si="3"/>
        <v>0</v>
      </c>
      <c r="AF30" s="23">
        <f t="shared" si="4"/>
        <v>0</v>
      </c>
      <c r="AG30" s="23">
        <f t="shared" si="12"/>
        <v>0</v>
      </c>
      <c r="AH30" s="23">
        <f t="shared" si="13"/>
        <v>0</v>
      </c>
      <c r="AI30" s="23">
        <f t="shared" si="5"/>
        <v>0</v>
      </c>
      <c r="AJ30" s="23">
        <f t="shared" si="6"/>
        <v>0</v>
      </c>
      <c r="AK30" s="23">
        <f t="shared" si="7"/>
        <v>0</v>
      </c>
      <c r="AL30" s="23">
        <f t="shared" si="14"/>
        <v>0</v>
      </c>
      <c r="AM30" s="23">
        <f t="shared" si="15"/>
        <v>0</v>
      </c>
      <c r="AN30" s="24"/>
      <c r="AO30" s="23">
        <f t="shared" si="16"/>
        <v>0</v>
      </c>
      <c r="AP30" s="23">
        <f t="shared" si="67"/>
        <v>0</v>
      </c>
      <c r="AQ30" s="23">
        <f t="shared" si="65"/>
        <v>0</v>
      </c>
      <c r="AR30" s="23">
        <f t="shared" si="66"/>
        <v>0</v>
      </c>
      <c r="AS30" s="30"/>
      <c r="AT30" s="31"/>
    </row>
    <row r="31" spans="1:46">
      <c r="A31" s="1114"/>
      <c r="B31" s="26" t="str">
        <f>'Fr-04.1'!B31</f>
        <v>Septic tank</v>
      </c>
      <c r="C31" s="15" t="str">
        <f>'Fr-04.1'!C31</f>
        <v>kgCH4</v>
      </c>
      <c r="D31" s="27">
        <f>'Fr-04.1'!D31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17"/>
        <v>28</v>
      </c>
      <c r="R31" s="28"/>
      <c r="S31" s="28"/>
      <c r="T31" s="28"/>
      <c r="U31" s="28"/>
      <c r="V31" s="28"/>
      <c r="W31" s="796" t="s">
        <v>2728</v>
      </c>
      <c r="X31" s="28"/>
      <c r="Y31" s="28"/>
      <c r="Z31" s="28" t="str">
        <f>'Fr-04.1'!Z31</f>
        <v>IPCC : GWP (AR5)</v>
      </c>
      <c r="AA31" s="23">
        <f t="shared" si="0"/>
        <v>0</v>
      </c>
      <c r="AB31" s="23">
        <f t="shared" si="1"/>
        <v>0</v>
      </c>
      <c r="AC31" s="23">
        <f t="shared" si="11"/>
        <v>2.9702760000000006</v>
      </c>
      <c r="AD31" s="23">
        <f t="shared" si="2"/>
        <v>0</v>
      </c>
      <c r="AE31" s="23">
        <f t="shared" si="3"/>
        <v>0</v>
      </c>
      <c r="AF31" s="23">
        <f t="shared" si="4"/>
        <v>0</v>
      </c>
      <c r="AG31" s="23">
        <f t="shared" si="12"/>
        <v>0</v>
      </c>
      <c r="AH31" s="23">
        <f t="shared" si="13"/>
        <v>83.167728000000011</v>
      </c>
      <c r="AI31" s="23">
        <f t="shared" si="5"/>
        <v>0</v>
      </c>
      <c r="AJ31" s="23">
        <f t="shared" si="6"/>
        <v>0</v>
      </c>
      <c r="AK31" s="23">
        <f t="shared" si="7"/>
        <v>0</v>
      </c>
      <c r="AL31" s="23">
        <f t="shared" si="14"/>
        <v>0</v>
      </c>
      <c r="AM31" s="23">
        <f t="shared" si="15"/>
        <v>0</v>
      </c>
      <c r="AN31" s="24"/>
      <c r="AO31" s="23">
        <f t="shared" si="16"/>
        <v>83.167728000000011</v>
      </c>
      <c r="AP31" s="23">
        <f t="shared" si="67"/>
        <v>0.54176416782003034</v>
      </c>
      <c r="AQ31" s="23">
        <f t="shared" si="65"/>
        <v>1.2622647398334253E-2</v>
      </c>
      <c r="AR31" s="23">
        <f t="shared" si="66"/>
        <v>2.7142659402621932E-3</v>
      </c>
      <c r="AS31" s="30"/>
      <c r="AT31" s="31"/>
    </row>
    <row r="32" spans="1:46">
      <c r="A32" s="1114"/>
      <c r="B32" s="26" t="str">
        <f>'Fr-04.1'!B32</f>
        <v>ปุ๋ยเคมี 16-16-16</v>
      </c>
      <c r="C32" s="15" t="str">
        <f>'Fr-04.1'!C32</f>
        <v>Kg</v>
      </c>
      <c r="D32" s="27">
        <f>'Fr-04.1'!D32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28"/>
      <c r="O32" s="29"/>
      <c r="P32" s="21"/>
      <c r="Q32" s="22">
        <f t="shared" si="17"/>
        <v>0.66249999999999998</v>
      </c>
      <c r="R32" s="28"/>
      <c r="S32" s="28"/>
      <c r="T32" s="28"/>
      <c r="U32" s="28"/>
      <c r="V32" s="28"/>
      <c r="W32" s="796" t="s">
        <v>2728</v>
      </c>
      <c r="X32" s="28"/>
      <c r="Y32" s="28"/>
      <c r="Z32" s="28" t="str">
        <f>'Fr-04.1'!Z32</f>
        <v>IPCC : GWP (AR5)</v>
      </c>
      <c r="AA32" s="23">
        <f t="shared" si="0"/>
        <v>0</v>
      </c>
      <c r="AB32" s="23">
        <f t="shared" si="1"/>
        <v>0</v>
      </c>
      <c r="AC32" s="23">
        <f t="shared" si="11"/>
        <v>0</v>
      </c>
      <c r="AD32" s="23">
        <f t="shared" si="2"/>
        <v>1.25E-4</v>
      </c>
      <c r="AE32" s="23">
        <f t="shared" si="3"/>
        <v>0</v>
      </c>
      <c r="AF32" s="23">
        <f t="shared" si="4"/>
        <v>0</v>
      </c>
      <c r="AG32" s="23">
        <f t="shared" si="12"/>
        <v>0</v>
      </c>
      <c r="AH32" s="23">
        <f t="shared" si="13"/>
        <v>0</v>
      </c>
      <c r="AI32" s="23">
        <f t="shared" si="5"/>
        <v>3.3125000000000002E-2</v>
      </c>
      <c r="AJ32" s="23">
        <f t="shared" si="6"/>
        <v>0</v>
      </c>
      <c r="AK32" s="23">
        <f t="shared" si="7"/>
        <v>0</v>
      </c>
      <c r="AL32" s="23">
        <f t="shared" si="14"/>
        <v>0</v>
      </c>
      <c r="AM32" s="23">
        <f t="shared" si="15"/>
        <v>0</v>
      </c>
      <c r="AN32" s="24"/>
      <c r="AO32" s="23">
        <f t="shared" si="16"/>
        <v>3.3125000000000002E-2</v>
      </c>
      <c r="AP32" s="23">
        <f t="shared" si="67"/>
        <v>2.1578006867084917E-4</v>
      </c>
      <c r="AQ32" s="23">
        <f t="shared" si="65"/>
        <v>5.0274932972777873E-6</v>
      </c>
      <c r="AR32" s="23">
        <f t="shared" si="66"/>
        <v>1.0810690809202477E-6</v>
      </c>
      <c r="AS32" s="30"/>
      <c r="AT32" s="31"/>
    </row>
    <row r="33" spans="1:47">
      <c r="A33" s="1114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17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0"/>
        <v>0</v>
      </c>
      <c r="AB33" s="23">
        <f t="shared" si="1"/>
        <v>0</v>
      </c>
      <c r="AC33" s="23">
        <f t="shared" si="11"/>
        <v>0</v>
      </c>
      <c r="AD33" s="23">
        <f t="shared" si="2"/>
        <v>0</v>
      </c>
      <c r="AE33" s="23">
        <f t="shared" si="3"/>
        <v>0</v>
      </c>
      <c r="AF33" s="23">
        <f t="shared" si="4"/>
        <v>0</v>
      </c>
      <c r="AG33" s="23">
        <f t="shared" si="12"/>
        <v>0</v>
      </c>
      <c r="AH33" s="23">
        <f t="shared" si="13"/>
        <v>0</v>
      </c>
      <c r="AI33" s="23">
        <f t="shared" si="5"/>
        <v>0</v>
      </c>
      <c r="AJ33" s="23">
        <f t="shared" si="6"/>
        <v>0</v>
      </c>
      <c r="AK33" s="23">
        <f t="shared" si="7"/>
        <v>0</v>
      </c>
      <c r="AL33" s="23">
        <f t="shared" si="14"/>
        <v>0</v>
      </c>
      <c r="AM33" s="23">
        <f t="shared" si="15"/>
        <v>0</v>
      </c>
      <c r="AN33" s="24"/>
      <c r="AO33" s="23">
        <f t="shared" si="16"/>
        <v>0</v>
      </c>
      <c r="AP33" s="23">
        <f t="shared" si="67"/>
        <v>0</v>
      </c>
      <c r="AQ33" s="23">
        <f t="shared" si="65"/>
        <v>0</v>
      </c>
      <c r="AR33" s="23">
        <f t="shared" si="66"/>
        <v>0</v>
      </c>
      <c r="AS33" s="35"/>
      <c r="AT33" s="31"/>
    </row>
    <row r="34" spans="1:47">
      <c r="A34" s="1114"/>
      <c r="B34" s="26"/>
      <c r="C34" s="15"/>
      <c r="D34" s="36"/>
      <c r="E34" s="37"/>
      <c r="F34" s="37"/>
      <c r="G34" s="37"/>
      <c r="H34" s="37"/>
      <c r="I34" s="37"/>
      <c r="J34" s="37"/>
      <c r="K34" s="37"/>
      <c r="L34" s="37"/>
      <c r="M34" s="18"/>
      <c r="N34" s="38"/>
      <c r="O34" s="29"/>
      <c r="P34" s="21"/>
      <c r="Q34" s="22">
        <f t="shared" si="17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0"/>
        <v>0</v>
      </c>
      <c r="AB34" s="23">
        <f t="shared" si="1"/>
        <v>0</v>
      </c>
      <c r="AC34" s="23">
        <f t="shared" si="11"/>
        <v>0</v>
      </c>
      <c r="AD34" s="23">
        <f t="shared" si="2"/>
        <v>0</v>
      </c>
      <c r="AE34" s="23">
        <f t="shared" si="3"/>
        <v>0</v>
      </c>
      <c r="AF34" s="23">
        <f t="shared" si="4"/>
        <v>0</v>
      </c>
      <c r="AG34" s="23">
        <f t="shared" si="12"/>
        <v>0</v>
      </c>
      <c r="AH34" s="23">
        <f t="shared" si="13"/>
        <v>0</v>
      </c>
      <c r="AI34" s="23">
        <f t="shared" si="5"/>
        <v>0</v>
      </c>
      <c r="AJ34" s="23">
        <f t="shared" si="6"/>
        <v>0</v>
      </c>
      <c r="AK34" s="23">
        <f t="shared" si="7"/>
        <v>0</v>
      </c>
      <c r="AL34" s="23">
        <f t="shared" si="14"/>
        <v>0</v>
      </c>
      <c r="AM34" s="23">
        <f t="shared" si="15"/>
        <v>0</v>
      </c>
      <c r="AN34" s="24"/>
      <c r="AO34" s="23">
        <f t="shared" si="16"/>
        <v>0</v>
      </c>
      <c r="AP34" s="23">
        <f t="shared" si="67"/>
        <v>0</v>
      </c>
      <c r="AQ34" s="23">
        <f t="shared" si="65"/>
        <v>0</v>
      </c>
      <c r="AR34" s="23">
        <f t="shared" si="66"/>
        <v>0</v>
      </c>
      <c r="AS34" s="25"/>
      <c r="AT34" s="31"/>
    </row>
    <row r="35" spans="1:47">
      <c r="A35" s="1115"/>
      <c r="B35" s="39"/>
      <c r="C35" s="40"/>
      <c r="D35" s="41"/>
      <c r="E35" s="1136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8"/>
      <c r="R35" s="108"/>
      <c r="S35" s="108"/>
      <c r="T35" s="108"/>
      <c r="U35" s="108"/>
      <c r="V35" s="108"/>
      <c r="W35" s="108"/>
      <c r="X35" s="108"/>
      <c r="Y35" s="108"/>
      <c r="Z35" s="108"/>
      <c r="AA35" s="42">
        <f>SUM(AA10:AA34)</f>
        <v>65.750313548762094</v>
      </c>
      <c r="AB35" s="42">
        <f t="shared" ref="AB35:AN35" si="68">SUM(AB10:AB34)</f>
        <v>6.0896639262078807E-3</v>
      </c>
      <c r="AC35" s="42">
        <f>SUM(AC10:AC34)</f>
        <v>2.9729217135918242</v>
      </c>
      <c r="AD35" s="42">
        <f t="shared" si="68"/>
        <v>9.3723541403462392E-3</v>
      </c>
      <c r="AE35" s="42">
        <f t="shared" si="68"/>
        <v>0</v>
      </c>
      <c r="AF35" s="42">
        <f t="shared" si="68"/>
        <v>0</v>
      </c>
      <c r="AG35" s="42">
        <f t="shared" si="68"/>
        <v>0.18268991778623639</v>
      </c>
      <c r="AH35" s="42">
        <f t="shared" si="68"/>
        <v>83.241807980571082</v>
      </c>
      <c r="AI35" s="42">
        <f t="shared" si="68"/>
        <v>2.4836738471917537</v>
      </c>
      <c r="AJ35" s="42">
        <f t="shared" si="68"/>
        <v>0</v>
      </c>
      <c r="AK35" s="42">
        <f>SUM(AK10:AK34)</f>
        <v>0</v>
      </c>
      <c r="AL35" s="42">
        <f t="shared" si="68"/>
        <v>1.8543030000000005</v>
      </c>
      <c r="AM35" s="42">
        <f t="shared" si="68"/>
        <v>0</v>
      </c>
      <c r="AN35" s="42">
        <f t="shared" si="68"/>
        <v>0</v>
      </c>
      <c r="AO35" s="42">
        <f>SUM(AO10:AO34)</f>
        <v>153.51278829431121</v>
      </c>
      <c r="AP35" s="42">
        <f>SUM(AP10:AP34)</f>
        <v>0.99999999999999978</v>
      </c>
      <c r="AQ35" s="42"/>
      <c r="AR35" s="42"/>
      <c r="AS35" s="43"/>
    </row>
    <row r="36" spans="1:47">
      <c r="A36" s="1234" t="s">
        <v>32</v>
      </c>
      <c r="B36" s="44" t="str">
        <f>'Fr-04.1'!B37</f>
        <v>สารทำความเย็น R-22  Chiller/เครื่องปรับอากาศ/Air dryer</v>
      </c>
      <c r="C36" s="45" t="str">
        <f>'Fr-04.1'!C37</f>
        <v>kg</v>
      </c>
      <c r="D36" s="46">
        <f>'Fr-04.1'!D37</f>
        <v>102.6</v>
      </c>
      <c r="E36" s="17"/>
      <c r="F36" s="47"/>
      <c r="G36" s="48"/>
      <c r="H36" s="48"/>
      <c r="I36" s="48"/>
      <c r="J36" s="48"/>
      <c r="K36" s="48"/>
      <c r="L36" s="48"/>
      <c r="M36" s="48"/>
      <c r="N36" s="49"/>
      <c r="O36" s="17">
        <v>1</v>
      </c>
      <c r="P36" s="17">
        <f>'EF TGO AR5'!H55</f>
        <v>1760</v>
      </c>
      <c r="Q36" s="22">
        <f>(E36*$AV$8)+(O36*P36)</f>
        <v>1760</v>
      </c>
      <c r="R36" s="28"/>
      <c r="S36" s="28"/>
      <c r="T36" s="28"/>
      <c r="U36" s="28"/>
      <c r="V36" s="28"/>
      <c r="W36" s="796" t="s">
        <v>2728</v>
      </c>
      <c r="X36" s="28"/>
      <c r="Y36" s="28"/>
      <c r="Z36" s="28" t="str">
        <f>'Fr-04.1'!Z37</f>
        <v>IPCC : GWP (AR5)</v>
      </c>
      <c r="AA36" s="23">
        <f>D36*E36*$AV$8/1000</f>
        <v>0</v>
      </c>
      <c r="AB36" s="50"/>
      <c r="AC36" s="51"/>
      <c r="AD36" s="51"/>
      <c r="AE36" s="51"/>
      <c r="AF36" s="51"/>
      <c r="AG36" s="50"/>
      <c r="AH36" s="51"/>
      <c r="AI36" s="51"/>
      <c r="AJ36" s="51"/>
      <c r="AK36" s="51"/>
      <c r="AL36" s="51"/>
      <c r="AM36" s="51"/>
      <c r="AN36" s="23">
        <f t="shared" ref="AN36:AN42" si="69">D36*O36*P36/1000</f>
        <v>180.57599999999999</v>
      </c>
      <c r="AO36" s="23">
        <f t="shared" ref="AO36:AO42" si="70">D36*Q36/1000</f>
        <v>180.57599999999999</v>
      </c>
      <c r="AP36" s="23">
        <f t="shared" ref="AP36:AP42" si="71">AO36/$AO$43</f>
        <v>0.97522788707075636</v>
      </c>
      <c r="AQ36" s="23"/>
      <c r="AR36" s="23"/>
      <c r="AS36" s="30"/>
    </row>
    <row r="37" spans="1:47">
      <c r="A37" s="1122"/>
      <c r="B37" s="52" t="str">
        <f>'Fr-04.1'!B38</f>
        <v>สารดับเพลิง HCFC-123</v>
      </c>
      <c r="C37" s="83" t="str">
        <f>'Fr-04.1'!C38</f>
        <v xml:space="preserve">Kg </v>
      </c>
      <c r="D37" s="27">
        <f>'Fr-04.1'!D38</f>
        <v>0</v>
      </c>
      <c r="E37" s="19"/>
      <c r="F37" s="34"/>
      <c r="G37" s="215"/>
      <c r="H37" s="215"/>
      <c r="I37" s="215"/>
      <c r="J37" s="215"/>
      <c r="K37" s="215"/>
      <c r="L37" s="215"/>
      <c r="M37" s="215"/>
      <c r="N37" s="55"/>
      <c r="O37" s="28">
        <v>1</v>
      </c>
      <c r="P37" s="28">
        <f>'EF (1)'!E13</f>
        <v>79</v>
      </c>
      <c r="Q37" s="22">
        <f>(E37*$AV$8)+(O37*P37)</f>
        <v>79</v>
      </c>
      <c r="R37" s="28"/>
      <c r="S37" s="28"/>
      <c r="T37" s="28"/>
      <c r="U37" s="28"/>
      <c r="V37" s="28"/>
      <c r="W37" s="796" t="s">
        <v>2728</v>
      </c>
      <c r="X37" s="28"/>
      <c r="Y37" s="28"/>
      <c r="Z37" s="28" t="str">
        <f>'Fr-04.1'!Z38</f>
        <v>IPCC : GWP (AR5)</v>
      </c>
      <c r="AA37" s="23">
        <f>D37*E37*$AV$8/1000</f>
        <v>0</v>
      </c>
      <c r="AB37" s="56"/>
      <c r="AC37" s="216"/>
      <c r="AD37" s="216"/>
      <c r="AE37" s="216"/>
      <c r="AF37" s="216"/>
      <c r="AG37" s="56"/>
      <c r="AH37" s="216"/>
      <c r="AI37" s="216"/>
      <c r="AJ37" s="216"/>
      <c r="AK37" s="216"/>
      <c r="AL37" s="216"/>
      <c r="AM37" s="216"/>
      <c r="AN37" s="23">
        <f t="shared" ref="AN37" si="72">D37*O37*P37/1000</f>
        <v>0</v>
      </c>
      <c r="AO37" s="23">
        <f t="shared" ref="AO37" si="73">D37*Q37/1000</f>
        <v>0</v>
      </c>
      <c r="AP37" s="23">
        <f t="shared" si="71"/>
        <v>0</v>
      </c>
      <c r="AQ37" s="810"/>
      <c r="AR37" s="810"/>
      <c r="AS37" s="58"/>
    </row>
    <row r="38" spans="1:47">
      <c r="A38" s="1122"/>
      <c r="B38" s="52" t="str">
        <f>'Fr-04.1'!B39</f>
        <v>CO2 -Biodiesel (Stationary combustion)</v>
      </c>
      <c r="C38" s="53" t="str">
        <f>'Fr-04.1'!C39</f>
        <v>kg</v>
      </c>
      <c r="D38" s="54">
        <f>'Fr-04.1'!D39</f>
        <v>32.88599999999996</v>
      </c>
      <c r="E38" s="19">
        <f>'EF (1)'!F28*'EF (1)'!C28</f>
        <v>1.9116</v>
      </c>
      <c r="F38" s="34"/>
      <c r="G38" s="215"/>
      <c r="H38" s="21"/>
      <c r="I38" s="21"/>
      <c r="J38" s="21"/>
      <c r="K38" s="21"/>
      <c r="L38" s="21"/>
      <c r="M38" s="21"/>
      <c r="N38" s="55"/>
      <c r="O38" s="28"/>
      <c r="P38" s="28"/>
      <c r="Q38" s="22">
        <f t="shared" ref="Q38:Q42" si="74">(E38*$AV$8)+(O38*P38)</f>
        <v>1.9116</v>
      </c>
      <c r="R38" s="28"/>
      <c r="S38" s="28"/>
      <c r="T38" s="28"/>
      <c r="U38" s="28"/>
      <c r="V38" s="28"/>
      <c r="W38" s="796" t="s">
        <v>2728</v>
      </c>
      <c r="X38" s="28"/>
      <c r="Y38" s="28"/>
      <c r="Z38" s="28" t="str">
        <f>'Fr-04.1'!Z39</f>
        <v>IPCC, 2006</v>
      </c>
      <c r="AA38" s="23">
        <f t="shared" ref="AA38:AA42" si="75">D38*E38*$AV$8/1000</f>
        <v>6.2864877599999924E-2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 t="shared" si="69"/>
        <v>0</v>
      </c>
      <c r="AO38" s="23">
        <f t="shared" si="70"/>
        <v>6.2864877599999924E-2</v>
      </c>
      <c r="AP38" s="23">
        <f t="shared" si="71"/>
        <v>3.3951124043510571E-4</v>
      </c>
      <c r="AQ38" s="149"/>
      <c r="AR38" s="149"/>
      <c r="AS38" s="58"/>
    </row>
    <row r="39" spans="1:47">
      <c r="A39" s="1122"/>
      <c r="B39" s="52" t="str">
        <f>'Fr-04.1'!B40</f>
        <v>CO2-Biogasoline (Ethanol) (Stationary combustion)</v>
      </c>
      <c r="C39" s="53" t="str">
        <f>'Fr-04.1'!C40</f>
        <v>kg</v>
      </c>
      <c r="D39" s="54">
        <f>'Fr-04.1'!D40</f>
        <v>4.0721340000000019</v>
      </c>
      <c r="E39" s="19">
        <f>'EF (1)'!F29*'EF (1)'!C29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6" t="s">
        <v>2728</v>
      </c>
      <c r="X39" s="28"/>
      <c r="Y39" s="28"/>
      <c r="Z39" s="28" t="str">
        <f>'Fr-04.1'!Z40</f>
        <v>IPCC, 2006</v>
      </c>
      <c r="AA39" s="23">
        <f t="shared" si="75"/>
        <v>7.7842913544000029E-3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 t="shared" si="69"/>
        <v>0</v>
      </c>
      <c r="AO39" s="23">
        <f t="shared" si="70"/>
        <v>7.7842913544000029E-3</v>
      </c>
      <c r="AP39" s="23">
        <f t="shared" si="71"/>
        <v>4.2040237960164537E-5</v>
      </c>
      <c r="AQ39" s="149"/>
      <c r="AR39" s="149"/>
      <c r="AS39" s="58"/>
    </row>
    <row r="40" spans="1:47">
      <c r="A40" s="1122"/>
      <c r="B40" s="52" t="str">
        <f>'Fr-04.1'!B41</f>
        <v>CO2-Biodiesel (Mobile combustion-on road)</v>
      </c>
      <c r="C40" s="53" t="str">
        <f>'Fr-04.1'!C41</f>
        <v>kg</v>
      </c>
      <c r="D40" s="54">
        <f>'Fr-04.1'!D41</f>
        <v>1068.2666837999989</v>
      </c>
      <c r="E40" s="807">
        <f>'EF (1)'!C34</f>
        <v>2.8368489446681764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si="74"/>
        <v>2.8368489446681764</v>
      </c>
      <c r="R40" s="28"/>
      <c r="S40" s="28"/>
      <c r="T40" s="28"/>
      <c r="U40" s="28"/>
      <c r="V40" s="28"/>
      <c r="W40" s="796" t="s">
        <v>2728</v>
      </c>
      <c r="X40" s="28"/>
      <c r="Y40" s="28"/>
      <c r="Z40" s="28" t="str">
        <f>'Fr-04.1'!Z41</f>
        <v>IPCC, 2006</v>
      </c>
      <c r="AA40" s="23">
        <f t="shared" si="75"/>
        <v>3.0305112145621993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 t="shared" si="69"/>
        <v>0</v>
      </c>
      <c r="AO40" s="23">
        <f t="shared" si="70"/>
        <v>3.0305112145621993</v>
      </c>
      <c r="AP40" s="23">
        <f t="shared" si="71"/>
        <v>1.6366732281818876E-2</v>
      </c>
      <c r="AQ40" s="149"/>
      <c r="AR40" s="149"/>
      <c r="AS40" s="60"/>
      <c r="AT40" s="61"/>
    </row>
    <row r="41" spans="1:47">
      <c r="A41" s="1122"/>
      <c r="B41" s="52" t="str">
        <f>'Fr-04.1'!B42</f>
        <v>CO2-Biodiesel (Mobile combustion-off road)</v>
      </c>
      <c r="C41" s="53" t="str">
        <f>'Fr-04.1'!C42</f>
        <v>kg</v>
      </c>
      <c r="D41" s="54">
        <f>'Fr-04.1'!D42</f>
        <v>283.185</v>
      </c>
      <c r="E41" s="807">
        <f>'EF (1)'!C36</f>
        <v>2.8368489446681764</v>
      </c>
      <c r="F41" s="34"/>
      <c r="G41" s="215"/>
      <c r="H41" s="215"/>
      <c r="I41" s="215"/>
      <c r="J41" s="215"/>
      <c r="K41" s="215"/>
      <c r="L41" s="215"/>
      <c r="M41" s="834"/>
      <c r="N41" s="215"/>
      <c r="O41" s="19"/>
      <c r="P41" s="54"/>
      <c r="Q41" s="830">
        <f t="shared" si="74"/>
        <v>2.8368489446681764</v>
      </c>
      <c r="R41" s="28"/>
      <c r="S41" s="28"/>
      <c r="T41" s="28"/>
      <c r="U41" s="28"/>
      <c r="V41" s="28"/>
      <c r="W41" s="796" t="s">
        <v>2728</v>
      </c>
      <c r="X41" s="28"/>
      <c r="Y41" s="28"/>
      <c r="Z41" s="28" t="str">
        <f>'Fr-04.1'!Z42</f>
        <v>IPCC, 2006</v>
      </c>
      <c r="AA41" s="837">
        <f t="shared" si="75"/>
        <v>0.80335306839585763</v>
      </c>
      <c r="AB41" s="56"/>
      <c r="AC41" s="216"/>
      <c r="AD41" s="216"/>
      <c r="AE41" s="216"/>
      <c r="AF41" s="835"/>
      <c r="AG41" s="216"/>
      <c r="AH41" s="216"/>
      <c r="AI41" s="216"/>
      <c r="AJ41" s="216"/>
      <c r="AK41" s="216"/>
      <c r="AL41" s="216"/>
      <c r="AM41" s="835"/>
      <c r="AN41" s="810">
        <f t="shared" si="69"/>
        <v>0</v>
      </c>
      <c r="AO41" s="23">
        <f t="shared" si="70"/>
        <v>0.80335306839585763</v>
      </c>
      <c r="AP41" s="23">
        <f t="shared" si="71"/>
        <v>4.3386292500858428E-3</v>
      </c>
      <c r="AQ41" s="149"/>
      <c r="AR41" s="149"/>
      <c r="AS41" s="60"/>
      <c r="AT41" s="61"/>
    </row>
    <row r="42" spans="1:47">
      <c r="A42" s="1122"/>
      <c r="B42" s="52" t="str">
        <f>'Fr-04.1'!B43</f>
        <v>CO2-Biogasoline (Ethanol) (Mobile combustion)</v>
      </c>
      <c r="C42" s="53" t="str">
        <f>'Fr-04.1'!C43</f>
        <v>kg</v>
      </c>
      <c r="D42" s="54">
        <f>'Fr-04.1'!D43</f>
        <v>354.88458999999978</v>
      </c>
      <c r="E42" s="828">
        <f>'EF (1)'!C35</f>
        <v>1.9227721733334637</v>
      </c>
      <c r="F42" s="34"/>
      <c r="G42" s="215"/>
      <c r="H42" s="215"/>
      <c r="I42" s="215"/>
      <c r="J42" s="215"/>
      <c r="K42" s="215"/>
      <c r="L42" s="215"/>
      <c r="M42" s="834"/>
      <c r="N42" s="215"/>
      <c r="O42" s="19"/>
      <c r="P42" s="54"/>
      <c r="Q42" s="830">
        <f t="shared" si="74"/>
        <v>1.9227721733334637</v>
      </c>
      <c r="R42" s="795"/>
      <c r="S42" s="795"/>
      <c r="T42" s="795"/>
      <c r="U42" s="795"/>
      <c r="V42" s="795"/>
      <c r="W42" s="796" t="s">
        <v>2728</v>
      </c>
      <c r="X42" s="795"/>
      <c r="Y42" s="795"/>
      <c r="Z42" s="28" t="str">
        <f>'Fr-04.1'!Z43</f>
        <v>IPCC, 2006</v>
      </c>
      <c r="AA42" s="837">
        <f t="shared" si="75"/>
        <v>0.68236221439685485</v>
      </c>
      <c r="AB42" s="56"/>
      <c r="AC42" s="216"/>
      <c r="AD42" s="216"/>
      <c r="AE42" s="216"/>
      <c r="AF42" s="835"/>
      <c r="AG42" s="216"/>
      <c r="AH42" s="216"/>
      <c r="AI42" s="216"/>
      <c r="AJ42" s="216"/>
      <c r="AK42" s="216"/>
      <c r="AL42" s="216"/>
      <c r="AM42" s="835"/>
      <c r="AN42" s="810">
        <f t="shared" si="69"/>
        <v>0</v>
      </c>
      <c r="AO42" s="23">
        <f t="shared" si="70"/>
        <v>0.68236221439685485</v>
      </c>
      <c r="AP42" s="23">
        <f t="shared" si="71"/>
        <v>3.6851999189436426E-3</v>
      </c>
      <c r="AQ42" s="810"/>
      <c r="AR42" s="810"/>
      <c r="AS42" s="60"/>
      <c r="AT42" s="61"/>
    </row>
    <row r="43" spans="1:47">
      <c r="A43" s="1123"/>
      <c r="B43" s="1124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6"/>
      <c r="R43" s="109"/>
      <c r="S43" s="109"/>
      <c r="T43" s="109"/>
      <c r="U43" s="109"/>
      <c r="V43" s="109"/>
      <c r="W43" s="109"/>
      <c r="X43" s="109"/>
      <c r="Y43" s="109"/>
      <c r="Z43" s="109"/>
      <c r="AA43" s="68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8">
        <f>SUM(AO36:AO42)</f>
        <v>185.1628756663093</v>
      </c>
      <c r="AP43" s="150">
        <f>SUM(AP36:AP42)</f>
        <v>1</v>
      </c>
      <c r="AQ43" s="150"/>
      <c r="AR43" s="150"/>
      <c r="AS43" s="70"/>
      <c r="AT43" s="61"/>
    </row>
    <row r="44" spans="1:47">
      <c r="A44" s="1113" t="s">
        <v>33</v>
      </c>
      <c r="B44" s="71" t="str">
        <f>'Fr-04.1'!B45</f>
        <v>การใช้ไฟฟ้า โรงงาน/สำนักงาน</v>
      </c>
      <c r="C44" s="102" t="str">
        <f>'Fr-04.1'!C45</f>
        <v>kwh</v>
      </c>
      <c r="D44" s="72">
        <f>'Fr-04.1'!D45</f>
        <v>12873090.23</v>
      </c>
      <c r="E44" s="1127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9"/>
      <c r="Q44" s="73">
        <f>'Fr-04.1'!Q45</f>
        <v>0.49990000000000001</v>
      </c>
      <c r="R44" s="28"/>
      <c r="S44" s="28"/>
      <c r="T44" s="28"/>
      <c r="U44" s="796" t="s">
        <v>2728</v>
      </c>
      <c r="V44" s="28"/>
      <c r="W44" s="28"/>
      <c r="X44" s="28"/>
      <c r="Y44" s="28"/>
      <c r="Z44" s="28" t="str">
        <f>'Fr-04.1'!Z45</f>
        <v>TGO CFO EF (เมษายน 2565): ไฟฟ้า Grid mix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105"/>
      <c r="AO44" s="23">
        <f>D44*Q44/1000</f>
        <v>6435.2578059770003</v>
      </c>
      <c r="AP44" s="23">
        <f>AO44/$AO$48</f>
        <v>1</v>
      </c>
      <c r="AQ44" s="23">
        <f>AO44/$AO$57</f>
        <v>0.97670084485445807</v>
      </c>
      <c r="AR44" s="23">
        <f>AO44/$AO$58</f>
        <v>0.210021380884299</v>
      </c>
      <c r="AS44" s="25"/>
      <c r="AU44" s="74"/>
    </row>
    <row r="45" spans="1:47">
      <c r="A45" s="1114"/>
      <c r="B45" s="71" t="str">
        <f>'Fr-04.1'!B46</f>
        <v>การใช้ไฟฟ้า Solar cell โรงงาน</v>
      </c>
      <c r="C45" s="102" t="str">
        <f>'Fr-04.1'!C46</f>
        <v>kwh</v>
      </c>
      <c r="D45" s="27">
        <f>'Fr-04.1'!D46</f>
        <v>347500</v>
      </c>
      <c r="E45" s="1130"/>
      <c r="F45" s="1131"/>
      <c r="G45" s="1131"/>
      <c r="H45" s="1131"/>
      <c r="I45" s="1131"/>
      <c r="J45" s="1131"/>
      <c r="K45" s="1131"/>
      <c r="L45" s="1131"/>
      <c r="M45" s="1131"/>
      <c r="N45" s="1131"/>
      <c r="O45" s="1131"/>
      <c r="P45" s="1132"/>
      <c r="Q45" s="75">
        <f>'Fr-04.1'!Q46</f>
        <v>0</v>
      </c>
      <c r="R45" s="28"/>
      <c r="S45" s="28"/>
      <c r="T45" s="28"/>
      <c r="U45" s="796" t="s">
        <v>2728</v>
      </c>
      <c r="V45" s="28"/>
      <c r="W45" s="28"/>
      <c r="X45" s="28"/>
      <c r="Y45" s="28"/>
      <c r="Z45" s="28" t="str">
        <f>'Fr-04.1'!Z46</f>
        <v>ข้อกำหนด TGO</v>
      </c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7"/>
      <c r="AO45" s="23">
        <f>D45*Q45/1000</f>
        <v>0</v>
      </c>
      <c r="AP45" s="23">
        <f>AO45/$AO$48</f>
        <v>0</v>
      </c>
      <c r="AQ45" s="23">
        <f t="shared" ref="AQ45" si="76">AO45/$AO$57</f>
        <v>0</v>
      </c>
      <c r="AR45" s="23">
        <f t="shared" ref="AR45:AR47" si="77">AO45/$AO$58</f>
        <v>0</v>
      </c>
      <c r="AS45" s="30"/>
      <c r="AT45" s="31"/>
      <c r="AU45" s="76"/>
    </row>
    <row r="46" spans="1:47">
      <c r="A46" s="1114"/>
      <c r="B46" s="71"/>
      <c r="C46" s="15"/>
      <c r="D46" s="27"/>
      <c r="E46" s="1130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2"/>
      <c r="Q46" s="75"/>
      <c r="R46" s="28"/>
      <c r="S46" s="28"/>
      <c r="T46" s="28"/>
      <c r="U46" s="28"/>
      <c r="V46" s="28"/>
      <c r="W46" s="28"/>
      <c r="X46" s="28"/>
      <c r="Y46" s="28"/>
      <c r="Z46" s="28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107"/>
      <c r="AO46" s="23">
        <f>D46*Q46/1000</f>
        <v>0</v>
      </c>
      <c r="AP46" s="23">
        <f t="shared" ref="AP46:AP47" si="78">AO46/$AO$48</f>
        <v>0</v>
      </c>
      <c r="AQ46" s="23">
        <f>AO46/$AO$57</f>
        <v>0</v>
      </c>
      <c r="AR46" s="23">
        <f t="shared" si="77"/>
        <v>0</v>
      </c>
      <c r="AS46" s="25"/>
    </row>
    <row r="47" spans="1:47">
      <c r="A47" s="1114"/>
      <c r="B47" s="71"/>
      <c r="C47" s="15"/>
      <c r="D47" s="77"/>
      <c r="E47" s="1133"/>
      <c r="F47" s="1134"/>
      <c r="G47" s="1134"/>
      <c r="H47" s="1134"/>
      <c r="I47" s="1134"/>
      <c r="J47" s="1134"/>
      <c r="K47" s="1134"/>
      <c r="L47" s="1134"/>
      <c r="M47" s="1134"/>
      <c r="N47" s="1134"/>
      <c r="O47" s="1134"/>
      <c r="P47" s="1135"/>
      <c r="Q47" s="78"/>
      <c r="R47" s="28"/>
      <c r="S47" s="28"/>
      <c r="T47" s="28"/>
      <c r="U47" s="28"/>
      <c r="V47" s="28"/>
      <c r="W47" s="28"/>
      <c r="X47" s="28"/>
      <c r="Y47" s="28"/>
      <c r="Z47" s="2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109"/>
      <c r="AO47" s="23"/>
      <c r="AP47" s="23">
        <f t="shared" si="78"/>
        <v>0</v>
      </c>
      <c r="AQ47" s="23">
        <f>AO47/$AO$57</f>
        <v>0</v>
      </c>
      <c r="AR47" s="23">
        <f t="shared" si="77"/>
        <v>0</v>
      </c>
      <c r="AS47" s="25"/>
      <c r="AU47" s="79"/>
    </row>
    <row r="48" spans="1:47">
      <c r="A48" s="1115"/>
      <c r="B48" s="1110"/>
      <c r="C48" s="1111"/>
      <c r="D48" s="1111"/>
      <c r="E48" s="1111"/>
      <c r="F48" s="1111"/>
      <c r="G48" s="1111"/>
      <c r="H48" s="1111"/>
      <c r="I48" s="1111"/>
      <c r="J48" s="1111"/>
      <c r="K48" s="1111"/>
      <c r="L48" s="1111"/>
      <c r="M48" s="1111"/>
      <c r="N48" s="1111"/>
      <c r="O48" s="1111"/>
      <c r="P48" s="1111"/>
      <c r="Q48" s="1112"/>
      <c r="R48" s="111"/>
      <c r="S48" s="111"/>
      <c r="T48" s="111"/>
      <c r="U48" s="111"/>
      <c r="V48" s="111"/>
      <c r="W48" s="111"/>
      <c r="X48" s="111"/>
      <c r="Y48" s="111"/>
      <c r="Z48" s="111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>
        <f>SUM(AO44:AO47)</f>
        <v>6435.2578059770003</v>
      </c>
      <c r="AP48" s="68">
        <f>SUM(AP44:AP47)</f>
        <v>1</v>
      </c>
      <c r="AQ48" s="68"/>
      <c r="AR48" s="68"/>
      <c r="AS48" s="80"/>
    </row>
    <row r="49" spans="1:47">
      <c r="A49" s="1113" t="s">
        <v>34</v>
      </c>
      <c r="B49" s="814" t="str">
        <f>'Fr-04.1'!B50</f>
        <v>#Cat 1</v>
      </c>
      <c r="C49" s="81"/>
      <c r="D49" s="82"/>
      <c r="E49" s="1116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2"/>
      <c r="R49" s="28"/>
      <c r="S49" s="28"/>
      <c r="T49" s="28"/>
      <c r="U49" s="28"/>
      <c r="V49" s="28"/>
      <c r="W49" s="28"/>
      <c r="X49" s="28"/>
      <c r="Y49" s="28"/>
      <c r="Z49" s="28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5"/>
      <c r="AO49" s="23">
        <f t="shared" ref="AO49:AO54" si="79">D49*Q49/1000</f>
        <v>0</v>
      </c>
      <c r="AP49" s="23">
        <f>AO49/$AO$56</f>
        <v>0</v>
      </c>
      <c r="AQ49" s="23"/>
      <c r="AR49" s="23">
        <f>AO49/$AO$58</f>
        <v>0</v>
      </c>
      <c r="AS49" s="25"/>
    </row>
    <row r="50" spans="1:47">
      <c r="A50" s="1114"/>
      <c r="B50" s="71" t="str">
        <f>'Fr-04.1'!B51</f>
        <v>เม็ดพลาสติก LDPE</v>
      </c>
      <c r="C50" s="811" t="str">
        <f>'Fr-04.1'!C51</f>
        <v>Kg</v>
      </c>
      <c r="D50" s="52">
        <f>'Fr-04.1'!D51</f>
        <v>3887250</v>
      </c>
      <c r="E50" s="1118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3">
        <f>'Fr-04.1'!Q51</f>
        <v>2.6257999999999999</v>
      </c>
      <c r="R50" s="28"/>
      <c r="S50" s="28"/>
      <c r="T50" s="28"/>
      <c r="U50" s="796" t="s">
        <v>2728</v>
      </c>
      <c r="V50" s="28"/>
      <c r="W50" s="28"/>
      <c r="X50" s="28"/>
      <c r="Y50" s="28"/>
      <c r="Z50" s="28" t="str">
        <f>'Fr-04.1'!Z51</f>
        <v xml:space="preserve">TGO-CFP-EF-(ก.ค. 65)-6 LDPE </v>
      </c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7"/>
      <c r="AO50" s="23">
        <f t="shared" si="79"/>
        <v>10207.141049999998</v>
      </c>
      <c r="AP50" s="23">
        <f t="shared" ref="AP50:AP55" si="80">AO50/$AO$56</f>
        <v>0.42437462574945639</v>
      </c>
      <c r="AQ50" s="23"/>
      <c r="AR50" s="23">
        <f t="shared" ref="AR50:AR54" si="81">AO50/$AO$58</f>
        <v>0.33312074245273449</v>
      </c>
      <c r="AS50" s="30"/>
      <c r="AT50" s="31"/>
    </row>
    <row r="51" spans="1:47">
      <c r="A51" s="1114"/>
      <c r="B51" s="71" t="str">
        <f>'Fr-04.1'!B52</f>
        <v>เม็ดพลาสติก LLDPE</v>
      </c>
      <c r="C51" s="811" t="str">
        <f>'Fr-04.1'!C52</f>
        <v>Kg</v>
      </c>
      <c r="D51" s="52">
        <f>'Fr-04.1'!D52</f>
        <v>3753000</v>
      </c>
      <c r="E51" s="1118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  <c r="Q51" s="113">
        <f>'Fr-04.1'!Q52</f>
        <v>2.1356000000000002</v>
      </c>
      <c r="R51" s="28"/>
      <c r="S51" s="28"/>
      <c r="T51" s="28"/>
      <c r="U51" s="796" t="s">
        <v>2728</v>
      </c>
      <c r="V51" s="28"/>
      <c r="W51" s="28"/>
      <c r="X51" s="28"/>
      <c r="Y51" s="28"/>
      <c r="Z51" s="28" t="str">
        <f>'Fr-04.1'!Z52</f>
        <v xml:space="preserve">TGO-CFP-EF-(ก.ค. 65)-5 LLDPE </v>
      </c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7"/>
      <c r="AO51" s="23">
        <f t="shared" si="79"/>
        <v>8014.9068000000007</v>
      </c>
      <c r="AP51" s="23">
        <f t="shared" si="80"/>
        <v>0.33322975130894011</v>
      </c>
      <c r="AQ51" s="23"/>
      <c r="AR51" s="23">
        <f t="shared" si="81"/>
        <v>0.26157488084339453</v>
      </c>
      <c r="AS51" s="30"/>
    </row>
    <row r="52" spans="1:47">
      <c r="A52" s="1114"/>
      <c r="B52" s="71" t="str">
        <f>'Fr-04.1'!B53</f>
        <v>เม็ดพลาสติก HDPE</v>
      </c>
      <c r="C52" s="811" t="str">
        <f>'Fr-04.1'!C53</f>
        <v>Kg</v>
      </c>
      <c r="D52" s="52">
        <f>'Fr-04.1'!D53</f>
        <v>869250</v>
      </c>
      <c r="E52" s="1118"/>
      <c r="F52" s="1119"/>
      <c r="G52" s="1119"/>
      <c r="H52" s="1119"/>
      <c r="I52" s="1119"/>
      <c r="J52" s="1119"/>
      <c r="K52" s="1119"/>
      <c r="L52" s="1119"/>
      <c r="M52" s="1119"/>
      <c r="N52" s="1119"/>
      <c r="O52" s="1119"/>
      <c r="P52" s="1119"/>
      <c r="Q52" s="113">
        <f>'Fr-04.1'!Q53</f>
        <v>6.7070999999999996</v>
      </c>
      <c r="R52" s="28"/>
      <c r="S52" s="28"/>
      <c r="T52" s="28"/>
      <c r="U52" s="796" t="s">
        <v>2728</v>
      </c>
      <c r="V52" s="28"/>
      <c r="W52" s="28"/>
      <c r="X52" s="28"/>
      <c r="Y52" s="28"/>
      <c r="Z52" s="28" t="str">
        <f>'Fr-04.1'!Z53</f>
        <v xml:space="preserve">TGO-CFP-EF-(ก.ค. 65)-3 HDPE </v>
      </c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7"/>
      <c r="AO52" s="23">
        <f t="shared" si="79"/>
        <v>5830.146675</v>
      </c>
      <c r="AP52" s="23">
        <f t="shared" si="80"/>
        <v>0.24239562294160349</v>
      </c>
      <c r="AQ52" s="23"/>
      <c r="AR52" s="23">
        <f t="shared" si="81"/>
        <v>0.19027294513426377</v>
      </c>
      <c r="AS52" s="25"/>
      <c r="AU52" s="85"/>
    </row>
    <row r="53" spans="1:47">
      <c r="A53" s="1114"/>
      <c r="B53" s="71"/>
      <c r="C53" s="83"/>
      <c r="D53" s="84"/>
      <c r="E53" s="1118"/>
      <c r="F53" s="1119"/>
      <c r="G53" s="1119"/>
      <c r="H53" s="1119"/>
      <c r="I53" s="1119"/>
      <c r="J53" s="1119"/>
      <c r="K53" s="1119"/>
      <c r="L53" s="1119"/>
      <c r="M53" s="1119"/>
      <c r="N53" s="1119"/>
      <c r="O53" s="1119"/>
      <c r="P53" s="1119"/>
      <c r="Q53" s="113"/>
      <c r="R53" s="28"/>
      <c r="S53" s="28"/>
      <c r="T53" s="28"/>
      <c r="U53" s="28"/>
      <c r="V53" s="28"/>
      <c r="W53" s="28"/>
      <c r="X53" s="28"/>
      <c r="Y53" s="28"/>
      <c r="Z53" s="28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7"/>
      <c r="AO53" s="23">
        <f t="shared" si="79"/>
        <v>0</v>
      </c>
      <c r="AP53" s="23">
        <f t="shared" si="80"/>
        <v>0</v>
      </c>
      <c r="AQ53" s="23"/>
      <c r="AR53" s="23">
        <f t="shared" si="81"/>
        <v>0</v>
      </c>
      <c r="AS53" s="25"/>
    </row>
    <row r="54" spans="1:47">
      <c r="A54" s="1114"/>
      <c r="B54" s="52"/>
      <c r="C54" s="83"/>
      <c r="D54" s="27"/>
      <c r="E54" s="1118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107"/>
      <c r="AO54" s="23">
        <f t="shared" si="79"/>
        <v>0</v>
      </c>
      <c r="AP54" s="23">
        <f t="shared" si="80"/>
        <v>0</v>
      </c>
      <c r="AQ54" s="23"/>
      <c r="AR54" s="23">
        <f t="shared" si="81"/>
        <v>0</v>
      </c>
      <c r="AS54" s="25"/>
    </row>
    <row r="55" spans="1:47">
      <c r="A55" s="1114"/>
      <c r="B55" s="86"/>
      <c r="C55" s="83"/>
      <c r="D55" s="77"/>
      <c r="E55" s="1120"/>
      <c r="F55" s="1121"/>
      <c r="G55" s="1121"/>
      <c r="H55" s="1121"/>
      <c r="I55" s="1121"/>
      <c r="J55" s="1121"/>
      <c r="K55" s="1121"/>
      <c r="L55" s="1121"/>
      <c r="M55" s="1121"/>
      <c r="N55" s="1121"/>
      <c r="O55" s="1121"/>
      <c r="P55" s="1121"/>
      <c r="Q55" s="37"/>
      <c r="R55" s="28"/>
      <c r="S55" s="28"/>
      <c r="T55" s="28"/>
      <c r="U55" s="28"/>
      <c r="V55" s="28"/>
      <c r="W55" s="28"/>
      <c r="X55" s="28"/>
      <c r="Y55" s="28"/>
      <c r="Z55" s="28"/>
      <c r="AA55" s="1108"/>
      <c r="AB55" s="1108"/>
      <c r="AC55" s="1108"/>
      <c r="AD55" s="1108"/>
      <c r="AE55" s="1108"/>
      <c r="AF55" s="1108"/>
      <c r="AG55" s="1108"/>
      <c r="AH55" s="1108"/>
      <c r="AI55" s="1108"/>
      <c r="AJ55" s="1108"/>
      <c r="AK55" s="1108"/>
      <c r="AL55" s="1108"/>
      <c r="AM55" s="1108"/>
      <c r="AN55" s="1109"/>
      <c r="AO55" s="23"/>
      <c r="AP55" s="23">
        <f t="shared" si="80"/>
        <v>0</v>
      </c>
      <c r="AQ55" s="23"/>
      <c r="AR55" s="23">
        <f>AO55/$AO$58</f>
        <v>0</v>
      </c>
      <c r="AS55" s="25"/>
    </row>
    <row r="56" spans="1:47">
      <c r="A56" s="1115"/>
      <c r="B56" s="1110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2"/>
      <c r="R56" s="111"/>
      <c r="S56" s="111"/>
      <c r="T56" s="111"/>
      <c r="U56" s="111"/>
      <c r="V56" s="111"/>
      <c r="W56" s="111"/>
      <c r="X56" s="111"/>
      <c r="Y56" s="111"/>
      <c r="Z56" s="111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>
        <f>SUM(AO49:AO55)</f>
        <v>24052.194524999999</v>
      </c>
      <c r="AP56" s="150">
        <f>SUM(AP49:AP55)</f>
        <v>1</v>
      </c>
      <c r="AQ56" s="150"/>
      <c r="AR56" s="150"/>
      <c r="AS56" s="70"/>
    </row>
    <row r="57" spans="1:47">
      <c r="A57" s="87"/>
      <c r="B57" s="85"/>
      <c r="C57" s="88"/>
      <c r="D57" s="84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89">
        <f t="shared" ref="AA57:AN57" si="82">AA35+AA48</f>
        <v>65.750313548762094</v>
      </c>
      <c r="AB57" s="89">
        <f t="shared" si="82"/>
        <v>6.0896639262078807E-3</v>
      </c>
      <c r="AC57" s="89"/>
      <c r="AD57" s="89">
        <f t="shared" si="82"/>
        <v>9.3723541403462392E-3</v>
      </c>
      <c r="AE57" s="89">
        <f t="shared" si="82"/>
        <v>0</v>
      </c>
      <c r="AF57" s="89">
        <f t="shared" si="82"/>
        <v>0</v>
      </c>
      <c r="AG57" s="89">
        <f t="shared" si="82"/>
        <v>0.18268991778623639</v>
      </c>
      <c r="AH57" s="89"/>
      <c r="AI57" s="89">
        <f t="shared" si="82"/>
        <v>2.4836738471917537</v>
      </c>
      <c r="AJ57" s="89">
        <f t="shared" si="82"/>
        <v>0</v>
      </c>
      <c r="AK57" s="89">
        <f t="shared" si="82"/>
        <v>0</v>
      </c>
      <c r="AL57" s="89">
        <f t="shared" si="82"/>
        <v>1.8543030000000005</v>
      </c>
      <c r="AM57" s="89">
        <f t="shared" si="82"/>
        <v>0</v>
      </c>
      <c r="AN57" s="89">
        <f t="shared" si="82"/>
        <v>0</v>
      </c>
      <c r="AO57" s="89">
        <f>AO35+AO48</f>
        <v>6588.7705942713119</v>
      </c>
      <c r="AP57" s="89"/>
      <c r="AQ57" s="89">
        <f>SUM(AQ10:AQ34)+SUM(AQ44:AQ47)</f>
        <v>0.99999999999999989</v>
      </c>
      <c r="AR57" s="89">
        <f>SUM(AR10:AR34)+SUM(AR44:AR47)+SUM(AR49:AR55)</f>
        <v>1</v>
      </c>
      <c r="AS57" s="90"/>
      <c r="AT57" s="61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 t="shared" ref="AA58:AN58" si="83">AA35+AA48+AA56</f>
        <v>65.750313548762094</v>
      </c>
      <c r="AB58" s="89">
        <f t="shared" si="83"/>
        <v>6.0896639262078807E-3</v>
      </c>
      <c r="AC58" s="89"/>
      <c r="AD58" s="89">
        <f t="shared" si="83"/>
        <v>9.3723541403462392E-3</v>
      </c>
      <c r="AE58" s="89">
        <f t="shared" si="83"/>
        <v>0</v>
      </c>
      <c r="AF58" s="89">
        <f t="shared" si="83"/>
        <v>0</v>
      </c>
      <c r="AG58" s="89">
        <f t="shared" si="83"/>
        <v>0.18268991778623639</v>
      </c>
      <c r="AH58" s="89"/>
      <c r="AI58" s="89">
        <f t="shared" si="83"/>
        <v>2.4836738471917537</v>
      </c>
      <c r="AJ58" s="89">
        <f t="shared" si="83"/>
        <v>0</v>
      </c>
      <c r="AK58" s="89">
        <f t="shared" si="83"/>
        <v>0</v>
      </c>
      <c r="AL58" s="89">
        <f t="shared" si="83"/>
        <v>1.8543030000000005</v>
      </c>
      <c r="AM58" s="89">
        <f t="shared" si="83"/>
        <v>0</v>
      </c>
      <c r="AN58" s="89">
        <f t="shared" si="83"/>
        <v>0</v>
      </c>
      <c r="AO58" s="89">
        <f>AO35+AO48+AO56</f>
        <v>30640.96511927131</v>
      </c>
      <c r="AP58" s="89"/>
      <c r="AQ58" s="89"/>
      <c r="AR58" s="89"/>
      <c r="AS58" s="90"/>
      <c r="AT58" s="61"/>
    </row>
    <row r="59" spans="1:47">
      <c r="A59" s="91" t="s">
        <v>35</v>
      </c>
      <c r="B59" s="1048" t="str">
        <f>'Fr-04.1'!B60</f>
        <v>บริษัท อีโค เซ็นทริก คอร์ปอเรชั่น จำกัด</v>
      </c>
      <c r="C59" s="1049"/>
      <c r="D59" s="1049"/>
      <c r="E59" s="1049"/>
      <c r="F59" s="1049"/>
      <c r="G59" s="1049"/>
      <c r="H59" s="1049"/>
      <c r="I59" s="1049"/>
      <c r="J59" s="1049"/>
      <c r="K59" s="1049"/>
      <c r="L59" s="1049"/>
      <c r="M59" s="1049"/>
      <c r="N59" s="1049"/>
      <c r="O59" s="1049"/>
      <c r="P59" s="1049"/>
      <c r="Q59" s="1049"/>
      <c r="R59" s="110"/>
      <c r="S59" s="110"/>
      <c r="T59" s="110"/>
      <c r="U59" s="110"/>
      <c r="V59" s="110"/>
      <c r="W59" s="110"/>
      <c r="X59" s="110"/>
      <c r="Y59" s="110"/>
      <c r="Z59" s="110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819" cm="1">
        <f t="array" ref="AS59:AU59">'Fr-03.1'!K35:M35</f>
        <v>243829</v>
      </c>
      <c r="AT59">
        <v>0</v>
      </c>
      <c r="AU59">
        <v>0</v>
      </c>
    </row>
    <row r="60" spans="1:47">
      <c r="A60" s="85"/>
      <c r="B60" s="85"/>
      <c r="C60" s="93"/>
      <c r="D60" s="94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95"/>
    </row>
    <row r="61" spans="1:47">
      <c r="B61" s="85"/>
    </row>
    <row r="62" spans="1:47" ht="19.2">
      <c r="B62" s="96"/>
    </row>
    <row r="63" spans="1:47" ht="19.2">
      <c r="B63" s="96"/>
    </row>
    <row r="64" spans="1:47" ht="19.2">
      <c r="B64" s="96"/>
    </row>
  </sheetData>
  <mergeCells count="57">
    <mergeCell ref="AO4:AQ4"/>
    <mergeCell ref="AR4:AS4"/>
    <mergeCell ref="A5:AS5"/>
    <mergeCell ref="A6:A9"/>
    <mergeCell ref="B6:B9"/>
    <mergeCell ref="C6:D8"/>
    <mergeCell ref="E6:N7"/>
    <mergeCell ref="O6:P7"/>
    <mergeCell ref="Q6:Q9"/>
    <mergeCell ref="A1:A4"/>
    <mergeCell ref="B1:AN2"/>
    <mergeCell ref="AO1:AS2"/>
    <mergeCell ref="C3:F3"/>
    <mergeCell ref="AO3:AQ3"/>
    <mergeCell ref="AR3:AS3"/>
    <mergeCell ref="C4:F4"/>
    <mergeCell ref="AA6:AF8"/>
    <mergeCell ref="AG6:AN8"/>
    <mergeCell ref="AO6:AO7"/>
    <mergeCell ref="V8:V9"/>
    <mergeCell ref="W8:W9"/>
    <mergeCell ref="T8:T9"/>
    <mergeCell ref="U8:U9"/>
    <mergeCell ref="R6:X6"/>
    <mergeCell ref="Y6:Y9"/>
    <mergeCell ref="Z6:Z9"/>
    <mergeCell ref="AP6:AP9"/>
    <mergeCell ref="AQ6:AQ9"/>
    <mergeCell ref="AR6:AR9"/>
    <mergeCell ref="AS6:AS9"/>
    <mergeCell ref="AU6:AV6"/>
    <mergeCell ref="A49:A56"/>
    <mergeCell ref="E49:P55"/>
    <mergeCell ref="AA49:AN55"/>
    <mergeCell ref="B56:Q56"/>
    <mergeCell ref="A10:A35"/>
    <mergeCell ref="E35:Q35"/>
    <mergeCell ref="A36:A43"/>
    <mergeCell ref="B43:Q43"/>
    <mergeCell ref="A44:A48"/>
    <mergeCell ref="E44:P47"/>
    <mergeCell ref="B59:Q59"/>
    <mergeCell ref="I3:AA3"/>
    <mergeCell ref="I4:AA4"/>
    <mergeCell ref="AB3:AD3"/>
    <mergeCell ref="AE3:AN3"/>
    <mergeCell ref="AA44:AN47"/>
    <mergeCell ref="B48:Q48"/>
    <mergeCell ref="E8:L8"/>
    <mergeCell ref="M8:N8"/>
    <mergeCell ref="O8:O9"/>
    <mergeCell ref="P8:P9"/>
    <mergeCell ref="R8:R9"/>
    <mergeCell ref="S8:S9"/>
    <mergeCell ref="R7:S7"/>
    <mergeCell ref="T7:W7"/>
    <mergeCell ref="X7:X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7"/>
  <sheetViews>
    <sheetView topLeftCell="A21" zoomScale="115" zoomScaleNormal="115" workbookViewId="0">
      <selection activeCell="M5" sqref="M5"/>
    </sheetView>
  </sheetViews>
  <sheetFormatPr defaultColWidth="9.09765625" defaultRowHeight="13.8"/>
  <cols>
    <col min="1" max="1" width="13.59765625" style="225" customWidth="1"/>
    <col min="2" max="3" width="14.59765625" style="225" customWidth="1"/>
    <col min="4" max="4" width="13.69921875" style="225" customWidth="1"/>
    <col min="5" max="5" width="13.296875" style="225" customWidth="1"/>
    <col min="6" max="9" width="9.09765625" style="225"/>
    <col min="10" max="10" width="9.59765625" style="225" bestFit="1" customWidth="1"/>
    <col min="11" max="16384" width="9.09765625" style="225"/>
  </cols>
  <sheetData>
    <row r="1" spans="1:18" ht="15" customHeight="1">
      <c r="A1" s="1268"/>
      <c r="B1" s="1274" t="s">
        <v>39</v>
      </c>
      <c r="C1" s="1274"/>
      <c r="D1" s="1274"/>
      <c r="E1" s="1274"/>
      <c r="F1" s="1274"/>
      <c r="G1" s="1274"/>
      <c r="H1" s="1274"/>
      <c r="I1" s="1272" t="s">
        <v>264</v>
      </c>
      <c r="J1" s="1273"/>
      <c r="K1" s="126"/>
      <c r="L1" s="126"/>
      <c r="M1" s="126"/>
      <c r="N1" s="126"/>
      <c r="O1" s="126"/>
      <c r="P1" s="126"/>
      <c r="Q1" s="126"/>
      <c r="R1" s="126"/>
    </row>
    <row r="2" spans="1:18" ht="15" customHeight="1">
      <c r="A2" s="1269"/>
      <c r="B2" s="1274"/>
      <c r="C2" s="1274"/>
      <c r="D2" s="1274"/>
      <c r="E2" s="1274"/>
      <c r="F2" s="1274"/>
      <c r="G2" s="1274"/>
      <c r="H2" s="1274"/>
      <c r="I2" s="1273"/>
      <c r="J2" s="1273"/>
      <c r="K2" s="126"/>
      <c r="L2" s="126"/>
      <c r="M2" s="126"/>
      <c r="N2" s="126"/>
      <c r="O2" s="126"/>
      <c r="P2" s="126"/>
      <c r="Q2" s="126"/>
      <c r="R2" s="126"/>
    </row>
    <row r="3" spans="1:18" ht="15" customHeight="1">
      <c r="A3" s="1269"/>
      <c r="B3" s="220" t="s">
        <v>0</v>
      </c>
      <c r="C3" s="1271" t="s">
        <v>97</v>
      </c>
      <c r="D3" s="1271"/>
      <c r="E3" s="220" t="s">
        <v>98</v>
      </c>
      <c r="F3" s="1275" t="str">
        <f>'Fr-01'!$B$6</f>
        <v>บริษัท มัลติแบกซ์ จำกัด (มหาชน)</v>
      </c>
      <c r="G3" s="1276"/>
      <c r="H3" s="1277"/>
      <c r="I3" s="221" t="s">
        <v>99</v>
      </c>
      <c r="J3" s="222">
        <v>6</v>
      </c>
      <c r="K3" s="126"/>
      <c r="L3" s="126"/>
      <c r="M3" s="126"/>
      <c r="N3" s="126"/>
      <c r="O3" s="126"/>
      <c r="P3" s="126"/>
      <c r="Q3" s="126"/>
      <c r="R3" s="126"/>
    </row>
    <row r="4" spans="1:18" ht="15" customHeight="1">
      <c r="A4" s="1270"/>
      <c r="B4" s="220" t="s">
        <v>1</v>
      </c>
      <c r="C4" s="1271" t="s">
        <v>40</v>
      </c>
      <c r="D4" s="1271"/>
      <c r="E4" s="220" t="s">
        <v>101</v>
      </c>
      <c r="F4" s="1275" t="str">
        <f>'Fr-01'!$G$4</f>
        <v>บริษัท อีโค เซ็นทริก คอร์ปอเรชั่น จำกัด</v>
      </c>
      <c r="G4" s="1276"/>
      <c r="H4" s="1277"/>
      <c r="I4" s="221" t="s">
        <v>102</v>
      </c>
      <c r="J4" s="818">
        <f>'Fr-01'!J4</f>
        <v>243820</v>
      </c>
      <c r="K4" s="126"/>
      <c r="L4" s="126"/>
      <c r="M4" s="126"/>
      <c r="N4" s="126"/>
      <c r="O4" s="126"/>
      <c r="P4" s="126"/>
      <c r="Q4" s="126"/>
      <c r="R4" s="126"/>
    </row>
    <row r="5" spans="1:18" s="228" customFormat="1" ht="15" customHeight="1">
      <c r="A5" s="223" t="s">
        <v>204</v>
      </c>
      <c r="B5" s="224" t="str">
        <f>'Fr-01'!H36</f>
        <v>1 มกราคม - 31 ธันวาคม 2566</v>
      </c>
      <c r="C5" s="226"/>
      <c r="D5" s="226"/>
      <c r="E5" s="226"/>
      <c r="F5" s="226"/>
      <c r="G5" s="226"/>
      <c r="H5" s="226"/>
      <c r="I5" s="226"/>
      <c r="J5" s="227"/>
      <c r="K5" s="229"/>
      <c r="L5" s="229"/>
      <c r="M5" s="229"/>
      <c r="N5" s="229"/>
      <c r="O5" s="229"/>
      <c r="P5" s="229"/>
      <c r="Q5" s="229"/>
      <c r="R5" s="229"/>
    </row>
    <row r="6" spans="1:18">
      <c r="A6" s="1264"/>
      <c r="B6" s="1251" t="s">
        <v>3</v>
      </c>
      <c r="C6" s="1252" t="s">
        <v>41</v>
      </c>
      <c r="D6" s="1254" t="s">
        <v>42</v>
      </c>
      <c r="E6" s="1254" t="s">
        <v>43</v>
      </c>
      <c r="F6" s="1265"/>
      <c r="G6" s="1266"/>
      <c r="H6" s="1266"/>
      <c r="I6" s="1266"/>
      <c r="J6" s="1267"/>
    </row>
    <row r="7" spans="1:18">
      <c r="A7" s="1264"/>
      <c r="B7" s="1251"/>
      <c r="C7" s="1252"/>
      <c r="D7" s="1254"/>
      <c r="E7" s="1254"/>
      <c r="F7" s="1265"/>
      <c r="G7" s="1266"/>
      <c r="H7" s="1266"/>
      <c r="I7" s="1266"/>
      <c r="J7" s="1267"/>
      <c r="L7" s="71"/>
      <c r="M7" s="71"/>
    </row>
    <row r="8" spans="1:18">
      <c r="A8" s="1264"/>
      <c r="B8" s="1251"/>
      <c r="C8" s="1252"/>
      <c r="D8" s="1254"/>
      <c r="E8" s="1254"/>
      <c r="F8" s="1265"/>
      <c r="G8" s="1266"/>
      <c r="H8" s="1266"/>
      <c r="I8" s="1266"/>
      <c r="J8" s="1267"/>
      <c r="L8" s="71"/>
      <c r="M8" s="71"/>
    </row>
    <row r="9" spans="1:18">
      <c r="A9" s="1264"/>
      <c r="B9" s="1251"/>
      <c r="C9" s="1253"/>
      <c r="D9" s="1255"/>
      <c r="E9" s="1255"/>
      <c r="F9" s="1265"/>
      <c r="G9" s="1266"/>
      <c r="H9" s="1266"/>
      <c r="I9" s="1266"/>
      <c r="J9" s="1267"/>
      <c r="L9" s="71"/>
      <c r="M9" s="71"/>
    </row>
    <row r="10" spans="1:18" ht="32.25" customHeight="1">
      <c r="A10" s="1264"/>
      <c r="B10" s="100" t="s">
        <v>129</v>
      </c>
      <c r="C10" s="105">
        <f>ROUNDUP('Fr-04.1'!AO36,0)</f>
        <v>154</v>
      </c>
      <c r="D10" s="101">
        <f>C10/C$14%</f>
        <v>2.3368740515933228</v>
      </c>
      <c r="E10" s="101">
        <f>C10/SUM(C10:C12)%</f>
        <v>0.50256175961883631</v>
      </c>
      <c r="F10" s="1265"/>
      <c r="G10" s="1266"/>
      <c r="H10" s="1266"/>
      <c r="I10" s="1266"/>
      <c r="J10" s="1267"/>
      <c r="L10" s="102"/>
      <c r="M10" s="102"/>
    </row>
    <row r="11" spans="1:18" ht="32.25" customHeight="1">
      <c r="A11" s="1264"/>
      <c r="B11" s="103" t="s">
        <v>106</v>
      </c>
      <c r="C11" s="105">
        <f>ROUNDUP('Fr-04.1'!AO49,0)</f>
        <v>6436</v>
      </c>
      <c r="D11" s="101">
        <f>C11/C$14%</f>
        <v>97.663125948406673</v>
      </c>
      <c r="E11" s="101">
        <f>C11/SUM(C10:C12)%</f>
        <v>21.003165486407987</v>
      </c>
      <c r="F11" s="1265"/>
      <c r="G11" s="1266"/>
      <c r="H11" s="1266"/>
      <c r="I11" s="1266"/>
      <c r="J11" s="1267"/>
    </row>
    <row r="12" spans="1:18" ht="32.25" customHeight="1">
      <c r="A12" s="1264"/>
      <c r="B12" s="103" t="s">
        <v>107</v>
      </c>
      <c r="C12" s="105">
        <f>ROUNDUP('Fr-04.1'!AO57,0)</f>
        <v>24053</v>
      </c>
      <c r="D12" s="1259"/>
      <c r="E12" s="101">
        <f>C12/SUM(C10:C12)%</f>
        <v>78.494272753973178</v>
      </c>
      <c r="F12" s="1265"/>
      <c r="G12" s="1266"/>
      <c r="H12" s="1266"/>
      <c r="I12" s="1266"/>
      <c r="J12" s="1267"/>
    </row>
    <row r="13" spans="1:18" ht="32.25" customHeight="1">
      <c r="A13" s="1264"/>
      <c r="B13" s="104" t="s">
        <v>38</v>
      </c>
      <c r="C13" s="169">
        <f>ROUNDUP('Fr-04.1'!AO44,0)</f>
        <v>186</v>
      </c>
      <c r="D13" s="1260"/>
      <c r="E13" s="105"/>
      <c r="F13" s="1265"/>
      <c r="G13" s="1266"/>
      <c r="H13" s="1266"/>
      <c r="I13" s="1266"/>
      <c r="J13" s="1267"/>
    </row>
    <row r="14" spans="1:18" ht="32.25" customHeight="1">
      <c r="A14" s="1264"/>
      <c r="B14" s="186" t="s">
        <v>44</v>
      </c>
      <c r="C14" s="130">
        <f>SUM(C10:C11)</f>
        <v>6590</v>
      </c>
      <c r="D14" s="106">
        <f>SUM(D10:D11)</f>
        <v>100</v>
      </c>
      <c r="E14" s="106"/>
      <c r="F14" s="1265"/>
      <c r="G14" s="1266"/>
      <c r="H14" s="1266"/>
      <c r="I14" s="1266"/>
      <c r="J14" s="1267"/>
    </row>
    <row r="15" spans="1:18" ht="32.25" customHeight="1">
      <c r="A15" s="1264"/>
      <c r="B15" s="186" t="s">
        <v>142</v>
      </c>
      <c r="C15" s="130">
        <f>SUM(C10:C12)</f>
        <v>30643</v>
      </c>
      <c r="D15" s="106"/>
      <c r="E15" s="106">
        <f>SUM(E10:E12)</f>
        <v>100</v>
      </c>
      <c r="F15" s="1265"/>
      <c r="G15" s="1266"/>
      <c r="H15" s="1266"/>
      <c r="I15" s="1266"/>
      <c r="J15" s="1267"/>
    </row>
    <row r="16" spans="1:18">
      <c r="A16" s="187"/>
      <c r="B16" s="185"/>
      <c r="C16" s="185"/>
      <c r="D16" s="185"/>
      <c r="E16" s="185"/>
      <c r="F16" s="185"/>
      <c r="G16" s="185"/>
      <c r="H16" s="185"/>
      <c r="I16" s="185"/>
      <c r="J16" s="188"/>
    </row>
    <row r="17" spans="1:10">
      <c r="A17" s="187"/>
      <c r="B17" s="1261" t="s">
        <v>177</v>
      </c>
      <c r="C17" s="1262"/>
      <c r="D17" s="191">
        <f>C14/'Fr-01'!H37</f>
        <v>0.68746088045065723</v>
      </c>
      <c r="E17" s="193" t="s">
        <v>181</v>
      </c>
      <c r="F17" s="194" t="str">
        <f>'Fr-01'!J37</f>
        <v>ตัน</v>
      </c>
      <c r="G17" s="185"/>
      <c r="H17" s="185"/>
      <c r="I17" s="185"/>
      <c r="J17" s="188"/>
    </row>
    <row r="18" spans="1:10">
      <c r="A18" s="187"/>
      <c r="B18" s="1261" t="s">
        <v>178</v>
      </c>
      <c r="C18" s="1262"/>
      <c r="D18" s="192">
        <f>C15/'Fr-01'!H37</f>
        <v>3.1966409346964322</v>
      </c>
      <c r="E18" s="193" t="s">
        <v>181</v>
      </c>
      <c r="F18" s="194" t="str">
        <f>'Fr-01'!J37</f>
        <v>ตัน</v>
      </c>
      <c r="G18" s="185"/>
      <c r="H18" s="185"/>
      <c r="I18" s="185"/>
      <c r="J18" s="188"/>
    </row>
    <row r="19" spans="1:10">
      <c r="A19" s="182"/>
      <c r="B19" s="183"/>
      <c r="C19" s="183"/>
      <c r="D19" s="183"/>
      <c r="E19" s="183"/>
      <c r="F19" s="183"/>
      <c r="G19" s="183"/>
      <c r="H19" s="183"/>
      <c r="I19" s="183"/>
      <c r="J19" s="184"/>
    </row>
    <row r="20" spans="1:10" s="228" customFormat="1" ht="13.2">
      <c r="A20" s="223" t="s">
        <v>203</v>
      </c>
      <c r="B20" s="224" t="str">
        <f>'Fr-01'!H38</f>
        <v>1 มกราคม - 31 ธันวาคม 2566</v>
      </c>
      <c r="C20" s="226"/>
      <c r="D20" s="226"/>
      <c r="E20" s="226"/>
      <c r="F20" s="226"/>
      <c r="G20" s="226"/>
      <c r="H20" s="226"/>
      <c r="I20" s="226"/>
      <c r="J20" s="227"/>
    </row>
    <row r="21" spans="1:10">
      <c r="A21" s="230"/>
      <c r="B21" s="231"/>
      <c r="C21" s="231"/>
      <c r="D21" s="231"/>
      <c r="E21" s="231"/>
      <c r="F21" s="231"/>
      <c r="G21" s="231"/>
      <c r="H21" s="231"/>
      <c r="I21" s="231"/>
      <c r="J21" s="232"/>
    </row>
    <row r="22" spans="1:10" ht="15" customHeight="1">
      <c r="A22" s="230"/>
      <c r="B22" s="1256" t="s">
        <v>3</v>
      </c>
      <c r="C22" s="1257" t="s">
        <v>41</v>
      </c>
      <c r="D22" s="1258" t="s">
        <v>42</v>
      </c>
      <c r="E22" s="1258" t="s">
        <v>43</v>
      </c>
      <c r="F22" s="187"/>
      <c r="G22" s="1263" t="s">
        <v>207</v>
      </c>
      <c r="H22" s="1263"/>
      <c r="I22" s="1263"/>
      <c r="J22" s="188"/>
    </row>
    <row r="23" spans="1:10">
      <c r="A23" s="187"/>
      <c r="B23" s="1251"/>
      <c r="C23" s="1252"/>
      <c r="D23" s="1254"/>
      <c r="E23" s="1254"/>
      <c r="F23" s="187"/>
      <c r="G23" s="185"/>
      <c r="H23" s="185"/>
      <c r="I23" s="185"/>
      <c r="J23" s="188"/>
    </row>
    <row r="24" spans="1:10">
      <c r="A24" s="230"/>
      <c r="B24" s="1251"/>
      <c r="C24" s="1252"/>
      <c r="D24" s="1254"/>
      <c r="E24" s="1254"/>
      <c r="F24" s="187"/>
      <c r="G24" s="185"/>
      <c r="H24" s="185"/>
      <c r="I24" s="185"/>
      <c r="J24" s="188"/>
    </row>
    <row r="25" spans="1:10">
      <c r="A25" s="230"/>
      <c r="B25" s="1251"/>
      <c r="C25" s="1253"/>
      <c r="D25" s="1255"/>
      <c r="E25" s="1255"/>
      <c r="F25" s="187"/>
      <c r="G25" s="185"/>
      <c r="H25" s="185"/>
      <c r="I25" s="185"/>
      <c r="J25" s="188"/>
    </row>
    <row r="26" spans="1:10" ht="32.25" customHeight="1">
      <c r="A26" s="230"/>
      <c r="B26" s="100" t="s">
        <v>129</v>
      </c>
      <c r="C26" s="105">
        <f>ROUNDUP('Fr-04.2'!AO35,0)</f>
        <v>154</v>
      </c>
      <c r="D26" s="101">
        <f>C26/C$14%</f>
        <v>2.3368740515933228</v>
      </c>
      <c r="E26" s="101">
        <f>C26/SUM(C26:C28)%</f>
        <v>0.50256175961883631</v>
      </c>
      <c r="F26" s="187"/>
      <c r="G26" s="185"/>
      <c r="H26" s="185"/>
      <c r="I26" s="185"/>
      <c r="J26" s="188"/>
    </row>
    <row r="27" spans="1:10" ht="32.25" customHeight="1">
      <c r="A27" s="230"/>
      <c r="B27" s="103" t="s">
        <v>106</v>
      </c>
      <c r="C27" s="105">
        <f>ROUNDUP('Fr-04.2'!AO48,0)</f>
        <v>6436</v>
      </c>
      <c r="D27" s="101">
        <f>C27/C$14%</f>
        <v>97.663125948406673</v>
      </c>
      <c r="E27" s="101">
        <f>C27/SUM(C26:C28)%</f>
        <v>21.003165486407987</v>
      </c>
      <c r="F27" s="187"/>
      <c r="G27" s="185"/>
      <c r="H27" s="185"/>
      <c r="I27" s="185"/>
      <c r="J27" s="188"/>
    </row>
    <row r="28" spans="1:10" ht="32.25" customHeight="1">
      <c r="A28" s="230"/>
      <c r="B28" s="103" t="s">
        <v>107</v>
      </c>
      <c r="C28" s="105">
        <f>ROUNDUP('Fr-04.2'!AO56,0)</f>
        <v>24053</v>
      </c>
      <c r="D28" s="1259"/>
      <c r="E28" s="101">
        <f>C28/SUM(C26:C28)%</f>
        <v>78.494272753973178</v>
      </c>
      <c r="F28" s="187"/>
      <c r="G28" s="185"/>
      <c r="H28" s="185"/>
      <c r="I28" s="185"/>
      <c r="J28" s="188"/>
    </row>
    <row r="29" spans="1:10" ht="32.25" customHeight="1">
      <c r="A29" s="230"/>
      <c r="B29" s="104" t="s">
        <v>38</v>
      </c>
      <c r="C29" s="169">
        <f>ROUNDUP('Fr-04.2'!AO43,0)</f>
        <v>186</v>
      </c>
      <c r="D29" s="1260"/>
      <c r="E29" s="105"/>
      <c r="F29" s="187"/>
      <c r="G29" s="185"/>
      <c r="H29" s="185"/>
      <c r="I29" s="185"/>
      <c r="J29" s="188"/>
    </row>
    <row r="30" spans="1:10">
      <c r="A30" s="230"/>
      <c r="B30" s="186" t="s">
        <v>44</v>
      </c>
      <c r="C30" s="130">
        <f>SUM(C26:C27)</f>
        <v>6590</v>
      </c>
      <c r="D30" s="106">
        <f>SUM(D26:D27)</f>
        <v>100</v>
      </c>
      <c r="E30" s="106"/>
      <c r="F30" s="187"/>
      <c r="G30" s="185"/>
      <c r="H30" s="185"/>
      <c r="I30" s="185"/>
      <c r="J30" s="188"/>
    </row>
    <row r="31" spans="1:10" ht="22.8">
      <c r="A31" s="230"/>
      <c r="B31" s="186" t="s">
        <v>142</v>
      </c>
      <c r="C31" s="130">
        <f>SUM(C26:C28)</f>
        <v>30643</v>
      </c>
      <c r="D31" s="106"/>
      <c r="E31" s="106">
        <f>SUM(E26:E28)</f>
        <v>100</v>
      </c>
      <c r="F31" s="187"/>
      <c r="G31" s="185"/>
      <c r="H31" s="185"/>
      <c r="I31" s="185"/>
      <c r="J31" s="188"/>
    </row>
    <row r="32" spans="1:10">
      <c r="A32" s="230"/>
      <c r="B32" s="185"/>
      <c r="C32" s="185"/>
      <c r="D32" s="185"/>
      <c r="E32" s="185"/>
      <c r="F32" s="185"/>
      <c r="G32" s="185"/>
      <c r="H32" s="185"/>
      <c r="I32" s="185"/>
      <c r="J32" s="188"/>
    </row>
    <row r="33" spans="1:10">
      <c r="A33" s="230"/>
      <c r="B33" s="1261" t="s">
        <v>177</v>
      </c>
      <c r="C33" s="1262"/>
      <c r="D33" s="191">
        <f>C30/'Fr-01'!H39</f>
        <v>0.68746088045065723</v>
      </c>
      <c r="E33" s="193" t="s">
        <v>181</v>
      </c>
      <c r="F33" s="194" t="str">
        <f>F17</f>
        <v>ตัน</v>
      </c>
      <c r="G33" s="185"/>
      <c r="H33" s="185"/>
      <c r="I33" s="185"/>
      <c r="J33" s="188"/>
    </row>
    <row r="34" spans="1:10">
      <c r="A34" s="230"/>
      <c r="B34" s="1261" t="s">
        <v>178</v>
      </c>
      <c r="C34" s="1262"/>
      <c r="D34" s="192">
        <f>C31/'Fr-01'!H39</f>
        <v>3.1966409346964322</v>
      </c>
      <c r="E34" s="193" t="s">
        <v>181</v>
      </c>
      <c r="F34" s="194" t="str">
        <f>F18</f>
        <v>ตัน</v>
      </c>
      <c r="G34" s="185"/>
      <c r="H34" s="185"/>
      <c r="I34" s="185"/>
      <c r="J34" s="188"/>
    </row>
    <row r="35" spans="1:10">
      <c r="A35" s="230"/>
      <c r="B35" s="231"/>
      <c r="C35" s="231"/>
      <c r="D35" s="231"/>
      <c r="E35" s="231"/>
      <c r="F35" s="231"/>
      <c r="G35" s="231"/>
      <c r="H35" s="231"/>
      <c r="I35" s="231"/>
      <c r="J35" s="232"/>
    </row>
    <row r="36" spans="1:10">
      <c r="A36" s="233"/>
      <c r="B36" s="234"/>
      <c r="C36" s="234"/>
      <c r="D36" s="234"/>
      <c r="E36" s="234"/>
      <c r="F36" s="234"/>
      <c r="G36" s="234"/>
      <c r="H36" s="234"/>
      <c r="I36" s="234"/>
      <c r="J36" s="235"/>
    </row>
    <row r="37" spans="1:10">
      <c r="A37" s="129" t="s">
        <v>35</v>
      </c>
      <c r="B37" s="1244" t="str">
        <f>'Fr-04.2'!B59</f>
        <v>บริษัท อีโค เซ็นทริก คอร์ปอเรชั่น จำกัด</v>
      </c>
      <c r="C37" s="1245"/>
      <c r="D37" s="1245"/>
      <c r="E37" s="1246"/>
      <c r="F37" s="1247"/>
      <c r="G37" s="107" t="s">
        <v>36</v>
      </c>
      <c r="H37" s="1248">
        <f>'Fr-03.1'!K35</f>
        <v>243829</v>
      </c>
      <c r="I37" s="1249"/>
      <c r="J37" s="1250"/>
    </row>
  </sheetData>
  <mergeCells count="26">
    <mergeCell ref="A6:A15"/>
    <mergeCell ref="F6:J15"/>
    <mergeCell ref="B17:C17"/>
    <mergeCell ref="B18:C18"/>
    <mergeCell ref="A1:A4"/>
    <mergeCell ref="C3:D3"/>
    <mergeCell ref="C4:D4"/>
    <mergeCell ref="I1:J2"/>
    <mergeCell ref="B1:H2"/>
    <mergeCell ref="F3:H3"/>
    <mergeCell ref="F4:H4"/>
    <mergeCell ref="D12:D13"/>
    <mergeCell ref="B37:F37"/>
    <mergeCell ref="H37:J37"/>
    <mergeCell ref="B6:B9"/>
    <mergeCell ref="C6:C9"/>
    <mergeCell ref="D6:D9"/>
    <mergeCell ref="E6:E9"/>
    <mergeCell ref="B22:B25"/>
    <mergeCell ref="C22:C25"/>
    <mergeCell ref="D22:D25"/>
    <mergeCell ref="E22:E25"/>
    <mergeCell ref="D28:D29"/>
    <mergeCell ref="B33:C33"/>
    <mergeCell ref="B34:C34"/>
    <mergeCell ref="G22:I2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157"/>
  <sheetViews>
    <sheetView workbookViewId="0">
      <selection activeCell="G11" sqref="G11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50.8984375" style="132" customWidth="1"/>
    <col min="9" max="13" width="9.09765625" style="132"/>
    <col min="14" max="14" width="9.09765625" style="132" customWidth="1"/>
    <col min="15" max="15" width="9.09765625" style="132"/>
    <col min="16" max="16" width="63.69921875" style="132" bestFit="1" customWidth="1"/>
    <col min="17" max="17" width="6.09765625" style="132" bestFit="1" customWidth="1"/>
    <col min="18" max="18" width="30.09765625" style="132" customWidth="1"/>
    <col min="19" max="16384" width="9.09765625" style="132"/>
  </cols>
  <sheetData>
    <row r="2" spans="1:15" ht="15">
      <c r="A2" s="1284"/>
      <c r="B2" s="1285" t="s">
        <v>45</v>
      </c>
      <c r="C2" s="1284" t="s">
        <v>46</v>
      </c>
      <c r="D2" s="1286" t="s">
        <v>47</v>
      </c>
      <c r="E2" s="1287"/>
      <c r="F2" s="1287"/>
      <c r="G2" s="1287"/>
      <c r="H2" s="1285" t="s">
        <v>48</v>
      </c>
      <c r="J2" s="1219" t="s">
        <v>12</v>
      </c>
      <c r="K2" s="1283"/>
      <c r="L2" s="1220"/>
    </row>
    <row r="3" spans="1:15" ht="15.6">
      <c r="A3" s="1284"/>
      <c r="B3" s="1285"/>
      <c r="C3" s="1284"/>
      <c r="D3" s="152" t="s">
        <v>49</v>
      </c>
      <c r="E3" s="152" t="s">
        <v>50</v>
      </c>
      <c r="F3" s="152" t="s">
        <v>51</v>
      </c>
      <c r="G3" s="152" t="s">
        <v>52</v>
      </c>
      <c r="H3" s="1285"/>
      <c r="J3" s="2" t="s">
        <v>13</v>
      </c>
      <c r="K3" s="131" t="s">
        <v>14</v>
      </c>
      <c r="L3" s="131" t="s">
        <v>151</v>
      </c>
    </row>
    <row r="4" spans="1:15" ht="15.6">
      <c r="A4" s="1284"/>
      <c r="B4" s="1285"/>
      <c r="C4" s="1284"/>
      <c r="D4" s="152" t="s">
        <v>53</v>
      </c>
      <c r="E4" s="152" t="s">
        <v>54</v>
      </c>
      <c r="F4" s="152" t="s">
        <v>55</v>
      </c>
      <c r="G4" s="152" t="s">
        <v>147</v>
      </c>
      <c r="H4" s="1285"/>
      <c r="J4" s="2" t="s">
        <v>16</v>
      </c>
      <c r="K4" s="2">
        <v>1</v>
      </c>
      <c r="L4" s="2">
        <v>1</v>
      </c>
    </row>
    <row r="5" spans="1:15">
      <c r="A5" s="153" t="s">
        <v>56</v>
      </c>
      <c r="C5" s="154"/>
      <c r="D5" s="154"/>
      <c r="E5" s="154"/>
      <c r="F5" s="154"/>
      <c r="G5" s="154"/>
      <c r="H5" s="133"/>
      <c r="J5" s="2" t="s">
        <v>26</v>
      </c>
      <c r="K5" s="2">
        <v>25</v>
      </c>
      <c r="L5" s="2">
        <v>28</v>
      </c>
    </row>
    <row r="6" spans="1:15">
      <c r="A6" s="134"/>
      <c r="B6" s="135" t="s">
        <v>57</v>
      </c>
      <c r="C6" s="134" t="s">
        <v>58</v>
      </c>
      <c r="D6" s="155">
        <f>D48*$G$48*10^-6</f>
        <v>5.7221999999999995E-2</v>
      </c>
      <c r="E6" s="155">
        <f>E48*$G$48*10^-6</f>
        <v>1.02E-6</v>
      </c>
      <c r="F6" s="155">
        <f>F48*$G$48*10^-6</f>
        <v>1.02E-7</v>
      </c>
      <c r="G6" s="156">
        <f>D6+(E6*$K$5)+(F6*$K$6)</f>
        <v>5.7277895999999995E-2</v>
      </c>
      <c r="H6" s="136" t="s">
        <v>59</v>
      </c>
      <c r="I6" s="164"/>
      <c r="J6" s="2" t="s">
        <v>27</v>
      </c>
      <c r="K6" s="2">
        <v>298</v>
      </c>
      <c r="L6" s="2">
        <v>265</v>
      </c>
      <c r="N6" s="165"/>
      <c r="O6" s="165"/>
    </row>
    <row r="7" spans="1:15">
      <c r="A7" s="134"/>
      <c r="B7" s="135" t="s">
        <v>57</v>
      </c>
      <c r="C7" s="134" t="s">
        <v>150</v>
      </c>
      <c r="D7" s="155">
        <f>D48/1000000</f>
        <v>5.6099999999999997E-2</v>
      </c>
      <c r="E7" s="155">
        <f t="shared" ref="E7" si="0">E48/1000000</f>
        <v>9.9999999999999995E-7</v>
      </c>
      <c r="F7" s="155">
        <f>F48/1000000</f>
        <v>1.0000000000000001E-7</v>
      </c>
      <c r="G7" s="156">
        <f t="shared" ref="G7:G17" si="1">D7+(E7*$K$5)+(F7*$K$6)</f>
        <v>5.6154799999999998E-2</v>
      </c>
      <c r="H7" s="136" t="s">
        <v>59</v>
      </c>
      <c r="I7" s="164"/>
      <c r="J7" s="2" t="s">
        <v>28</v>
      </c>
      <c r="K7" s="2">
        <v>22800</v>
      </c>
      <c r="L7" s="2">
        <v>23500</v>
      </c>
      <c r="N7" s="165"/>
      <c r="O7" s="165"/>
    </row>
    <row r="8" spans="1:15">
      <c r="A8" s="134"/>
      <c r="B8" s="135" t="s">
        <v>60</v>
      </c>
      <c r="C8" s="134" t="s">
        <v>61</v>
      </c>
      <c r="D8" s="155">
        <f>D49*$G$49*10^-6</f>
        <v>1.0574699999999999</v>
      </c>
      <c r="E8" s="155">
        <f t="shared" ref="E8:F8" si="2">E49*$G$49*10^-6</f>
        <v>1.047E-5</v>
      </c>
      <c r="F8" s="155">
        <f t="shared" si="2"/>
        <v>1.5705E-5</v>
      </c>
      <c r="G8" s="156">
        <f>D8+(E8*$K$5)+(F8*$K$6)</f>
        <v>1.0624118399999998</v>
      </c>
      <c r="H8" s="136" t="s">
        <v>59</v>
      </c>
      <c r="I8" s="164"/>
      <c r="J8" s="2" t="s">
        <v>29</v>
      </c>
      <c r="K8" s="2">
        <v>17200</v>
      </c>
      <c r="L8" s="2">
        <v>16100</v>
      </c>
      <c r="N8" s="165"/>
      <c r="O8" s="165"/>
    </row>
    <row r="9" spans="1:15">
      <c r="A9" s="134"/>
      <c r="B9" s="135" t="s">
        <v>153</v>
      </c>
      <c r="C9" s="134" t="s">
        <v>62</v>
      </c>
      <c r="D9" s="155">
        <f>D50*$G$50*10^-6</f>
        <v>3.2096984443713019</v>
      </c>
      <c r="E9" s="155">
        <f>E50*$G$50*10^-6</f>
        <v>1.2440691644850007E-4</v>
      </c>
      <c r="F9" s="155">
        <f>F50*$G$50*10^-6</f>
        <v>2.4881383289700012E-5</v>
      </c>
      <c r="G9" s="156">
        <f>D9+(E9*$K$5)+(F9*$K$6)</f>
        <v>3.2202232695028448</v>
      </c>
      <c r="H9" s="136" t="s">
        <v>157</v>
      </c>
      <c r="I9" s="164"/>
      <c r="J9" s="132" t="s">
        <v>160</v>
      </c>
      <c r="N9" s="165"/>
      <c r="O9" s="165"/>
    </row>
    <row r="10" spans="1:15">
      <c r="A10" s="134"/>
      <c r="B10" s="135" t="s">
        <v>156</v>
      </c>
      <c r="C10" s="134" t="s">
        <v>62</v>
      </c>
      <c r="D10" s="155">
        <f>D51*$G$51*10^-6</f>
        <v>3.2353401009425418</v>
      </c>
      <c r="E10" s="155">
        <f>E51*$G$51*10^-6</f>
        <v>1.2540077910630005E-4</v>
      </c>
      <c r="F10" s="155">
        <f>F51*$G$51*10^-6</f>
        <v>2.5080155821260009E-5</v>
      </c>
      <c r="G10" s="156">
        <f>D10+(E10*$K$5)+(F10*$K$6)</f>
        <v>3.2459490068549348</v>
      </c>
      <c r="H10" s="136" t="s">
        <v>157</v>
      </c>
      <c r="I10" s="164"/>
      <c r="N10" s="165"/>
      <c r="O10" s="165"/>
    </row>
    <row r="11" spans="1:15">
      <c r="A11" s="134"/>
      <c r="B11" s="135" t="s">
        <v>63</v>
      </c>
      <c r="C11" s="134" t="s">
        <v>62</v>
      </c>
      <c r="D11" s="155">
        <f>D52*$G$52*10^-6</f>
        <v>2.6987220000000001</v>
      </c>
      <c r="E11" s="155">
        <f t="shared" ref="E11:F11" si="3">E52*$G$52*10^-6</f>
        <v>1.0925999999999999E-4</v>
      </c>
      <c r="F11" s="155">
        <f t="shared" si="3"/>
        <v>2.1852E-5</v>
      </c>
      <c r="G11" s="156">
        <f>D11+(E11*$K$5)+(F11*$K$6)</f>
        <v>2.7079653960000001</v>
      </c>
      <c r="H11" s="136" t="s">
        <v>59</v>
      </c>
      <c r="I11" s="164"/>
      <c r="N11" s="165"/>
      <c r="O11" s="165"/>
    </row>
    <row r="12" spans="1:15">
      <c r="A12" s="134"/>
      <c r="B12" s="135" t="s">
        <v>64</v>
      </c>
      <c r="C12" s="134" t="s">
        <v>61</v>
      </c>
      <c r="D12" s="155">
        <f>D53*$G$53*10^-6</f>
        <v>3.0866199999999999</v>
      </c>
      <c r="E12" s="155">
        <f t="shared" ref="E12:F12" si="4">E53*$G$53*10^-6</f>
        <v>3.1399999999999998E-5</v>
      </c>
      <c r="F12" s="155">
        <f t="shared" si="4"/>
        <v>4.7099999999999993E-5</v>
      </c>
      <c r="G12" s="156">
        <f t="shared" si="1"/>
        <v>3.1014407999999998</v>
      </c>
      <c r="H12" s="136" t="s">
        <v>59</v>
      </c>
      <c r="I12" s="164"/>
      <c r="N12" s="165"/>
      <c r="O12" s="165"/>
    </row>
    <row r="13" spans="1:15">
      <c r="A13" s="134"/>
      <c r="B13" s="135" t="s">
        <v>65</v>
      </c>
      <c r="C13" s="134" t="s">
        <v>61</v>
      </c>
      <c r="D13" s="155">
        <f>D54*$G$54*10^-6</f>
        <v>2.534157</v>
      </c>
      <c r="E13" s="155">
        <f t="shared" ref="E13:F13" si="5">E54*$G$54*10^-6</f>
        <v>2.637E-5</v>
      </c>
      <c r="F13" s="155">
        <f t="shared" si="5"/>
        <v>3.9554999999999997E-5</v>
      </c>
      <c r="G13" s="156">
        <f t="shared" si="1"/>
        <v>2.5466036399999998</v>
      </c>
      <c r="H13" s="136" t="s">
        <v>59</v>
      </c>
      <c r="I13" s="164"/>
      <c r="N13" s="165"/>
      <c r="O13" s="165"/>
    </row>
    <row r="14" spans="1:15">
      <c r="A14" s="134"/>
      <c r="B14" s="135" t="s">
        <v>66</v>
      </c>
      <c r="C14" s="134" t="s">
        <v>62</v>
      </c>
      <c r="D14" s="155">
        <f>D55*$G$55*10^-6</f>
        <v>2.4688949999999998</v>
      </c>
      <c r="E14" s="155">
        <f t="shared" ref="E14:F14" si="6">E55*$G$55*10^-6</f>
        <v>1.0359E-4</v>
      </c>
      <c r="F14" s="155">
        <f t="shared" si="6"/>
        <v>2.0718000000000001E-5</v>
      </c>
      <c r="G14" s="156">
        <f t="shared" si="1"/>
        <v>2.4776587139999995</v>
      </c>
      <c r="H14" s="136" t="s">
        <v>59</v>
      </c>
      <c r="I14" s="164"/>
      <c r="N14" s="165"/>
      <c r="O14" s="165"/>
    </row>
    <row r="15" spans="1:15">
      <c r="A15" s="134"/>
      <c r="B15" s="135" t="s">
        <v>67</v>
      </c>
      <c r="C15" s="134" t="s">
        <v>62</v>
      </c>
      <c r="D15" s="155">
        <f>D56*$G$56*10^-6</f>
        <v>1.6797219999999999</v>
      </c>
      <c r="E15" s="155">
        <f t="shared" ref="E15:F15" si="7">E56*$G$56*10^-6</f>
        <v>2.6619999999999999E-5</v>
      </c>
      <c r="F15" s="155">
        <f t="shared" si="7"/>
        <v>2.6620000000000001E-6</v>
      </c>
      <c r="G15" s="156">
        <f t="shared" si="1"/>
        <v>1.6811807759999999</v>
      </c>
      <c r="H15" s="136" t="s">
        <v>59</v>
      </c>
      <c r="I15" s="164"/>
      <c r="N15" s="165"/>
      <c r="O15" s="165"/>
    </row>
    <row r="16" spans="1:15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 t="shared" ref="E16:F16" si="8">E15/0.54</f>
        <v>4.9296296296296292E-5</v>
      </c>
      <c r="F16" s="155">
        <f t="shared" si="8"/>
        <v>4.9296296296296292E-6</v>
      </c>
      <c r="G16" s="156">
        <f t="shared" si="1"/>
        <v>3.1132977333333329</v>
      </c>
      <c r="H16" s="136" t="s">
        <v>158</v>
      </c>
      <c r="I16" s="164"/>
      <c r="N16" s="165"/>
      <c r="O16" s="165"/>
    </row>
    <row r="17" spans="1:15">
      <c r="A17" s="153"/>
      <c r="B17" s="135" t="s">
        <v>148</v>
      </c>
      <c r="C17" s="134" t="s">
        <v>62</v>
      </c>
      <c r="D17" s="155">
        <f>D57*$G$57*10^-6</f>
        <v>2.1815639999999998</v>
      </c>
      <c r="E17" s="155">
        <f t="shared" ref="E17:F17" si="9">E57*$G$57*10^-6</f>
        <v>9.4439999999999997E-5</v>
      </c>
      <c r="F17" s="155">
        <f t="shared" si="9"/>
        <v>1.8887999999999996E-5</v>
      </c>
      <c r="G17" s="156">
        <f t="shared" si="1"/>
        <v>2.1895536239999998</v>
      </c>
      <c r="H17" s="136" t="s">
        <v>59</v>
      </c>
      <c r="I17" s="164"/>
      <c r="N17" s="165"/>
      <c r="O17" s="165"/>
    </row>
    <row r="18" spans="1:15">
      <c r="A18" s="153"/>
      <c r="B18" s="135"/>
      <c r="C18" s="134"/>
      <c r="D18" s="155"/>
      <c r="E18" s="155"/>
      <c r="F18" s="155"/>
      <c r="G18" s="156"/>
      <c r="H18" s="136"/>
      <c r="I18" s="164"/>
      <c r="N18" s="165"/>
      <c r="O18" s="165"/>
    </row>
    <row r="19" spans="1:15">
      <c r="A19" s="153" t="s">
        <v>68</v>
      </c>
      <c r="B19" s="135"/>
      <c r="C19" s="134"/>
      <c r="D19" s="155"/>
      <c r="E19" s="155"/>
      <c r="F19" s="155"/>
      <c r="G19" s="156"/>
      <c r="H19" s="136"/>
      <c r="I19" s="164"/>
      <c r="N19" s="165"/>
      <c r="O19" s="165"/>
    </row>
    <row r="20" spans="1:15">
      <c r="A20" s="153"/>
      <c r="B20" s="135" t="s">
        <v>69</v>
      </c>
      <c r="C20" s="137" t="s">
        <v>62</v>
      </c>
      <c r="D20" s="155">
        <f>D63*$G$63*10^-6</f>
        <v>2.1815639999999998</v>
      </c>
      <c r="E20" s="155">
        <f>E63*$G$63*10^-6</f>
        <v>1.0388399999999999E-3</v>
      </c>
      <c r="F20" s="155">
        <f>F63*$G$63*10^-6</f>
        <v>1.0073600000000001E-4</v>
      </c>
      <c r="G20" s="156">
        <f t="shared" ref="G20:G26" si="10">D20+(E20*$K$5)+(F20*$K$6)</f>
        <v>2.2375543279999999</v>
      </c>
      <c r="H20" s="136" t="s">
        <v>70</v>
      </c>
      <c r="I20" s="164"/>
      <c r="N20" s="165"/>
      <c r="O20" s="165"/>
    </row>
    <row r="21" spans="1:15">
      <c r="A21" s="153"/>
      <c r="B21" s="135" t="s">
        <v>149</v>
      </c>
      <c r="C21" s="137" t="s">
        <v>62</v>
      </c>
      <c r="D21" s="155">
        <f>D64*$G$64*10^-6</f>
        <v>2.1815639999999998</v>
      </c>
      <c r="E21" s="155">
        <f t="shared" ref="E21:F21" si="11">E64*$G$64*10^-6</f>
        <v>7.8699999999999994E-4</v>
      </c>
      <c r="F21" s="155">
        <f t="shared" si="11"/>
        <v>2.5183999999999997E-4</v>
      </c>
      <c r="G21" s="156">
        <f t="shared" si="10"/>
        <v>2.2762873199999998</v>
      </c>
      <c r="H21" s="136" t="s">
        <v>70</v>
      </c>
      <c r="I21" s="164"/>
      <c r="N21" s="165"/>
      <c r="O21" s="165"/>
    </row>
    <row r="22" spans="1:15">
      <c r="A22" s="153"/>
      <c r="B22" s="135" t="s">
        <v>72</v>
      </c>
      <c r="C22" s="137" t="s">
        <v>62</v>
      </c>
      <c r="D22" s="155">
        <f>D65*$G$65*10^-6</f>
        <v>2.1815639999999998</v>
      </c>
      <c r="E22" s="155">
        <f t="shared" ref="E22:F22" si="12">E65*$G$65*10^-6</f>
        <v>1.1962399999999999E-4</v>
      </c>
      <c r="F22" s="155">
        <f t="shared" si="12"/>
        <v>1.7943599999999999E-4</v>
      </c>
      <c r="G22" s="156">
        <f t="shared" si="10"/>
        <v>2.2380265279999998</v>
      </c>
      <c r="H22" s="136" t="s">
        <v>70</v>
      </c>
      <c r="I22" s="164"/>
      <c r="N22" s="165"/>
      <c r="O22" s="165"/>
    </row>
    <row r="23" spans="1:15">
      <c r="A23" s="153"/>
      <c r="B23" s="135" t="s">
        <v>73</v>
      </c>
      <c r="C23" s="137" t="s">
        <v>62</v>
      </c>
      <c r="D23" s="155">
        <f>D66*$G$66*10^-6</f>
        <v>2.6987220000000001</v>
      </c>
      <c r="E23" s="155">
        <f t="shared" ref="E23:F23" si="13">E66*$G$66*10^-6</f>
        <v>1.4203800000000001E-4</v>
      </c>
      <c r="F23" s="155">
        <f t="shared" si="13"/>
        <v>1.4203800000000001E-4</v>
      </c>
      <c r="G23" s="156">
        <f t="shared" si="10"/>
        <v>2.7446002740000002</v>
      </c>
      <c r="H23" s="136" t="s">
        <v>70</v>
      </c>
      <c r="I23" s="164"/>
      <c r="N23" s="165"/>
      <c r="O23" s="165"/>
    </row>
    <row r="24" spans="1:15">
      <c r="A24" s="153"/>
      <c r="B24" s="135" t="s">
        <v>74</v>
      </c>
      <c r="C24" s="137" t="s">
        <v>61</v>
      </c>
      <c r="D24" s="155">
        <f>D67*$G$67*10^-6</f>
        <v>2.1261899999999998</v>
      </c>
      <c r="E24" s="155">
        <f t="shared" ref="E24:F24" si="14">E67*$G$67*10^-6</f>
        <v>3.4867999999999995E-3</v>
      </c>
      <c r="F24" s="155">
        <f t="shared" si="14"/>
        <v>1.1369999999999999E-4</v>
      </c>
      <c r="G24" s="156">
        <f>D24+(E24*$K$5)+(F24*$K$6)</f>
        <v>2.2472425999999999</v>
      </c>
      <c r="H24" s="136" t="s">
        <v>75</v>
      </c>
      <c r="I24" s="164"/>
      <c r="N24" s="165"/>
      <c r="O24" s="165"/>
    </row>
    <row r="25" spans="1:15">
      <c r="A25" s="153"/>
      <c r="B25" s="135" t="s">
        <v>76</v>
      </c>
      <c r="C25" s="137" t="s">
        <v>62</v>
      </c>
      <c r="D25" s="155">
        <f>D68*$G$68*10^-6</f>
        <v>1.6797219999999999</v>
      </c>
      <c r="E25" s="155">
        <f t="shared" ref="E25:F25" si="15">E68*$G$68*10^-6</f>
        <v>1.65044E-3</v>
      </c>
      <c r="F25" s="155">
        <f t="shared" si="15"/>
        <v>5.3240000000000002E-6</v>
      </c>
      <c r="G25" s="156">
        <f t="shared" si="10"/>
        <v>1.7225695519999999</v>
      </c>
      <c r="H25" s="136" t="s">
        <v>70</v>
      </c>
      <c r="I25" s="164"/>
      <c r="N25" s="165"/>
      <c r="O25" s="165"/>
    </row>
    <row r="26" spans="1:15">
      <c r="A26" s="153"/>
      <c r="B26" s="135" t="s">
        <v>76</v>
      </c>
      <c r="C26" s="134" t="s">
        <v>61</v>
      </c>
      <c r="D26" s="155">
        <f>D25/0.54</f>
        <v>3.1105962962962961</v>
      </c>
      <c r="E26" s="155">
        <f t="shared" ref="E26:F26" si="16">E25/0.54</f>
        <v>3.0563703703703703E-3</v>
      </c>
      <c r="F26" s="155">
        <f t="shared" si="16"/>
        <v>9.8592592592592585E-6</v>
      </c>
      <c r="G26" s="156">
        <f t="shared" si="10"/>
        <v>3.1899436148148146</v>
      </c>
      <c r="H26" s="136" t="s">
        <v>159</v>
      </c>
      <c r="I26" s="164"/>
      <c r="N26" s="165"/>
      <c r="O26" s="165"/>
    </row>
    <row r="27" spans="1:15">
      <c r="A27" s="153" t="s">
        <v>77</v>
      </c>
      <c r="B27" s="135"/>
      <c r="C27" s="134"/>
      <c r="D27" s="155"/>
      <c r="E27" s="155"/>
      <c r="F27" s="155"/>
      <c r="G27" s="156"/>
      <c r="H27" s="136"/>
      <c r="I27" s="164"/>
      <c r="N27" s="165"/>
      <c r="O27" s="165"/>
    </row>
    <row r="28" spans="1:15">
      <c r="A28" s="153"/>
      <c r="B28" s="138" t="s">
        <v>78</v>
      </c>
      <c r="C28" s="137"/>
      <c r="D28" s="155"/>
      <c r="E28" s="155"/>
      <c r="F28" s="155"/>
      <c r="G28" s="156"/>
      <c r="H28" s="136"/>
      <c r="I28" s="164"/>
      <c r="N28" s="165"/>
      <c r="O28" s="165"/>
    </row>
    <row r="29" spans="1:15">
      <c r="A29" s="153"/>
      <c r="B29" s="139" t="s">
        <v>79</v>
      </c>
      <c r="C29" s="137" t="s">
        <v>62</v>
      </c>
      <c r="D29" s="155">
        <f>D75*$G$75/(10^6)</f>
        <v>2.6987220000000001</v>
      </c>
      <c r="E29" s="155">
        <f t="shared" ref="E29:F29" si="17">E75*$G$75/(10^6)</f>
        <v>1.5114300000000004E-4</v>
      </c>
      <c r="F29" s="155">
        <f t="shared" si="17"/>
        <v>1.0416120000000001E-3</v>
      </c>
      <c r="G29" s="156">
        <f t="shared" ref="G29:G32" si="18">D29+(E29*$K$5)+(F29*$K$6)</f>
        <v>3.0129009510000002</v>
      </c>
      <c r="H29" s="136" t="s">
        <v>80</v>
      </c>
      <c r="I29" s="164"/>
      <c r="N29" s="165"/>
      <c r="O29" s="165"/>
    </row>
    <row r="30" spans="1:15">
      <c r="A30" s="153"/>
      <c r="B30" s="139" t="s">
        <v>81</v>
      </c>
      <c r="C30" s="137" t="s">
        <v>62</v>
      </c>
      <c r="D30" s="155">
        <f>D76*$G$76/(10^6)</f>
        <v>2.6987220000000001</v>
      </c>
      <c r="E30" s="155">
        <f t="shared" ref="E30:F30" si="19">E76*$G$76/(10^6)</f>
        <v>1.5114300000000004E-4</v>
      </c>
      <c r="F30" s="155">
        <f t="shared" si="19"/>
        <v>1.0416120000000001E-3</v>
      </c>
      <c r="G30" s="156">
        <f t="shared" si="18"/>
        <v>3.0129009510000002</v>
      </c>
      <c r="H30" s="136" t="s">
        <v>80</v>
      </c>
      <c r="I30" s="164"/>
      <c r="N30" s="165"/>
      <c r="O30" s="165"/>
    </row>
    <row r="31" spans="1:15">
      <c r="A31" s="153"/>
      <c r="B31" s="139" t="s">
        <v>82</v>
      </c>
      <c r="C31" s="137" t="s">
        <v>62</v>
      </c>
      <c r="D31" s="155">
        <f>D77*$G$77/(10^6)</f>
        <v>2.6987220000000001</v>
      </c>
      <c r="E31" s="155">
        <f t="shared" ref="E31:F31" si="20">E77*$G$77/(10^6)</f>
        <v>1.5114300000000004E-4</v>
      </c>
      <c r="F31" s="155">
        <f t="shared" si="20"/>
        <v>1.0416120000000001E-3</v>
      </c>
      <c r="G31" s="156">
        <f t="shared" si="18"/>
        <v>3.0129009510000002</v>
      </c>
      <c r="H31" s="136" t="s">
        <v>80</v>
      </c>
      <c r="I31" s="164"/>
      <c r="N31" s="165"/>
      <c r="O31" s="165"/>
    </row>
    <row r="32" spans="1:15">
      <c r="A32" s="153"/>
      <c r="B32" s="139" t="s">
        <v>83</v>
      </c>
      <c r="C32" s="137" t="s">
        <v>62</v>
      </c>
      <c r="D32" s="155">
        <f>D78*$G$78/(10^6)</f>
        <v>2.6987220000000001</v>
      </c>
      <c r="E32" s="155">
        <f t="shared" ref="E32:F32" si="21">E78*$G$78/(10^6)</f>
        <v>1.5114300000000004E-4</v>
      </c>
      <c r="F32" s="155">
        <f t="shared" si="21"/>
        <v>1.0416120000000001E-3</v>
      </c>
      <c r="G32" s="156">
        <f t="shared" si="18"/>
        <v>3.0129009510000002</v>
      </c>
      <c r="H32" s="136" t="s">
        <v>80</v>
      </c>
      <c r="I32" s="164"/>
      <c r="N32" s="165"/>
      <c r="O32" s="165"/>
    </row>
    <row r="33" spans="1:15">
      <c r="A33" s="153"/>
      <c r="B33" s="138" t="s">
        <v>84</v>
      </c>
      <c r="C33" s="137"/>
      <c r="D33" s="155"/>
      <c r="E33" s="155"/>
      <c r="F33" s="155"/>
      <c r="G33" s="156"/>
      <c r="H33" s="136"/>
      <c r="I33" s="164"/>
      <c r="N33" s="165"/>
      <c r="O33" s="165"/>
    </row>
    <row r="34" spans="1:15">
      <c r="A34" s="153"/>
      <c r="B34" s="139" t="s">
        <v>79</v>
      </c>
      <c r="C34" s="137" t="s">
        <v>62</v>
      </c>
      <c r="D34" s="155">
        <f>D80*$G$80/(10^6)</f>
        <v>2.1815639999999998</v>
      </c>
      <c r="E34" s="155">
        <f>E80*$G$80/(10^6)</f>
        <v>2.5184000000000001E-3</v>
      </c>
      <c r="F34" s="155">
        <f>F80*$G$80/(10^6)</f>
        <v>6.2960000000000007E-5</v>
      </c>
      <c r="G34" s="156">
        <f t="shared" ref="G34:G37" si="22">D34+(E34*$K$5)+(F34*$K$6)</f>
        <v>2.2632860799999999</v>
      </c>
      <c r="H34" s="136" t="s">
        <v>80</v>
      </c>
      <c r="I34" s="164"/>
      <c r="N34" s="165"/>
      <c r="O34" s="165"/>
    </row>
    <row r="35" spans="1:15">
      <c r="A35" s="133"/>
      <c r="B35" s="139" t="s">
        <v>81</v>
      </c>
      <c r="C35" s="137" t="s">
        <v>62</v>
      </c>
      <c r="D35" s="155">
        <f>D81*$G$81/(10^6)</f>
        <v>2.1815639999999998</v>
      </c>
      <c r="E35" s="155">
        <f t="shared" ref="E35:F35" si="23">E81*$G$81/(10^6)</f>
        <v>0</v>
      </c>
      <c r="F35" s="155">
        <f t="shared" si="23"/>
        <v>0</v>
      </c>
      <c r="G35" s="156">
        <f t="shared" si="22"/>
        <v>2.1815639999999998</v>
      </c>
      <c r="H35" s="136" t="s">
        <v>80</v>
      </c>
      <c r="I35" s="164"/>
      <c r="N35" s="165"/>
      <c r="O35" s="165"/>
    </row>
    <row r="36" spans="1:15">
      <c r="A36" s="133"/>
      <c r="B36" s="139" t="s">
        <v>82</v>
      </c>
      <c r="C36" s="137" t="s">
        <v>62</v>
      </c>
      <c r="D36" s="155">
        <f>D82*$G$82/(10^6)</f>
        <v>2.1815639999999998</v>
      </c>
      <c r="E36" s="155">
        <f t="shared" ref="E36:F36" si="24">E82*$G$82/(10^6)</f>
        <v>1.5740000000000001E-3</v>
      </c>
      <c r="F36" s="155">
        <f t="shared" si="24"/>
        <v>6.2960000000000007E-5</v>
      </c>
      <c r="G36" s="156">
        <f t="shared" si="22"/>
        <v>2.2396760800000002</v>
      </c>
      <c r="H36" s="136" t="s">
        <v>80</v>
      </c>
      <c r="I36" s="164"/>
      <c r="N36" s="165"/>
      <c r="O36" s="165"/>
    </row>
    <row r="37" spans="1:15">
      <c r="A37" s="133"/>
      <c r="B37" s="139" t="s">
        <v>83</v>
      </c>
      <c r="C37" s="137" t="s">
        <v>62</v>
      </c>
      <c r="D37" s="155">
        <f>D83*$G$83/(10^6)</f>
        <v>2.1815639999999998</v>
      </c>
      <c r="E37" s="155">
        <f t="shared" ref="E37:F37" si="25">E83*$G$83/(10^6)</f>
        <v>3.7775999999999999E-3</v>
      </c>
      <c r="F37" s="155">
        <f t="shared" si="25"/>
        <v>6.2960000000000007E-5</v>
      </c>
      <c r="G37" s="156">
        <f t="shared" si="22"/>
        <v>2.29476608</v>
      </c>
      <c r="H37" s="136" t="s">
        <v>80</v>
      </c>
      <c r="I37" s="164"/>
      <c r="N37" s="165"/>
      <c r="O37" s="165"/>
    </row>
    <row r="38" spans="1:15">
      <c r="A38" s="153"/>
      <c r="B38" s="138" t="s">
        <v>85</v>
      </c>
      <c r="C38" s="137"/>
      <c r="D38" s="155"/>
      <c r="E38" s="155"/>
      <c r="F38" s="155"/>
      <c r="G38" s="156"/>
      <c r="H38" s="136"/>
      <c r="I38" s="164"/>
      <c r="N38" s="165"/>
      <c r="O38" s="165"/>
    </row>
    <row r="39" spans="1:15">
      <c r="A39" s="153"/>
      <c r="B39" s="139" t="s">
        <v>79</v>
      </c>
      <c r="C39" s="137" t="s">
        <v>62</v>
      </c>
      <c r="D39" s="155">
        <f>D85*$G$85/(10^6)</f>
        <v>2.1815639999999998</v>
      </c>
      <c r="E39" s="155">
        <f t="shared" ref="E39:F39" si="26">E85*$G$85/(10^6)</f>
        <v>4.4072E-3</v>
      </c>
      <c r="F39" s="155">
        <f t="shared" si="26"/>
        <v>1.2592000000000001E-5</v>
      </c>
      <c r="G39" s="156">
        <f t="shared" ref="G39:G41" si="27">D39+(E39*$K$5)+(F39*$K$6)</f>
        <v>2.2954964160000002</v>
      </c>
      <c r="H39" s="136" t="s">
        <v>80</v>
      </c>
      <c r="I39" s="164"/>
      <c r="N39" s="165"/>
      <c r="O39" s="165"/>
    </row>
    <row r="40" spans="1:15">
      <c r="A40" s="133"/>
      <c r="B40" s="139" t="s">
        <v>81</v>
      </c>
      <c r="C40" s="137" t="s">
        <v>62</v>
      </c>
      <c r="D40" s="155">
        <f>D86*$G$86/(10^6)</f>
        <v>2.1815639999999998</v>
      </c>
      <c r="E40" s="155">
        <f t="shared" ref="E40:F40" si="28">E86*$G$86/(10^6)</f>
        <v>5.3516000000000006E-3</v>
      </c>
      <c r="F40" s="155">
        <f t="shared" si="28"/>
        <v>1.2592000000000001E-5</v>
      </c>
      <c r="G40" s="156">
        <f t="shared" si="27"/>
        <v>2.3191064159999999</v>
      </c>
      <c r="H40" s="136" t="s">
        <v>80</v>
      </c>
      <c r="I40" s="164"/>
      <c r="N40" s="165"/>
      <c r="O40" s="165"/>
    </row>
    <row r="41" spans="1:15">
      <c r="A41" s="133"/>
      <c r="B41" s="139" t="s">
        <v>82</v>
      </c>
      <c r="C41" s="137" t="s">
        <v>62</v>
      </c>
      <c r="D41" s="155">
        <f>D87*$G$87/(10^6)</f>
        <v>2.1815639999999998</v>
      </c>
      <c r="E41" s="155">
        <f t="shared" ref="E41:F41" si="29">E87*$G$87/(10^6)</f>
        <v>4.0924000000000004E-3</v>
      </c>
      <c r="F41" s="155">
        <f t="shared" si="29"/>
        <v>1.2592000000000001E-5</v>
      </c>
      <c r="G41" s="156">
        <f t="shared" si="27"/>
        <v>2.2876264160000002</v>
      </c>
      <c r="H41" s="136" t="s">
        <v>80</v>
      </c>
      <c r="I41" s="164"/>
      <c r="N41" s="165"/>
      <c r="O41" s="165"/>
    </row>
    <row r="42" spans="1:15">
      <c r="A42" s="133"/>
      <c r="B42" s="139" t="s">
        <v>83</v>
      </c>
      <c r="C42" s="137" t="s">
        <v>62</v>
      </c>
      <c r="D42" s="155">
        <f>D88*$G$88/(10^6)</f>
        <v>2.1815639999999998</v>
      </c>
      <c r="E42" s="155">
        <f t="shared" ref="E42" si="30">E88*$G$88/(10^6)</f>
        <v>5.6663999999999994E-3</v>
      </c>
      <c r="F42" s="155">
        <f>F88*$G$88/(10^6)</f>
        <v>1.2592000000000001E-5</v>
      </c>
      <c r="G42" s="156">
        <f>D42+(E42*$K$5)+(F42*$K$6)</f>
        <v>2.3269764159999999</v>
      </c>
      <c r="H42" s="136" t="s">
        <v>80</v>
      </c>
      <c r="I42" s="164"/>
      <c r="N42" s="165"/>
      <c r="O42" s="165"/>
    </row>
    <row r="43" spans="1:15">
      <c r="B43" s="157"/>
      <c r="C43" s="157"/>
      <c r="D43" s="158"/>
      <c r="E43" s="158"/>
      <c r="F43" s="158"/>
      <c r="G43" s="142"/>
    </row>
    <row r="44" spans="1:15" s="141" customFormat="1">
      <c r="A44" s="140" t="s">
        <v>56</v>
      </c>
      <c r="B44" s="159"/>
      <c r="C44" s="159"/>
      <c r="D44" s="160"/>
      <c r="E44" s="161"/>
      <c r="F44" s="160"/>
      <c r="G44" s="162"/>
    </row>
    <row r="45" spans="1:15">
      <c r="D45" s="142"/>
      <c r="E45" s="143" t="s">
        <v>86</v>
      </c>
      <c r="F45" s="143"/>
      <c r="G45" s="143" t="s">
        <v>87</v>
      </c>
    </row>
    <row r="46" spans="1:15" ht="14.25" customHeight="1">
      <c r="B46" s="135"/>
      <c r="C46" s="134"/>
      <c r="D46" s="1278" t="s">
        <v>88</v>
      </c>
      <c r="E46" s="1278"/>
      <c r="F46" s="1278"/>
      <c r="G46" s="144" t="s">
        <v>89</v>
      </c>
    </row>
    <row r="47" spans="1:15">
      <c r="B47" s="135"/>
      <c r="C47" s="134" t="s">
        <v>90</v>
      </c>
      <c r="D47" s="151" t="s">
        <v>16</v>
      </c>
      <c r="E47" s="134" t="s">
        <v>26</v>
      </c>
      <c r="F47" s="134" t="s">
        <v>27</v>
      </c>
      <c r="G47" s="144" t="s">
        <v>91</v>
      </c>
    </row>
    <row r="48" spans="1:15">
      <c r="B48" s="135" t="s">
        <v>57</v>
      </c>
      <c r="C48" s="134" t="s">
        <v>58</v>
      </c>
      <c r="D48" s="145">
        <v>56100</v>
      </c>
      <c r="E48" s="134">
        <v>1</v>
      </c>
      <c r="F48" s="134">
        <v>0.1</v>
      </c>
      <c r="G48" s="146">
        <v>1.02</v>
      </c>
      <c r="H48" s="132" t="s">
        <v>92</v>
      </c>
    </row>
    <row r="49" spans="1:8">
      <c r="B49" s="135" t="s">
        <v>60</v>
      </c>
      <c r="C49" s="134" t="s">
        <v>61</v>
      </c>
      <c r="D49" s="145">
        <v>101000</v>
      </c>
      <c r="E49" s="134">
        <v>1</v>
      </c>
      <c r="F49" s="134">
        <v>1.5</v>
      </c>
      <c r="G49" s="146">
        <v>10.47</v>
      </c>
    </row>
    <row r="50" spans="1:8">
      <c r="B50" s="135" t="s">
        <v>153</v>
      </c>
      <c r="C50" s="134" t="s">
        <v>62</v>
      </c>
      <c r="D50" s="145">
        <v>77400</v>
      </c>
      <c r="E50" s="134">
        <v>3</v>
      </c>
      <c r="F50" s="134">
        <v>0.6</v>
      </c>
      <c r="G50" s="167">
        <v>41.468972149500026</v>
      </c>
      <c r="H50" s="132" t="s">
        <v>94</v>
      </c>
    </row>
    <row r="51" spans="1:8">
      <c r="B51" s="135" t="s">
        <v>156</v>
      </c>
      <c r="C51" s="134" t="s">
        <v>62</v>
      </c>
      <c r="D51" s="145">
        <v>77400</v>
      </c>
      <c r="E51" s="134">
        <v>3</v>
      </c>
      <c r="F51" s="134">
        <v>0.6</v>
      </c>
      <c r="G51" s="167">
        <v>41.800259702100021</v>
      </c>
      <c r="H51" s="132" t="s">
        <v>94</v>
      </c>
    </row>
    <row r="52" spans="1:8">
      <c r="B52" s="135" t="s">
        <v>63</v>
      </c>
      <c r="C52" s="134" t="s">
        <v>62</v>
      </c>
      <c r="D52" s="145">
        <v>74100</v>
      </c>
      <c r="E52" s="134">
        <v>3</v>
      </c>
      <c r="F52" s="134">
        <v>0.6</v>
      </c>
      <c r="G52" s="146">
        <v>36.42</v>
      </c>
    </row>
    <row r="53" spans="1:8">
      <c r="B53" s="135" t="s">
        <v>64</v>
      </c>
      <c r="C53" s="134" t="s">
        <v>61</v>
      </c>
      <c r="D53" s="145">
        <v>98300</v>
      </c>
      <c r="E53" s="134">
        <v>1</v>
      </c>
      <c r="F53" s="134">
        <v>1.5</v>
      </c>
      <c r="G53" s="146">
        <v>31.4</v>
      </c>
    </row>
    <row r="54" spans="1:8">
      <c r="B54" s="135" t="s">
        <v>65</v>
      </c>
      <c r="C54" s="134" t="s">
        <v>61</v>
      </c>
      <c r="D54" s="145">
        <v>96100</v>
      </c>
      <c r="E54" s="134">
        <v>1</v>
      </c>
      <c r="F54" s="134">
        <v>1.5</v>
      </c>
      <c r="G54" s="146">
        <v>26.37</v>
      </c>
    </row>
    <row r="55" spans="1:8">
      <c r="B55" s="135" t="s">
        <v>66</v>
      </c>
      <c r="C55" s="134" t="s">
        <v>62</v>
      </c>
      <c r="D55" s="145">
        <v>71500</v>
      </c>
      <c r="E55" s="134">
        <v>3</v>
      </c>
      <c r="F55" s="134">
        <v>0.6</v>
      </c>
      <c r="G55" s="146">
        <v>34.53</v>
      </c>
    </row>
    <row r="56" spans="1:8">
      <c r="B56" s="135" t="s">
        <v>67</v>
      </c>
      <c r="C56" s="134" t="s">
        <v>62</v>
      </c>
      <c r="D56" s="145">
        <v>63100</v>
      </c>
      <c r="E56" s="134">
        <v>1</v>
      </c>
      <c r="F56" s="134">
        <v>0.1</v>
      </c>
      <c r="G56" s="146">
        <v>26.62</v>
      </c>
    </row>
    <row r="57" spans="1:8">
      <c r="B57" s="135" t="s">
        <v>148</v>
      </c>
      <c r="C57" s="134" t="s">
        <v>62</v>
      </c>
      <c r="D57" s="145">
        <v>69300</v>
      </c>
      <c r="E57" s="134">
        <v>3</v>
      </c>
      <c r="F57" s="134">
        <v>0.6</v>
      </c>
      <c r="G57" s="146">
        <f>G63</f>
        <v>31.48</v>
      </c>
    </row>
    <row r="58" spans="1:8">
      <c r="D58" s="142"/>
      <c r="E58" s="142"/>
      <c r="F58" s="142"/>
      <c r="G58" s="147"/>
    </row>
    <row r="59" spans="1:8" s="141" customFormat="1">
      <c r="A59" s="140" t="s">
        <v>68</v>
      </c>
      <c r="B59" s="159"/>
      <c r="C59" s="159"/>
      <c r="D59" s="160"/>
      <c r="E59" s="161"/>
      <c r="F59" s="160"/>
      <c r="G59" s="162"/>
    </row>
    <row r="60" spans="1:8">
      <c r="D60" s="1279" t="s">
        <v>86</v>
      </c>
      <c r="E60" s="1279"/>
      <c r="F60" s="1279"/>
      <c r="G60" s="143" t="s">
        <v>87</v>
      </c>
    </row>
    <row r="61" spans="1:8">
      <c r="B61" s="135"/>
      <c r="C61" s="133"/>
      <c r="D61" s="1280" t="s">
        <v>88</v>
      </c>
      <c r="E61" s="1281"/>
      <c r="F61" s="1282"/>
      <c r="G61" s="144" t="s">
        <v>89</v>
      </c>
    </row>
    <row r="62" spans="1:8">
      <c r="B62" s="135"/>
      <c r="C62" s="137" t="s">
        <v>90</v>
      </c>
      <c r="D62" s="134" t="s">
        <v>16</v>
      </c>
      <c r="E62" s="151" t="s">
        <v>26</v>
      </c>
      <c r="F62" s="134" t="s">
        <v>27</v>
      </c>
      <c r="G62" s="144" t="s">
        <v>91</v>
      </c>
    </row>
    <row r="63" spans="1:8">
      <c r="B63" s="135" t="s">
        <v>69</v>
      </c>
      <c r="C63" s="137" t="s">
        <v>62</v>
      </c>
      <c r="D63" s="134">
        <v>69300</v>
      </c>
      <c r="E63" s="145">
        <v>33</v>
      </c>
      <c r="F63" s="134">
        <v>3.2</v>
      </c>
      <c r="G63" s="146">
        <v>31.48</v>
      </c>
      <c r="H63" s="132" t="s">
        <v>93</v>
      </c>
    </row>
    <row r="64" spans="1:8">
      <c r="B64" s="135" t="s">
        <v>71</v>
      </c>
      <c r="C64" s="137" t="s">
        <v>62</v>
      </c>
      <c r="D64" s="134">
        <v>69300</v>
      </c>
      <c r="E64" s="145">
        <v>25</v>
      </c>
      <c r="F64" s="134">
        <v>8</v>
      </c>
      <c r="G64" s="146">
        <v>31.48</v>
      </c>
    </row>
    <row r="65" spans="1:8">
      <c r="B65" s="135" t="s">
        <v>72</v>
      </c>
      <c r="C65" s="137" t="s">
        <v>62</v>
      </c>
      <c r="D65" s="134">
        <v>69300</v>
      </c>
      <c r="E65" s="145">
        <v>3.8</v>
      </c>
      <c r="F65" s="134">
        <v>5.7</v>
      </c>
      <c r="G65" s="146">
        <v>31.48</v>
      </c>
    </row>
    <row r="66" spans="1:8">
      <c r="B66" s="135" t="s">
        <v>73</v>
      </c>
      <c r="C66" s="137" t="s">
        <v>62</v>
      </c>
      <c r="D66" s="134">
        <v>74100</v>
      </c>
      <c r="E66" s="145">
        <v>3.9</v>
      </c>
      <c r="F66" s="134">
        <v>3.9</v>
      </c>
      <c r="G66" s="146">
        <f>G52</f>
        <v>36.42</v>
      </c>
    </row>
    <row r="67" spans="1:8">
      <c r="B67" s="135" t="s">
        <v>74</v>
      </c>
      <c r="C67" s="137" t="s">
        <v>61</v>
      </c>
      <c r="D67" s="134">
        <v>56100</v>
      </c>
      <c r="E67" s="145">
        <v>92</v>
      </c>
      <c r="F67" s="134">
        <v>3</v>
      </c>
      <c r="G67" s="146">
        <v>37.9</v>
      </c>
      <c r="H67" s="132" t="s">
        <v>94</v>
      </c>
    </row>
    <row r="68" spans="1:8">
      <c r="B68" s="135" t="s">
        <v>76</v>
      </c>
      <c r="C68" s="137" t="s">
        <v>62</v>
      </c>
      <c r="D68" s="134">
        <v>63100</v>
      </c>
      <c r="E68" s="145">
        <v>62</v>
      </c>
      <c r="F68" s="134">
        <v>0.2</v>
      </c>
      <c r="G68" s="146">
        <f>G56</f>
        <v>26.62</v>
      </c>
    </row>
    <row r="69" spans="1:8">
      <c r="D69" s="142"/>
      <c r="E69" s="142"/>
      <c r="F69" s="142"/>
      <c r="G69" s="142"/>
    </row>
    <row r="70" spans="1:8" s="141" customFormat="1">
      <c r="A70" s="140" t="s">
        <v>95</v>
      </c>
      <c r="B70" s="159"/>
      <c r="C70" s="159"/>
      <c r="D70" s="160"/>
      <c r="E70" s="161"/>
      <c r="F70" s="160"/>
      <c r="G70" s="162"/>
    </row>
    <row r="71" spans="1:8">
      <c r="D71" s="1279" t="s">
        <v>86</v>
      </c>
      <c r="E71" s="1279"/>
      <c r="F71" s="1279"/>
      <c r="G71" s="143" t="s">
        <v>87</v>
      </c>
    </row>
    <row r="72" spans="1:8">
      <c r="B72" s="135"/>
      <c r="C72" s="133"/>
      <c r="D72" s="1280" t="s">
        <v>88</v>
      </c>
      <c r="E72" s="1281"/>
      <c r="F72" s="1282"/>
      <c r="G72" s="144" t="s">
        <v>89</v>
      </c>
    </row>
    <row r="73" spans="1:8">
      <c r="B73" s="135"/>
      <c r="C73" s="137" t="s">
        <v>90</v>
      </c>
      <c r="D73" s="134" t="s">
        <v>16</v>
      </c>
      <c r="E73" s="151" t="s">
        <v>26</v>
      </c>
      <c r="F73" s="134" t="s">
        <v>27</v>
      </c>
      <c r="G73" s="144" t="s">
        <v>91</v>
      </c>
    </row>
    <row r="74" spans="1:8">
      <c r="B74" s="138" t="s">
        <v>78</v>
      </c>
      <c r="C74" s="137"/>
      <c r="D74" s="134"/>
      <c r="E74" s="145"/>
      <c r="F74" s="134"/>
      <c r="G74" s="146"/>
    </row>
    <row r="75" spans="1:8">
      <c r="B75" s="139" t="s">
        <v>79</v>
      </c>
      <c r="C75" s="137" t="s">
        <v>62</v>
      </c>
      <c r="D75" s="134">
        <v>74100</v>
      </c>
      <c r="E75" s="145">
        <v>4.1500000000000004</v>
      </c>
      <c r="F75" s="134">
        <v>28.6</v>
      </c>
      <c r="G75" s="146">
        <v>36.42</v>
      </c>
    </row>
    <row r="76" spans="1:8">
      <c r="B76" s="139" t="s">
        <v>81</v>
      </c>
      <c r="C76" s="137" t="s">
        <v>62</v>
      </c>
      <c r="D76" s="134">
        <v>74100</v>
      </c>
      <c r="E76" s="145">
        <v>4.1500000000000004</v>
      </c>
      <c r="F76" s="134">
        <v>28.6</v>
      </c>
      <c r="G76" s="146">
        <v>36.42</v>
      </c>
    </row>
    <row r="77" spans="1:8">
      <c r="B77" s="139" t="s">
        <v>82</v>
      </c>
      <c r="C77" s="137" t="s">
        <v>62</v>
      </c>
      <c r="D77" s="134">
        <v>74100</v>
      </c>
      <c r="E77" s="145">
        <v>4.1500000000000004</v>
      </c>
      <c r="F77" s="134">
        <v>28.6</v>
      </c>
      <c r="G77" s="146">
        <v>36.42</v>
      </c>
    </row>
    <row r="78" spans="1:8">
      <c r="B78" s="139" t="s">
        <v>83</v>
      </c>
      <c r="C78" s="137" t="s">
        <v>62</v>
      </c>
      <c r="D78" s="134">
        <v>74100</v>
      </c>
      <c r="E78" s="145">
        <v>4.1500000000000004</v>
      </c>
      <c r="F78" s="134">
        <v>28.6</v>
      </c>
      <c r="G78" s="146">
        <v>36.42</v>
      </c>
    </row>
    <row r="79" spans="1:8">
      <c r="B79" s="138" t="s">
        <v>84</v>
      </c>
      <c r="C79" s="137"/>
      <c r="D79" s="134"/>
      <c r="E79" s="145"/>
      <c r="F79" s="134"/>
      <c r="G79" s="146"/>
    </row>
    <row r="80" spans="1:8">
      <c r="B80" s="139" t="s">
        <v>79</v>
      </c>
      <c r="C80" s="137" t="s">
        <v>62</v>
      </c>
      <c r="D80" s="146">
        <v>69300</v>
      </c>
      <c r="E80" s="146">
        <v>80</v>
      </c>
      <c r="F80" s="146">
        <v>2</v>
      </c>
      <c r="G80" s="146">
        <v>31.48</v>
      </c>
    </row>
    <row r="81" spans="2:7">
      <c r="B81" s="139" t="s">
        <v>81</v>
      </c>
      <c r="C81" s="137" t="s">
        <v>62</v>
      </c>
      <c r="D81" s="146">
        <v>69300</v>
      </c>
      <c r="E81" s="146"/>
      <c r="F81" s="146"/>
      <c r="G81" s="146">
        <v>31.48</v>
      </c>
    </row>
    <row r="82" spans="2:7">
      <c r="B82" s="139" t="s">
        <v>82</v>
      </c>
      <c r="C82" s="137" t="s">
        <v>62</v>
      </c>
      <c r="D82" s="146">
        <v>69300</v>
      </c>
      <c r="E82" s="146">
        <v>50</v>
      </c>
      <c r="F82" s="146">
        <v>2</v>
      </c>
      <c r="G82" s="146">
        <v>31.48</v>
      </c>
    </row>
    <row r="83" spans="2:7">
      <c r="B83" s="139" t="s">
        <v>83</v>
      </c>
      <c r="C83" s="137" t="s">
        <v>62</v>
      </c>
      <c r="D83" s="146">
        <v>69300</v>
      </c>
      <c r="E83" s="146">
        <v>120</v>
      </c>
      <c r="F83" s="146">
        <v>2</v>
      </c>
      <c r="G83" s="146">
        <v>31.48</v>
      </c>
    </row>
    <row r="84" spans="2:7">
      <c r="B84" s="138" t="s">
        <v>85</v>
      </c>
      <c r="C84" s="133"/>
      <c r="D84" s="148"/>
      <c r="E84" s="148"/>
      <c r="F84" s="148"/>
      <c r="G84" s="148"/>
    </row>
    <row r="85" spans="2:7">
      <c r="B85" s="139" t="s">
        <v>79</v>
      </c>
      <c r="C85" s="137" t="s">
        <v>62</v>
      </c>
      <c r="D85" s="146">
        <v>69300</v>
      </c>
      <c r="E85" s="146">
        <v>140</v>
      </c>
      <c r="F85" s="146">
        <v>0.4</v>
      </c>
      <c r="G85" s="146">
        <v>31.48</v>
      </c>
    </row>
    <row r="86" spans="2:7">
      <c r="B86" s="139" t="s">
        <v>81</v>
      </c>
      <c r="C86" s="137" t="s">
        <v>62</v>
      </c>
      <c r="D86" s="146">
        <v>69300</v>
      </c>
      <c r="E86" s="146">
        <v>170</v>
      </c>
      <c r="F86" s="146">
        <v>0.4</v>
      </c>
      <c r="G86" s="146">
        <v>31.48</v>
      </c>
    </row>
    <row r="87" spans="2:7">
      <c r="B87" s="139" t="s">
        <v>82</v>
      </c>
      <c r="C87" s="137" t="s">
        <v>62</v>
      </c>
      <c r="D87" s="146">
        <v>69300</v>
      </c>
      <c r="E87" s="146">
        <v>130</v>
      </c>
      <c r="F87" s="146">
        <v>0.4</v>
      </c>
      <c r="G87" s="146">
        <v>31.48</v>
      </c>
    </row>
    <row r="88" spans="2:7">
      <c r="B88" s="139" t="s">
        <v>83</v>
      </c>
      <c r="C88" s="137" t="s">
        <v>62</v>
      </c>
      <c r="D88" s="146">
        <v>69300</v>
      </c>
      <c r="E88" s="146">
        <v>180</v>
      </c>
      <c r="F88" s="146">
        <v>0.4</v>
      </c>
      <c r="G88" s="146">
        <v>31.48</v>
      </c>
    </row>
    <row r="89" spans="2:7">
      <c r="D89" s="142"/>
      <c r="E89" s="142"/>
      <c r="F89" s="142"/>
      <c r="G89" s="142"/>
    </row>
    <row r="90" spans="2:7">
      <c r="D90" s="142"/>
      <c r="E90" s="142"/>
      <c r="F90" s="142"/>
      <c r="G90" s="142"/>
    </row>
    <row r="91" spans="2:7">
      <c r="D91" s="142"/>
      <c r="E91" s="142"/>
      <c r="F91" s="142"/>
      <c r="G91" s="142"/>
    </row>
    <row r="92" spans="2:7">
      <c r="D92" s="142"/>
      <c r="E92" s="142"/>
      <c r="F92" s="142"/>
      <c r="G92" s="142"/>
    </row>
    <row r="93" spans="2:7">
      <c r="D93" s="142"/>
      <c r="E93" s="142"/>
      <c r="F93" s="142"/>
      <c r="G93" s="142"/>
    </row>
    <row r="94" spans="2:7">
      <c r="D94" s="142"/>
      <c r="E94" s="142"/>
      <c r="F94" s="142"/>
      <c r="G94" s="142"/>
    </row>
    <row r="95" spans="2:7">
      <c r="D95" s="142"/>
      <c r="E95" s="142"/>
      <c r="F95" s="142"/>
      <c r="G95" s="142"/>
    </row>
    <row r="96" spans="2:7">
      <c r="D96" s="142"/>
      <c r="E96" s="142"/>
      <c r="F96" s="142"/>
      <c r="G96" s="142"/>
    </row>
    <row r="97" spans="4:7">
      <c r="D97" s="142"/>
      <c r="E97" s="142"/>
      <c r="F97" s="142"/>
      <c r="G97" s="142"/>
    </row>
    <row r="98" spans="4:7">
      <c r="D98" s="142"/>
      <c r="E98" s="142"/>
      <c r="F98" s="142"/>
      <c r="G98" s="142"/>
    </row>
    <row r="99" spans="4:7">
      <c r="D99" s="142"/>
      <c r="E99" s="142"/>
      <c r="F99" s="142"/>
      <c r="G99" s="142"/>
    </row>
    <row r="100" spans="4:7">
      <c r="D100" s="142"/>
      <c r="E100" s="142"/>
      <c r="F100" s="142"/>
      <c r="G100" s="142"/>
    </row>
    <row r="101" spans="4:7">
      <c r="D101" s="142"/>
      <c r="E101" s="142"/>
      <c r="F101" s="142"/>
      <c r="G101" s="142"/>
    </row>
    <row r="102" spans="4:7">
      <c r="D102" s="142"/>
      <c r="E102" s="142"/>
      <c r="F102" s="142"/>
      <c r="G102" s="142"/>
    </row>
    <row r="103" spans="4:7">
      <c r="D103" s="142"/>
      <c r="E103" s="142"/>
      <c r="F103" s="142"/>
      <c r="G103" s="142"/>
    </row>
    <row r="104" spans="4:7">
      <c r="D104" s="142"/>
      <c r="E104" s="142"/>
      <c r="F104" s="142"/>
      <c r="G104" s="142"/>
    </row>
    <row r="105" spans="4:7">
      <c r="D105" s="142"/>
      <c r="E105" s="142"/>
      <c r="F105" s="142"/>
      <c r="G105" s="142"/>
    </row>
    <row r="106" spans="4:7">
      <c r="D106" s="142"/>
      <c r="E106" s="142"/>
      <c r="F106" s="142"/>
      <c r="G106" s="142"/>
    </row>
    <row r="107" spans="4:7">
      <c r="D107" s="142"/>
      <c r="E107" s="142"/>
      <c r="F107" s="142"/>
      <c r="G107" s="142"/>
    </row>
    <row r="108" spans="4:7">
      <c r="D108" s="142"/>
      <c r="E108" s="142"/>
      <c r="F108" s="142"/>
      <c r="G108" s="142"/>
    </row>
    <row r="109" spans="4:7">
      <c r="D109" s="142"/>
      <c r="E109" s="142"/>
      <c r="F109" s="142"/>
      <c r="G109" s="142"/>
    </row>
    <row r="110" spans="4:7">
      <c r="D110" s="142"/>
      <c r="E110" s="142"/>
      <c r="F110" s="142"/>
      <c r="G110" s="142"/>
    </row>
    <row r="111" spans="4:7">
      <c r="D111" s="142"/>
      <c r="E111" s="142"/>
      <c r="F111" s="142"/>
      <c r="G111" s="142"/>
    </row>
    <row r="112" spans="4:7">
      <c r="D112" s="142"/>
      <c r="E112" s="142"/>
      <c r="F112" s="142"/>
      <c r="G112" s="142"/>
    </row>
    <row r="113" spans="4:7">
      <c r="D113" s="142"/>
      <c r="E113" s="142"/>
      <c r="F113" s="142"/>
      <c r="G113" s="142"/>
    </row>
    <row r="114" spans="4:7">
      <c r="D114" s="142"/>
      <c r="E114" s="142"/>
      <c r="F114" s="142"/>
      <c r="G114" s="142"/>
    </row>
    <row r="115" spans="4:7">
      <c r="D115" s="142"/>
      <c r="E115" s="142"/>
      <c r="F115" s="142"/>
      <c r="G115" s="142"/>
    </row>
    <row r="116" spans="4:7">
      <c r="D116" s="142"/>
      <c r="E116" s="142"/>
      <c r="F116" s="142"/>
      <c r="G116" s="142"/>
    </row>
    <row r="117" spans="4:7">
      <c r="D117" s="142"/>
      <c r="E117" s="142"/>
      <c r="F117" s="142"/>
      <c r="G117" s="142"/>
    </row>
    <row r="118" spans="4:7">
      <c r="D118" s="142"/>
      <c r="E118" s="142"/>
      <c r="F118" s="142"/>
      <c r="G118" s="142"/>
    </row>
    <row r="119" spans="4:7">
      <c r="D119" s="142"/>
      <c r="E119" s="142"/>
      <c r="F119" s="142"/>
      <c r="G119" s="142"/>
    </row>
    <row r="120" spans="4:7">
      <c r="D120" s="142"/>
      <c r="E120" s="142"/>
      <c r="F120" s="142"/>
      <c r="G120" s="142"/>
    </row>
    <row r="121" spans="4:7">
      <c r="D121" s="142"/>
      <c r="E121" s="142"/>
      <c r="F121" s="142"/>
      <c r="G121" s="142"/>
    </row>
    <row r="122" spans="4:7">
      <c r="D122" s="142"/>
      <c r="E122" s="142"/>
      <c r="F122" s="142"/>
      <c r="G122" s="142"/>
    </row>
    <row r="123" spans="4:7">
      <c r="D123" s="142"/>
      <c r="E123" s="142"/>
      <c r="F123" s="142"/>
      <c r="G123" s="142"/>
    </row>
    <row r="124" spans="4:7">
      <c r="D124" s="142"/>
      <c r="E124" s="142"/>
      <c r="F124" s="142"/>
      <c r="G124" s="142"/>
    </row>
    <row r="125" spans="4:7">
      <c r="D125" s="142"/>
      <c r="E125" s="142"/>
      <c r="F125" s="142"/>
      <c r="G125" s="142"/>
    </row>
    <row r="126" spans="4:7">
      <c r="D126" s="142"/>
      <c r="E126" s="142"/>
      <c r="F126" s="142"/>
      <c r="G126" s="142"/>
    </row>
    <row r="127" spans="4:7">
      <c r="D127" s="142"/>
      <c r="E127" s="142"/>
      <c r="F127" s="142"/>
      <c r="G127" s="142"/>
    </row>
    <row r="128" spans="4:7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</sheetData>
  <sheetProtection sheet="1" objects="1" scenarios="1"/>
  <mergeCells count="11">
    <mergeCell ref="J2:L2"/>
    <mergeCell ref="A2:A4"/>
    <mergeCell ref="B2:B4"/>
    <mergeCell ref="C2:C4"/>
    <mergeCell ref="H2:H4"/>
    <mergeCell ref="D2:G2"/>
    <mergeCell ref="D46:F46"/>
    <mergeCell ref="D60:F60"/>
    <mergeCell ref="D61:F61"/>
    <mergeCell ref="D71:F71"/>
    <mergeCell ref="D72:F7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N185"/>
  <sheetViews>
    <sheetView zoomScale="70" zoomScaleNormal="70" workbookViewId="0">
      <selection activeCell="H16" sqref="H16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14.296875" style="163" customWidth="1"/>
    <col min="9" max="9" width="59.8984375" style="132" customWidth="1"/>
    <col min="10" max="10" width="9.09765625" style="132"/>
    <col min="11" max="11" width="16.296875" style="132" customWidth="1"/>
    <col min="12" max="12" width="13.296875" style="132" customWidth="1"/>
    <col min="13" max="13" width="9.09765625" style="132"/>
    <col min="14" max="14" width="8.8984375" style="132" hidden="1" customWidth="1"/>
    <col min="15" max="16" width="0" style="132" hidden="1" customWidth="1"/>
    <col min="17" max="17" width="9.09765625" style="132"/>
    <col min="18" max="18" width="23.09765625" style="132" customWidth="1"/>
    <col min="19" max="20" width="9.09765625" style="132"/>
    <col min="21" max="21" width="15.09765625" style="132" bestFit="1" customWidth="1"/>
    <col min="22" max="22" width="12.296875" style="132" bestFit="1" customWidth="1"/>
    <col min="23" max="23" width="15.09765625" style="132" bestFit="1" customWidth="1"/>
    <col min="24" max="16384" width="9.09765625" style="132"/>
  </cols>
  <sheetData>
    <row r="2" spans="1:12" ht="15">
      <c r="A2" s="1284"/>
      <c r="B2" s="1285" t="s">
        <v>45</v>
      </c>
      <c r="C2" s="1284" t="s">
        <v>46</v>
      </c>
      <c r="D2" s="1286" t="s">
        <v>47</v>
      </c>
      <c r="E2" s="1287"/>
      <c r="F2" s="1287"/>
      <c r="G2" s="1287"/>
      <c r="H2" s="1287"/>
      <c r="I2" s="1285" t="s">
        <v>48</v>
      </c>
      <c r="K2" s="1219" t="s">
        <v>12</v>
      </c>
      <c r="L2" s="1220"/>
    </row>
    <row r="3" spans="1:12" ht="15.6">
      <c r="A3" s="1284"/>
      <c r="B3" s="1285"/>
      <c r="C3" s="1284"/>
      <c r="D3" s="152" t="s">
        <v>49</v>
      </c>
      <c r="E3" s="152" t="s">
        <v>262</v>
      </c>
      <c r="F3" s="152" t="s">
        <v>263</v>
      </c>
      <c r="G3" s="152" t="s">
        <v>51</v>
      </c>
      <c r="H3" s="174" t="s">
        <v>52</v>
      </c>
      <c r="I3" s="1285"/>
      <c r="K3" s="2" t="s">
        <v>13</v>
      </c>
      <c r="L3" s="131" t="s">
        <v>151</v>
      </c>
    </row>
    <row r="4" spans="1:12" ht="15.6">
      <c r="A4" s="1284"/>
      <c r="B4" s="1285"/>
      <c r="C4" s="1284"/>
      <c r="D4" s="152" t="s">
        <v>53</v>
      </c>
      <c r="E4" s="152" t="s">
        <v>54</v>
      </c>
      <c r="F4" s="152" t="s">
        <v>54</v>
      </c>
      <c r="G4" s="152" t="s">
        <v>55</v>
      </c>
      <c r="H4" s="174" t="s">
        <v>147</v>
      </c>
      <c r="I4" s="1285"/>
      <c r="K4" s="2" t="s">
        <v>16</v>
      </c>
      <c r="L4" s="168">
        <v>1</v>
      </c>
    </row>
    <row r="5" spans="1:12">
      <c r="A5" s="153" t="s">
        <v>56</v>
      </c>
      <c r="C5" s="154"/>
      <c r="D5" s="154"/>
      <c r="E5" s="154"/>
      <c r="F5" s="154"/>
      <c r="G5" s="154"/>
      <c r="H5" s="175"/>
      <c r="I5" s="133"/>
      <c r="K5" s="2" t="s">
        <v>257</v>
      </c>
      <c r="L5" s="168">
        <v>30</v>
      </c>
    </row>
    <row r="6" spans="1:12">
      <c r="A6" s="134"/>
      <c r="B6" s="135" t="s">
        <v>57</v>
      </c>
      <c r="C6" s="134" t="s">
        <v>58</v>
      </c>
      <c r="D6" s="155">
        <f>D70*$G$70*10^-6</f>
        <v>5.7221999999999995E-2</v>
      </c>
      <c r="E6" s="155">
        <f>E70*$G$70*10^-6</f>
        <v>1.02E-6</v>
      </c>
      <c r="F6" s="155"/>
      <c r="G6" s="155">
        <f>F70*$G$70*10^-6</f>
        <v>1.02E-7</v>
      </c>
      <c r="H6" s="175">
        <f t="shared" ref="H6:H15" si="0">D6+(E6*$L$5)+(G6*$L$7)</f>
        <v>5.7279629999999991E-2</v>
      </c>
      <c r="I6" s="136" t="s">
        <v>59</v>
      </c>
      <c r="J6" s="163"/>
      <c r="K6" s="2" t="s">
        <v>26</v>
      </c>
      <c r="L6" s="168">
        <v>28</v>
      </c>
    </row>
    <row r="7" spans="1:12">
      <c r="A7" s="134"/>
      <c r="B7" s="135" t="s">
        <v>57</v>
      </c>
      <c r="C7" s="134" t="s">
        <v>150</v>
      </c>
      <c r="D7" s="155">
        <f>D70/1000000</f>
        <v>5.6099999999999997E-2</v>
      </c>
      <c r="E7" s="155">
        <f t="shared" ref="E7" si="1">E70/1000000</f>
        <v>9.9999999999999995E-7</v>
      </c>
      <c r="F7" s="155"/>
      <c r="G7" s="155">
        <f>F70/1000000</f>
        <v>1.0000000000000001E-7</v>
      </c>
      <c r="H7" s="175">
        <f t="shared" si="0"/>
        <v>5.6156499999999998E-2</v>
      </c>
      <c r="I7" s="136" t="s">
        <v>59</v>
      </c>
      <c r="J7" s="163"/>
      <c r="K7" s="2" t="s">
        <v>27</v>
      </c>
      <c r="L7" s="168">
        <v>265</v>
      </c>
    </row>
    <row r="8" spans="1:12">
      <c r="A8" s="134"/>
      <c r="B8" s="135" t="s">
        <v>60</v>
      </c>
      <c r="C8" s="134" t="s">
        <v>61</v>
      </c>
      <c r="D8" s="155">
        <f>D71*$G$71*10^-6</f>
        <v>1.0574699999999999</v>
      </c>
      <c r="E8" s="155">
        <f>E71*$G$71*10^-6</f>
        <v>1.047E-5</v>
      </c>
      <c r="F8" s="155"/>
      <c r="G8" s="155">
        <f>F71*$G$71*10^-6</f>
        <v>1.5705E-5</v>
      </c>
      <c r="H8" s="175">
        <f t="shared" si="0"/>
        <v>1.0619459249999998</v>
      </c>
      <c r="I8" s="136" t="s">
        <v>59</v>
      </c>
      <c r="J8" s="163"/>
      <c r="K8" s="2" t="s">
        <v>28</v>
      </c>
      <c r="L8" s="168">
        <v>23500</v>
      </c>
    </row>
    <row r="9" spans="1:12">
      <c r="A9" s="134"/>
      <c r="B9" s="135" t="s">
        <v>153</v>
      </c>
      <c r="C9" s="134" t="s">
        <v>62</v>
      </c>
      <c r="D9" s="155">
        <f>D72*$G$72*10^-6</f>
        <v>3.2096984443713019</v>
      </c>
      <c r="E9" s="155">
        <f>E72*$G$72*10^-6</f>
        <v>1.2440691644850007E-4</v>
      </c>
      <c r="F9" s="155"/>
      <c r="G9" s="155">
        <f>F72*$G$72*10^-6</f>
        <v>2.4881383289700012E-5</v>
      </c>
      <c r="H9" s="175">
        <f t="shared" si="0"/>
        <v>3.2200242184365275</v>
      </c>
      <c r="I9" s="136" t="s">
        <v>157</v>
      </c>
      <c r="J9" s="163"/>
      <c r="K9" s="2" t="s">
        <v>29</v>
      </c>
      <c r="L9" s="168">
        <v>16100</v>
      </c>
    </row>
    <row r="10" spans="1:12">
      <c r="A10" s="134"/>
      <c r="B10" s="135" t="s">
        <v>156</v>
      </c>
      <c r="C10" s="134" t="s">
        <v>62</v>
      </c>
      <c r="D10" s="155">
        <f>D73*$G$73*10^-6</f>
        <v>3.2353401009425418</v>
      </c>
      <c r="E10" s="155">
        <f>E73*$G$73*10^-6</f>
        <v>1.2540077910630005E-4</v>
      </c>
      <c r="F10" s="155"/>
      <c r="G10" s="155">
        <f>F73*$G$73*10^-6</f>
        <v>2.5080155821260009E-5</v>
      </c>
      <c r="H10" s="175">
        <f t="shared" si="0"/>
        <v>3.2457483656083648</v>
      </c>
      <c r="I10" s="136" t="s">
        <v>157</v>
      </c>
      <c r="J10" s="163"/>
      <c r="K10" s="132" t="s">
        <v>160</v>
      </c>
    </row>
    <row r="11" spans="1:12">
      <c r="A11" s="134"/>
      <c r="B11" s="135" t="s">
        <v>63</v>
      </c>
      <c r="C11" s="134" t="s">
        <v>62</v>
      </c>
      <c r="D11" s="155">
        <f>D74*$G$74*10^-6</f>
        <v>2.6987220000000001</v>
      </c>
      <c r="E11" s="155">
        <f>E74*$G$74*10^-6</f>
        <v>1.0925999999999999E-4</v>
      </c>
      <c r="F11" s="155"/>
      <c r="G11" s="155">
        <f>F74*$G$74*10^-6</f>
        <v>2.1852E-5</v>
      </c>
      <c r="H11" s="175">
        <f t="shared" si="0"/>
        <v>2.7077905800000002</v>
      </c>
      <c r="I11" s="136" t="s">
        <v>59</v>
      </c>
      <c r="J11" s="163"/>
    </row>
    <row r="12" spans="1:12">
      <c r="A12" s="134"/>
      <c r="B12" s="135" t="s">
        <v>64</v>
      </c>
      <c r="C12" s="134" t="s">
        <v>61</v>
      </c>
      <c r="D12" s="155">
        <f>D75*$G$75*10^-6</f>
        <v>3.0866199999999999</v>
      </c>
      <c r="E12" s="155">
        <f>E75*$G$75*10^-6</f>
        <v>3.1399999999999998E-5</v>
      </c>
      <c r="F12" s="155"/>
      <c r="G12" s="155">
        <f>F75*$G$75*10^-6</f>
        <v>4.7099999999999993E-5</v>
      </c>
      <c r="H12" s="175">
        <f t="shared" si="0"/>
        <v>3.1000435</v>
      </c>
      <c r="I12" s="136" t="s">
        <v>59</v>
      </c>
      <c r="J12" s="163"/>
    </row>
    <row r="13" spans="1:12">
      <c r="A13" s="134"/>
      <c r="B13" s="135" t="s">
        <v>65</v>
      </c>
      <c r="C13" s="134" t="s">
        <v>61</v>
      </c>
      <c r="D13" s="155">
        <f>D76*$G$76*10^-6</f>
        <v>2.534157</v>
      </c>
      <c r="E13" s="155">
        <f>E76*$G$76*10^-6</f>
        <v>2.637E-5</v>
      </c>
      <c r="F13" s="155"/>
      <c r="G13" s="155">
        <f>F76*$G$76*10^-6</f>
        <v>3.9554999999999997E-5</v>
      </c>
      <c r="H13" s="175">
        <f t="shared" si="0"/>
        <v>2.5454301749999999</v>
      </c>
      <c r="I13" s="136" t="s">
        <v>59</v>
      </c>
      <c r="J13" s="163"/>
    </row>
    <row r="14" spans="1:12">
      <c r="A14" s="134"/>
      <c r="B14" s="135" t="s">
        <v>66</v>
      </c>
      <c r="C14" s="134" t="s">
        <v>62</v>
      </c>
      <c r="D14" s="155">
        <f>D77*$G$77*10^-6</f>
        <v>2.4688949999999998</v>
      </c>
      <c r="E14" s="155">
        <f>E77*$G$77*10^-6</f>
        <v>1.0359E-4</v>
      </c>
      <c r="F14" s="155"/>
      <c r="G14" s="155">
        <f t="shared" ref="G14" si="2">F77*$G$77*10^-6</f>
        <v>2.0718000000000001E-5</v>
      </c>
      <c r="H14" s="175">
        <f t="shared" si="0"/>
        <v>2.4774929700000001</v>
      </c>
      <c r="I14" s="136" t="s">
        <v>59</v>
      </c>
      <c r="J14" s="163"/>
    </row>
    <row r="15" spans="1:12">
      <c r="A15" s="134"/>
      <c r="B15" s="135" t="s">
        <v>67</v>
      </c>
      <c r="C15" s="134" t="s">
        <v>62</v>
      </c>
      <c r="D15" s="155">
        <f>D78*$G$78*10^-6</f>
        <v>1.6797219999999999</v>
      </c>
      <c r="E15" s="155">
        <f>E78*$G$78*10^-6</f>
        <v>2.6619999999999999E-5</v>
      </c>
      <c r="F15" s="155"/>
      <c r="G15" s="155">
        <f>F78*$G$78*10^-6</f>
        <v>2.6620000000000001E-6</v>
      </c>
      <c r="H15" s="175">
        <f t="shared" si="0"/>
        <v>1.6812260299999999</v>
      </c>
      <c r="I15" s="136" t="s">
        <v>59</v>
      </c>
      <c r="J15" s="163"/>
    </row>
    <row r="16" spans="1:12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>E15/0.54</f>
        <v>4.9296296296296292E-5</v>
      </c>
      <c r="F16" s="155"/>
      <c r="G16" s="155">
        <f t="shared" ref="G16" si="3">G15/0.54</f>
        <v>4.9296296296296292E-6</v>
      </c>
      <c r="H16" s="175">
        <f>D16+(E16*$L$5)+(G16*$L$7)</f>
        <v>3.1133815370370366</v>
      </c>
      <c r="I16" s="136" t="s">
        <v>158</v>
      </c>
      <c r="J16" s="163"/>
    </row>
    <row r="17" spans="1:10">
      <c r="A17" s="153"/>
      <c r="B17" s="135" t="s">
        <v>148</v>
      </c>
      <c r="C17" s="134" t="s">
        <v>62</v>
      </c>
      <c r="D17" s="155">
        <f>D79*$G$79*10^-6</f>
        <v>2.1815639999999998</v>
      </c>
      <c r="E17" s="155">
        <f>E79*$G$79*10^-6</f>
        <v>9.4439999999999997E-5</v>
      </c>
      <c r="F17" s="155"/>
      <c r="G17" s="155">
        <f>F79*$G$79*10^-6</f>
        <v>1.8887999999999996E-5</v>
      </c>
      <c r="H17" s="175">
        <f>D17+(E17*$L$5)+(G17*$L$7)</f>
        <v>2.1894025199999998</v>
      </c>
      <c r="I17" s="136" t="s">
        <v>59</v>
      </c>
      <c r="J17" s="163"/>
    </row>
    <row r="18" spans="1:10">
      <c r="A18" s="153"/>
      <c r="B18" s="135" t="s">
        <v>182</v>
      </c>
      <c r="C18" s="134" t="s">
        <v>61</v>
      </c>
      <c r="D18" s="155"/>
      <c r="E18" s="155"/>
      <c r="F18" s="155">
        <f>E80*$G$80*10^-6</f>
        <v>4.7969999999999995E-4</v>
      </c>
      <c r="G18" s="155">
        <f>F80*$G$80*10^-6</f>
        <v>6.3960000000000004E-5</v>
      </c>
      <c r="H18" s="175">
        <f>D18+(F18*$L$6)+(G18*$L$7)</f>
        <v>3.0380999999999998E-2</v>
      </c>
      <c r="I18" s="136" t="s">
        <v>59</v>
      </c>
      <c r="J18" s="163"/>
    </row>
    <row r="19" spans="1:10">
      <c r="A19" s="153"/>
      <c r="B19" s="135" t="s">
        <v>183</v>
      </c>
      <c r="C19" s="134" t="s">
        <v>61</v>
      </c>
      <c r="D19" s="155"/>
      <c r="E19" s="155"/>
      <c r="F19" s="155">
        <f>E82*$G$82*10^-6</f>
        <v>2.2589999999999999E-4</v>
      </c>
      <c r="G19" s="155">
        <f>F82*$G$82*10^-6</f>
        <v>3.012E-5</v>
      </c>
      <c r="H19" s="175">
        <f>D19+(F19*$L$6)+(G19*$L$7)</f>
        <v>1.4307E-2</v>
      </c>
      <c r="I19" s="136" t="s">
        <v>59</v>
      </c>
      <c r="J19" s="163"/>
    </row>
    <row r="20" spans="1:10">
      <c r="A20" s="153"/>
      <c r="B20" s="135" t="s">
        <v>184</v>
      </c>
      <c r="C20" s="134" t="s">
        <v>61</v>
      </c>
      <c r="D20" s="155"/>
      <c r="E20" s="155"/>
      <c r="F20" s="155">
        <f>E83*$G$83*10^-6</f>
        <v>5.5590000000000001E-4</v>
      </c>
      <c r="G20" s="155">
        <f>F83*$G$83*10^-6</f>
        <v>7.4120000000000002E-5</v>
      </c>
      <c r="H20" s="175">
        <f>D20+(F20*$L$6)+(G20*$L$7)</f>
        <v>3.5207000000000002E-2</v>
      </c>
      <c r="I20" s="136" t="s">
        <v>59</v>
      </c>
      <c r="J20" s="163"/>
    </row>
    <row r="21" spans="1:10">
      <c r="A21" s="153"/>
      <c r="B21" s="135" t="s">
        <v>185</v>
      </c>
      <c r="C21" s="134" t="s">
        <v>61</v>
      </c>
      <c r="D21" s="155"/>
      <c r="E21" s="155"/>
      <c r="F21" s="155">
        <f>E84*$G$84*10^-6</f>
        <v>5.0339999999999998E-4</v>
      </c>
      <c r="G21" s="155">
        <f>F84*$G$84*10^-6</f>
        <v>6.7120000000000008E-5</v>
      </c>
      <c r="H21" s="175">
        <f>D21+(F21*$L$6)+(G21*$L$7)</f>
        <v>3.1882000000000001E-2</v>
      </c>
      <c r="I21" s="136" t="s">
        <v>59</v>
      </c>
      <c r="J21" s="163"/>
    </row>
    <row r="22" spans="1:10">
      <c r="A22" s="153"/>
      <c r="B22" s="135" t="s">
        <v>186</v>
      </c>
      <c r="C22" s="134" t="s">
        <v>211</v>
      </c>
      <c r="D22" s="155"/>
      <c r="E22" s="155"/>
      <c r="F22" s="155">
        <f>E85*$G$85*10^-6</f>
        <v>2.0929999999999998E-5</v>
      </c>
      <c r="G22" s="155">
        <f>F85*$G$85*10^-6</f>
        <v>2.0929999999999997E-6</v>
      </c>
      <c r="H22" s="175">
        <f>D22+(F22*$L$6)+(G22*$L$7)</f>
        <v>1.1406849999999998E-3</v>
      </c>
      <c r="I22" s="136" t="s">
        <v>59</v>
      </c>
      <c r="J22" s="163"/>
    </row>
    <row r="23" spans="1:10">
      <c r="A23" s="153"/>
      <c r="B23" s="135" t="s">
        <v>187</v>
      </c>
      <c r="C23" s="134" t="s">
        <v>61</v>
      </c>
      <c r="D23" s="155">
        <f>D80*$G$80*10^-6</f>
        <v>1.79088</v>
      </c>
      <c r="E23" s="155"/>
      <c r="F23" s="155"/>
      <c r="G23" s="155"/>
      <c r="H23" s="175">
        <f>D23+(E23*$L$5)+(G23*$L$7)</f>
        <v>1.79088</v>
      </c>
      <c r="I23" s="136" t="s">
        <v>59</v>
      </c>
      <c r="J23" s="163"/>
    </row>
    <row r="24" spans="1:10">
      <c r="A24" s="153"/>
      <c r="B24" s="135" t="s">
        <v>188</v>
      </c>
      <c r="C24" s="134" t="s">
        <v>61</v>
      </c>
      <c r="D24" s="155">
        <f>D82*$G$82*10^-6</f>
        <v>0.753</v>
      </c>
      <c r="E24" s="155"/>
      <c r="F24" s="155"/>
      <c r="G24" s="155"/>
      <c r="H24" s="175">
        <f>D24+(E24*$L$5)+(G24*$L$7)</f>
        <v>0.753</v>
      </c>
      <c r="I24" s="136" t="s">
        <v>59</v>
      </c>
      <c r="J24" s="163"/>
    </row>
    <row r="25" spans="1:10">
      <c r="A25" s="153"/>
      <c r="B25" s="135" t="s">
        <v>189</v>
      </c>
      <c r="C25" s="134" t="s">
        <v>61</v>
      </c>
      <c r="D25" s="155">
        <f>D83*$G$83*10^-6</f>
        <v>1.853</v>
      </c>
      <c r="E25" s="155"/>
      <c r="F25" s="155"/>
      <c r="G25" s="155"/>
      <c r="H25" s="175">
        <f>D25+(E25*$L$5)+(G25*$L$7)</f>
        <v>1.853</v>
      </c>
      <c r="I25" s="136" t="s">
        <v>59</v>
      </c>
      <c r="J25" s="163"/>
    </row>
    <row r="26" spans="1:10">
      <c r="A26" s="153"/>
      <c r="B26" s="135" t="s">
        <v>190</v>
      </c>
      <c r="C26" s="134" t="s">
        <v>61</v>
      </c>
      <c r="D26" s="155">
        <f>D84*$G$84*10^-6</f>
        <v>1.6779999999999999</v>
      </c>
      <c r="E26" s="155"/>
      <c r="F26" s="155"/>
      <c r="G26" s="155"/>
      <c r="H26" s="175">
        <f>D26+(E26*$L$5)+(G26*$L$7)</f>
        <v>1.6779999999999999</v>
      </c>
      <c r="I26" s="136" t="s">
        <v>59</v>
      </c>
      <c r="J26" s="163"/>
    </row>
    <row r="27" spans="1:10">
      <c r="A27" s="153"/>
      <c r="B27" s="135" t="s">
        <v>191</v>
      </c>
      <c r="C27" s="134" t="s">
        <v>211</v>
      </c>
      <c r="D27" s="155">
        <f>D85*$G$85*10^-6</f>
        <v>1.1427779999999998</v>
      </c>
      <c r="E27" s="155"/>
      <c r="F27" s="155"/>
      <c r="G27" s="155"/>
      <c r="H27" s="175">
        <f>D27+(E27*$L$5)+(G27*$L$7)</f>
        <v>1.1427779999999998</v>
      </c>
      <c r="I27" s="136" t="s">
        <v>59</v>
      </c>
      <c r="J27" s="163"/>
    </row>
    <row r="28" spans="1:10">
      <c r="A28" s="153" t="s">
        <v>68</v>
      </c>
      <c r="B28" s="135"/>
      <c r="C28" s="134"/>
      <c r="D28" s="155"/>
      <c r="E28" s="155"/>
      <c r="F28" s="155"/>
      <c r="G28" s="155"/>
      <c r="H28" s="175"/>
      <c r="I28" s="136"/>
      <c r="J28" s="163"/>
    </row>
    <row r="29" spans="1:10">
      <c r="A29" s="153"/>
      <c r="B29" s="135" t="s">
        <v>69</v>
      </c>
      <c r="C29" s="137" t="s">
        <v>62</v>
      </c>
      <c r="D29" s="155">
        <f>D91*$G$91*10^-6</f>
        <v>2.1815639999999998</v>
      </c>
      <c r="E29" s="155">
        <f>E91*$G$91*10^-6</f>
        <v>1.0388399999999999E-3</v>
      </c>
      <c r="F29" s="155"/>
      <c r="G29" s="155">
        <f>F91*$G$91*10^-6</f>
        <v>1.0073600000000001E-4</v>
      </c>
      <c r="H29" s="175">
        <f t="shared" ref="H29:H35" si="4">D29+(E29*$L$5)+(G29*$L$7)</f>
        <v>2.2394242399999995</v>
      </c>
      <c r="I29" s="136" t="s">
        <v>70</v>
      </c>
      <c r="J29" s="163"/>
    </row>
    <row r="30" spans="1:10">
      <c r="A30" s="153"/>
      <c r="B30" s="135" t="s">
        <v>149</v>
      </c>
      <c r="C30" s="137" t="s">
        <v>62</v>
      </c>
      <c r="D30" s="155">
        <f>D92*$G$92*10^-6</f>
        <v>2.1815639999999998</v>
      </c>
      <c r="E30" s="155">
        <f>E92*$G$92*10^-6</f>
        <v>7.8699999999999994E-4</v>
      </c>
      <c r="F30" s="155"/>
      <c r="G30" s="155">
        <f>F92*$G$92*10^-6</f>
        <v>2.5183999999999997E-4</v>
      </c>
      <c r="H30" s="175">
        <f t="shared" si="4"/>
        <v>2.2719116000000001</v>
      </c>
      <c r="I30" s="136" t="s">
        <v>70</v>
      </c>
      <c r="J30" s="163"/>
    </row>
    <row r="31" spans="1:10">
      <c r="A31" s="153"/>
      <c r="B31" s="135" t="s">
        <v>72</v>
      </c>
      <c r="C31" s="137" t="s">
        <v>62</v>
      </c>
      <c r="D31" s="155">
        <f>D93*$G$93*10^-6</f>
        <v>2.1815639999999998</v>
      </c>
      <c r="E31" s="155">
        <f>E93*$G$93*10^-6</f>
        <v>1.1962399999999999E-4</v>
      </c>
      <c r="F31" s="155"/>
      <c r="G31" s="155">
        <f>F93*$G$93*10^-6</f>
        <v>1.7943599999999999E-4</v>
      </c>
      <c r="H31" s="175">
        <f t="shared" si="4"/>
        <v>2.2327032600000001</v>
      </c>
      <c r="I31" s="136" t="s">
        <v>70</v>
      </c>
      <c r="J31" s="163"/>
    </row>
    <row r="32" spans="1:10">
      <c r="A32" s="153"/>
      <c r="B32" s="135" t="s">
        <v>73</v>
      </c>
      <c r="C32" s="137" t="s">
        <v>62</v>
      </c>
      <c r="D32" s="155">
        <f>D94*$G$94*10^-6</f>
        <v>2.6987220000000001</v>
      </c>
      <c r="E32" s="155">
        <f>E94*$G$94*10^-6</f>
        <v>1.4203800000000001E-4</v>
      </c>
      <c r="F32" s="155"/>
      <c r="G32" s="155">
        <f>F94*$G$94*10^-6</f>
        <v>1.4203800000000001E-4</v>
      </c>
      <c r="H32" s="175">
        <f t="shared" si="4"/>
        <v>2.7406232100000003</v>
      </c>
      <c r="I32" s="136" t="s">
        <v>70</v>
      </c>
      <c r="J32" s="163"/>
    </row>
    <row r="33" spans="1:10">
      <c r="A33" s="153"/>
      <c r="B33" s="135" t="s">
        <v>74</v>
      </c>
      <c r="C33" s="137" t="s">
        <v>61</v>
      </c>
      <c r="D33" s="155">
        <f>D95*$G$95*10^-6</f>
        <v>2.1261899999999998</v>
      </c>
      <c r="E33" s="155">
        <f>E95*$G$95*10^-6</f>
        <v>3.4867999999999995E-3</v>
      </c>
      <c r="F33" s="155"/>
      <c r="G33" s="155">
        <f>F95*$G$95*10^-6</f>
        <v>1.1369999999999999E-4</v>
      </c>
      <c r="H33" s="175">
        <f t="shared" si="4"/>
        <v>2.2609244999999998</v>
      </c>
      <c r="I33" s="136" t="s">
        <v>75</v>
      </c>
      <c r="J33" s="163"/>
    </row>
    <row r="34" spans="1:10">
      <c r="A34" s="153"/>
      <c r="B34" s="135" t="s">
        <v>76</v>
      </c>
      <c r="C34" s="137" t="s">
        <v>62</v>
      </c>
      <c r="D34" s="155">
        <f>D96*$G$96*10^-6</f>
        <v>1.6797219999999999</v>
      </c>
      <c r="E34" s="155">
        <f>E96*$G$96*10^-6</f>
        <v>1.65044E-3</v>
      </c>
      <c r="F34" s="155"/>
      <c r="G34" s="155">
        <f>F96*$G$96*10^-6</f>
        <v>5.3240000000000002E-6</v>
      </c>
      <c r="H34" s="175">
        <f t="shared" si="4"/>
        <v>1.73064606</v>
      </c>
      <c r="I34" s="136" t="s">
        <v>70</v>
      </c>
      <c r="J34" s="163"/>
    </row>
    <row r="35" spans="1:10">
      <c r="A35" s="153"/>
      <c r="B35" s="135" t="s">
        <v>76</v>
      </c>
      <c r="C35" s="134" t="s">
        <v>61</v>
      </c>
      <c r="D35" s="155">
        <f>D34/0.54</f>
        <v>3.1105962962962961</v>
      </c>
      <c r="E35" s="155">
        <f t="shared" ref="E35:G35" si="5">E34/0.54</f>
        <v>3.0563703703703703E-3</v>
      </c>
      <c r="F35" s="155"/>
      <c r="G35" s="155">
        <f t="shared" si="5"/>
        <v>9.8592592592592585E-6</v>
      </c>
      <c r="H35" s="175">
        <f t="shared" si="4"/>
        <v>3.2049001111111108</v>
      </c>
      <c r="I35" s="136" t="s">
        <v>159</v>
      </c>
      <c r="J35" s="163"/>
    </row>
    <row r="36" spans="1:10">
      <c r="A36" s="153" t="s">
        <v>77</v>
      </c>
      <c r="B36" s="135"/>
      <c r="C36" s="134"/>
      <c r="D36" s="155"/>
      <c r="E36" s="155"/>
      <c r="F36" s="155"/>
      <c r="G36" s="155"/>
      <c r="H36" s="175"/>
      <c r="I36" s="136"/>
      <c r="J36" s="163"/>
    </row>
    <row r="37" spans="1:10">
      <c r="A37" s="153"/>
      <c r="B37" s="138" t="s">
        <v>78</v>
      </c>
      <c r="C37" s="137"/>
      <c r="D37" s="155"/>
      <c r="E37" s="155"/>
      <c r="F37" s="155"/>
      <c r="G37" s="155"/>
      <c r="H37" s="175"/>
      <c r="I37" s="136"/>
      <c r="J37" s="163"/>
    </row>
    <row r="38" spans="1:10">
      <c r="A38" s="153"/>
      <c r="B38" s="139" t="s">
        <v>79</v>
      </c>
      <c r="C38" s="137" t="s">
        <v>62</v>
      </c>
      <c r="D38" s="155">
        <f>D103*$G$103/(10^6)</f>
        <v>2.6987220000000001</v>
      </c>
      <c r="E38" s="155">
        <f>E103*$G$103/(10^6)</f>
        <v>1.5114300000000004E-4</v>
      </c>
      <c r="F38" s="155"/>
      <c r="G38" s="155">
        <f>F103*$G$103/(10^6)</f>
        <v>1.0416120000000001E-3</v>
      </c>
      <c r="H38" s="175">
        <f>D38+(E38*$L$5)+(G38*$L$7)</f>
        <v>2.9792834700000004</v>
      </c>
      <c r="I38" s="136" t="s">
        <v>80</v>
      </c>
      <c r="J38" s="163"/>
    </row>
    <row r="39" spans="1:10">
      <c r="A39" s="153"/>
      <c r="B39" s="139" t="s">
        <v>81</v>
      </c>
      <c r="C39" s="137" t="s">
        <v>62</v>
      </c>
      <c r="D39" s="155">
        <f>D104*$G$104/(10^6)</f>
        <v>2.6987220000000001</v>
      </c>
      <c r="E39" s="155">
        <f>E104*$G$104/(10^6)</f>
        <v>1.5114300000000004E-4</v>
      </c>
      <c r="F39" s="155"/>
      <c r="G39" s="155">
        <f>F104*$G$104/(10^6)</f>
        <v>1.0416120000000001E-3</v>
      </c>
      <c r="H39" s="175">
        <f>D39+(E39*$L$5)+(G39*$L$7)</f>
        <v>2.9792834700000004</v>
      </c>
      <c r="I39" s="136" t="s">
        <v>80</v>
      </c>
      <c r="J39" s="163"/>
    </row>
    <row r="40" spans="1:10">
      <c r="A40" s="153"/>
      <c r="B40" s="139" t="s">
        <v>82</v>
      </c>
      <c r="C40" s="137" t="s">
        <v>62</v>
      </c>
      <c r="D40" s="155">
        <f>D105*$G$105/(10^6)</f>
        <v>2.6987220000000001</v>
      </c>
      <c r="E40" s="155">
        <f>E105*$G$105/(10^6)</f>
        <v>1.5114300000000004E-4</v>
      </c>
      <c r="F40" s="155"/>
      <c r="G40" s="155">
        <f>F105*$G$105/(10^6)</f>
        <v>1.0416120000000001E-3</v>
      </c>
      <c r="H40" s="175">
        <f>D40+(E40*$L$5)+(G40*$L$7)</f>
        <v>2.9792834700000004</v>
      </c>
      <c r="I40" s="136" t="s">
        <v>80</v>
      </c>
      <c r="J40" s="163"/>
    </row>
    <row r="41" spans="1:10">
      <c r="A41" s="153"/>
      <c r="B41" s="139" t="s">
        <v>83</v>
      </c>
      <c r="C41" s="137" t="s">
        <v>62</v>
      </c>
      <c r="D41" s="155">
        <f>D106*$G$106/(10^6)</f>
        <v>2.6987220000000001</v>
      </c>
      <c r="E41" s="155">
        <f>E106*$G$106/(10^6)</f>
        <v>1.5114300000000004E-4</v>
      </c>
      <c r="F41" s="155"/>
      <c r="G41" s="155">
        <f>F106*$G$106/(10^6)</f>
        <v>1.0416120000000001E-3</v>
      </c>
      <c r="H41" s="175">
        <f>D41+(E41*$L$5)+(G41*$L$7)</f>
        <v>2.9792834700000004</v>
      </c>
      <c r="I41" s="136" t="s">
        <v>80</v>
      </c>
      <c r="J41" s="163"/>
    </row>
    <row r="42" spans="1:10">
      <c r="A42" s="153"/>
      <c r="B42" s="138" t="s">
        <v>84</v>
      </c>
      <c r="C42" s="137"/>
      <c r="D42" s="155"/>
      <c r="E42" s="155"/>
      <c r="F42" s="155"/>
      <c r="G42" s="155"/>
      <c r="H42" s="175"/>
      <c r="I42" s="136"/>
      <c r="J42" s="163"/>
    </row>
    <row r="43" spans="1:10">
      <c r="A43" s="153"/>
      <c r="B43" s="139" t="s">
        <v>79</v>
      </c>
      <c r="C43" s="137" t="s">
        <v>62</v>
      </c>
      <c r="D43" s="155">
        <f>D108*$G$108/(10^6)</f>
        <v>2.1815639999999998</v>
      </c>
      <c r="E43" s="155">
        <f>E108*$G$108/(10^6)</f>
        <v>2.5184000000000001E-3</v>
      </c>
      <c r="F43" s="155"/>
      <c r="G43" s="155">
        <f>F108*$G$108/(10^6)</f>
        <v>6.2960000000000007E-5</v>
      </c>
      <c r="H43" s="175">
        <f>D43+(E43*$L$5)+(G43*$L$7)</f>
        <v>2.2738003999999998</v>
      </c>
      <c r="I43" s="136" t="s">
        <v>80</v>
      </c>
      <c r="J43" s="163"/>
    </row>
    <row r="44" spans="1:10">
      <c r="A44" s="133"/>
      <c r="B44" s="139" t="s">
        <v>81</v>
      </c>
      <c r="C44" s="137" t="s">
        <v>62</v>
      </c>
      <c r="D44" s="155">
        <f>D109*$G$109/(10^6)</f>
        <v>2.1815639999999998</v>
      </c>
      <c r="E44" s="155">
        <f>E109*$G$109/(10^6)</f>
        <v>0</v>
      </c>
      <c r="F44" s="155"/>
      <c r="G44" s="155">
        <f>F109*$G$109/(10^6)</f>
        <v>0</v>
      </c>
      <c r="H44" s="175">
        <f>D44+(E44*$L$5)+(G44*$L$7)</f>
        <v>2.1815639999999998</v>
      </c>
      <c r="I44" s="136" t="s">
        <v>80</v>
      </c>
      <c r="J44" s="163"/>
    </row>
    <row r="45" spans="1:10">
      <c r="A45" s="133"/>
      <c r="B45" s="139" t="s">
        <v>82</v>
      </c>
      <c r="C45" s="137" t="s">
        <v>62</v>
      </c>
      <c r="D45" s="155">
        <f>D110*$G$110/(10^6)</f>
        <v>2.1815639999999998</v>
      </c>
      <c r="E45" s="155">
        <f>E110*$G$110/(10^6)</f>
        <v>1.5740000000000001E-3</v>
      </c>
      <c r="F45" s="155"/>
      <c r="G45" s="155">
        <f>F110*$G$110/(10^6)</f>
        <v>6.2960000000000007E-5</v>
      </c>
      <c r="H45" s="175">
        <f>D45+(E45*$L$5)+(G45*$L$7)</f>
        <v>2.2454683999999996</v>
      </c>
      <c r="I45" s="136" t="s">
        <v>80</v>
      </c>
      <c r="J45" s="163"/>
    </row>
    <row r="46" spans="1:10">
      <c r="A46" s="133"/>
      <c r="B46" s="139" t="s">
        <v>83</v>
      </c>
      <c r="C46" s="137" t="s">
        <v>62</v>
      </c>
      <c r="D46" s="155">
        <f>D111*$G$111/(10^6)</f>
        <v>2.1815639999999998</v>
      </c>
      <c r="E46" s="155">
        <f>E111*$G$111/(10^6)</f>
        <v>3.7775999999999999E-3</v>
      </c>
      <c r="F46" s="155"/>
      <c r="G46" s="155">
        <f>F111*$G$111/(10^6)</f>
        <v>6.2960000000000007E-5</v>
      </c>
      <c r="H46" s="175">
        <f>D46+(E46*$L$5)+(G46*$L$7)</f>
        <v>2.3115763999999999</v>
      </c>
      <c r="I46" s="136" t="s">
        <v>80</v>
      </c>
      <c r="J46" s="163"/>
    </row>
    <row r="47" spans="1:10">
      <c r="A47" s="153"/>
      <c r="B47" s="138" t="s">
        <v>85</v>
      </c>
      <c r="C47" s="137"/>
      <c r="D47" s="155"/>
      <c r="E47" s="155"/>
      <c r="F47" s="155"/>
      <c r="G47" s="155"/>
      <c r="H47" s="175"/>
      <c r="I47" s="136"/>
      <c r="J47" s="163"/>
    </row>
    <row r="48" spans="1:10">
      <c r="A48" s="153"/>
      <c r="B48" s="139" t="s">
        <v>79</v>
      </c>
      <c r="C48" s="137" t="s">
        <v>62</v>
      </c>
      <c r="D48" s="155">
        <f>D113*$G$113/(10^6)</f>
        <v>2.1815639999999998</v>
      </c>
      <c r="E48" s="155">
        <f>E113*$G$113/(10^6)</f>
        <v>4.4072E-3</v>
      </c>
      <c r="F48" s="155"/>
      <c r="G48" s="155">
        <f>F113*$G$113/(10^6)</f>
        <v>1.2592000000000001E-5</v>
      </c>
      <c r="H48" s="175">
        <f>D48+(E48*$L$5)+(G48*$L$7)</f>
        <v>2.3171168799999999</v>
      </c>
      <c r="I48" s="136" t="s">
        <v>80</v>
      </c>
      <c r="J48" s="163"/>
    </row>
    <row r="49" spans="1:11">
      <c r="A49" s="133"/>
      <c r="B49" s="139" t="s">
        <v>81</v>
      </c>
      <c r="C49" s="137" t="s">
        <v>62</v>
      </c>
      <c r="D49" s="155">
        <f>D114*$G$114/(10^6)</f>
        <v>2.1815639999999998</v>
      </c>
      <c r="E49" s="155">
        <f>E114*$G$114/(10^6)</f>
        <v>5.3516000000000006E-3</v>
      </c>
      <c r="F49" s="155"/>
      <c r="G49" s="155">
        <f>F114*$G$114/(10^6)</f>
        <v>1.2592000000000001E-5</v>
      </c>
      <c r="H49" s="175">
        <f>D49+(E49*$L$5)+(G49*$L$7)</f>
        <v>2.3454488799999997</v>
      </c>
      <c r="I49" s="136" t="s">
        <v>80</v>
      </c>
      <c r="J49" s="163"/>
    </row>
    <row r="50" spans="1:11">
      <c r="A50" s="133"/>
      <c r="B50" s="139" t="s">
        <v>82</v>
      </c>
      <c r="C50" s="137" t="s">
        <v>62</v>
      </c>
      <c r="D50" s="155">
        <f>D115*$G$115/(10^6)</f>
        <v>2.1815639999999998</v>
      </c>
      <c r="E50" s="155">
        <f>E115*$G$115/(10^6)</f>
        <v>4.0924000000000004E-3</v>
      </c>
      <c r="F50" s="155"/>
      <c r="G50" s="155">
        <f>F115*$G$115/(10^6)</f>
        <v>1.2592000000000001E-5</v>
      </c>
      <c r="H50" s="175">
        <f>D50+(E50*$L$5)+(G50*$L$7)</f>
        <v>2.3076728799999997</v>
      </c>
      <c r="I50" s="136" t="s">
        <v>80</v>
      </c>
      <c r="J50" s="163"/>
    </row>
    <row r="51" spans="1:11">
      <c r="A51" s="133"/>
      <c r="B51" s="139" t="s">
        <v>83</v>
      </c>
      <c r="C51" s="137" t="s">
        <v>62</v>
      </c>
      <c r="D51" s="155">
        <f>D116*$G$116/(10^6)</f>
        <v>2.1815639999999998</v>
      </c>
      <c r="E51" s="155">
        <f t="shared" ref="E51" si="6">E116*$G$116/(10^6)</f>
        <v>5.6663999999999994E-3</v>
      </c>
      <c r="F51" s="155"/>
      <c r="G51" s="155">
        <f>F116*$G$116/(10^6)</f>
        <v>1.2592000000000001E-5</v>
      </c>
      <c r="H51" s="175">
        <f>D51+(E51*$L$5)+(G51*$L$7)</f>
        <v>2.35489288</v>
      </c>
      <c r="I51" s="136" t="s">
        <v>80</v>
      </c>
      <c r="J51" s="163"/>
    </row>
    <row r="52" spans="1:11">
      <c r="A52" s="153" t="s">
        <v>165</v>
      </c>
      <c r="B52" s="139"/>
      <c r="C52" s="137"/>
      <c r="D52" s="155"/>
      <c r="E52" s="155"/>
      <c r="F52" s="155"/>
      <c r="G52" s="155"/>
      <c r="H52" s="175"/>
      <c r="I52" s="136"/>
      <c r="J52" s="163"/>
    </row>
    <row r="53" spans="1:11" ht="41.4">
      <c r="A53" s="172"/>
      <c r="B53" s="173" t="s">
        <v>166</v>
      </c>
      <c r="C53" s="136" t="s">
        <v>167</v>
      </c>
      <c r="D53" s="155" t="s">
        <v>175</v>
      </c>
      <c r="E53" s="155" t="s">
        <v>175</v>
      </c>
      <c r="F53" s="155" t="s">
        <v>175</v>
      </c>
      <c r="G53" s="155" t="s">
        <v>175</v>
      </c>
      <c r="H53" s="175">
        <v>0.49990000000000001</v>
      </c>
      <c r="I53" s="171" t="s">
        <v>168</v>
      </c>
      <c r="J53" s="163"/>
      <c r="K53" s="208"/>
    </row>
    <row r="54" spans="1:11">
      <c r="A54" s="181" t="s">
        <v>169</v>
      </c>
      <c r="B54" s="173"/>
      <c r="C54" s="136"/>
      <c r="D54" s="155"/>
      <c r="E54" s="155"/>
      <c r="F54" s="155"/>
      <c r="G54" s="155"/>
      <c r="H54" s="175"/>
      <c r="I54" s="171"/>
      <c r="J54" s="163"/>
    </row>
    <row r="55" spans="1:11">
      <c r="A55" s="181"/>
      <c r="B55" s="173" t="s">
        <v>174</v>
      </c>
      <c r="C55" s="136" t="s">
        <v>61</v>
      </c>
      <c r="D55" s="155" t="s">
        <v>175</v>
      </c>
      <c r="E55" s="155" t="s">
        <v>175</v>
      </c>
      <c r="F55" s="155" t="s">
        <v>175</v>
      </c>
      <c r="G55" s="155" t="s">
        <v>175</v>
      </c>
      <c r="H55" s="175">
        <v>1760</v>
      </c>
      <c r="I55" s="171" t="s">
        <v>173</v>
      </c>
      <c r="J55" s="163"/>
    </row>
    <row r="56" spans="1:11">
      <c r="A56" s="172"/>
      <c r="B56" s="173" t="s">
        <v>170</v>
      </c>
      <c r="C56" s="136" t="s">
        <v>61</v>
      </c>
      <c r="D56" s="155" t="s">
        <v>175</v>
      </c>
      <c r="E56" s="155" t="s">
        <v>175</v>
      </c>
      <c r="F56" s="155" t="s">
        <v>175</v>
      </c>
      <c r="G56" s="155" t="s">
        <v>175</v>
      </c>
      <c r="H56" s="175">
        <v>677</v>
      </c>
      <c r="I56" s="171" t="s">
        <v>173</v>
      </c>
      <c r="J56" s="163"/>
    </row>
    <row r="57" spans="1:11">
      <c r="A57" s="172"/>
      <c r="B57" s="173" t="s">
        <v>192</v>
      </c>
      <c r="C57" s="136" t="s">
        <v>61</v>
      </c>
      <c r="D57" s="155" t="s">
        <v>175</v>
      </c>
      <c r="E57" s="155" t="s">
        <v>175</v>
      </c>
      <c r="F57" s="155" t="s">
        <v>175</v>
      </c>
      <c r="G57" s="155" t="s">
        <v>175</v>
      </c>
      <c r="H57" s="175">
        <v>3170</v>
      </c>
      <c r="I57" s="171" t="s">
        <v>173</v>
      </c>
      <c r="J57" s="163"/>
    </row>
    <row r="58" spans="1:11">
      <c r="A58" s="172"/>
      <c r="B58" s="173" t="s">
        <v>171</v>
      </c>
      <c r="C58" s="136" t="s">
        <v>61</v>
      </c>
      <c r="D58" s="155" t="s">
        <v>175</v>
      </c>
      <c r="E58" s="155" t="s">
        <v>175</v>
      </c>
      <c r="F58" s="155" t="s">
        <v>175</v>
      </c>
      <c r="G58" s="155" t="s">
        <v>175</v>
      </c>
      <c r="H58" s="175">
        <v>1120</v>
      </c>
      <c r="I58" s="171" t="s">
        <v>173</v>
      </c>
      <c r="J58" s="163"/>
    </row>
    <row r="59" spans="1:11">
      <c r="A59" s="172"/>
      <c r="B59" s="173" t="s">
        <v>172</v>
      </c>
      <c r="C59" s="136" t="s">
        <v>61</v>
      </c>
      <c r="D59" s="155" t="s">
        <v>175</v>
      </c>
      <c r="E59" s="155" t="s">
        <v>175</v>
      </c>
      <c r="F59" s="155" t="s">
        <v>175</v>
      </c>
      <c r="G59" s="155" t="s">
        <v>175</v>
      </c>
      <c r="H59" s="175">
        <v>1300</v>
      </c>
      <c r="I59" s="171" t="s">
        <v>173</v>
      </c>
      <c r="J59" s="163"/>
    </row>
    <row r="60" spans="1:11">
      <c r="A60" s="172"/>
      <c r="B60" s="173" t="s">
        <v>193</v>
      </c>
      <c r="C60" s="136" t="s">
        <v>61</v>
      </c>
      <c r="D60" s="155" t="s">
        <v>175</v>
      </c>
      <c r="E60" s="155" t="s">
        <v>175</v>
      </c>
      <c r="F60" s="155" t="s">
        <v>175</v>
      </c>
      <c r="G60" s="155" t="s">
        <v>175</v>
      </c>
      <c r="H60" s="175">
        <v>328</v>
      </c>
      <c r="I60" s="171" t="s">
        <v>173</v>
      </c>
      <c r="J60" s="163"/>
    </row>
    <row r="61" spans="1:11">
      <c r="A61" s="172"/>
      <c r="B61" s="173" t="s">
        <v>194</v>
      </c>
      <c r="C61" s="136" t="s">
        <v>61</v>
      </c>
      <c r="D61" s="155" t="s">
        <v>175</v>
      </c>
      <c r="E61" s="155" t="s">
        <v>175</v>
      </c>
      <c r="F61" s="155" t="s">
        <v>175</v>
      </c>
      <c r="G61" s="155" t="s">
        <v>175</v>
      </c>
      <c r="H61" s="175">
        <v>4800</v>
      </c>
      <c r="I61" s="171" t="s">
        <v>173</v>
      </c>
      <c r="J61" s="163"/>
    </row>
    <row r="62" spans="1:11">
      <c r="A62" s="198"/>
      <c r="B62" s="199"/>
      <c r="C62" s="200"/>
      <c r="D62" s="201"/>
      <c r="E62" s="201"/>
      <c r="F62" s="201"/>
      <c r="G62" s="201"/>
      <c r="H62" s="176"/>
      <c r="I62" s="202"/>
      <c r="J62" s="163"/>
    </row>
    <row r="63" spans="1:11">
      <c r="A63" s="132" t="s">
        <v>195</v>
      </c>
      <c r="B63" s="203"/>
      <c r="C63" s="166"/>
      <c r="D63" s="201"/>
      <c r="E63" s="204" t="s">
        <v>196</v>
      </c>
      <c r="F63" s="204"/>
      <c r="G63" s="201"/>
      <c r="H63" s="176"/>
      <c r="I63" s="200"/>
      <c r="J63" s="163"/>
    </row>
    <row r="64" spans="1:11">
      <c r="B64" s="203"/>
      <c r="C64" s="166"/>
      <c r="D64" s="201"/>
      <c r="E64" s="201"/>
      <c r="F64" s="201"/>
      <c r="G64" s="201"/>
      <c r="H64" s="176"/>
      <c r="I64" s="200"/>
      <c r="J64" s="163"/>
    </row>
    <row r="65" spans="1:12">
      <c r="B65" s="157"/>
      <c r="C65" s="157"/>
      <c r="D65" s="158"/>
      <c r="E65" s="158"/>
      <c r="F65" s="158"/>
      <c r="G65" s="158"/>
    </row>
    <row r="66" spans="1:12" s="141" customFormat="1">
      <c r="A66" s="140" t="s">
        <v>56</v>
      </c>
      <c r="B66" s="159"/>
      <c r="C66" s="159"/>
      <c r="D66" s="160"/>
      <c r="E66" s="161"/>
      <c r="F66" s="161"/>
      <c r="G66" s="160"/>
      <c r="H66" s="177"/>
    </row>
    <row r="67" spans="1:12">
      <c r="D67" s="142"/>
      <c r="E67" s="143" t="s">
        <v>86</v>
      </c>
      <c r="F67" s="143"/>
      <c r="G67" s="178" t="s">
        <v>87</v>
      </c>
      <c r="H67" s="132"/>
    </row>
    <row r="68" spans="1:12" ht="14.25" customHeight="1">
      <c r="B68" s="135"/>
      <c r="C68" s="134"/>
      <c r="D68" s="1288" t="s">
        <v>88</v>
      </c>
      <c r="E68" s="1289"/>
      <c r="F68" s="1290"/>
      <c r="G68" s="179" t="s">
        <v>89</v>
      </c>
      <c r="H68" s="132"/>
    </row>
    <row r="69" spans="1:12">
      <c r="B69" s="135"/>
      <c r="C69" s="134" t="s">
        <v>90</v>
      </c>
      <c r="D69" s="151" t="s">
        <v>16</v>
      </c>
      <c r="E69" s="134" t="s">
        <v>26</v>
      </c>
      <c r="F69" s="134" t="s">
        <v>27</v>
      </c>
      <c r="G69" s="179" t="s">
        <v>91</v>
      </c>
      <c r="H69" s="132"/>
    </row>
    <row r="70" spans="1:12">
      <c r="B70" s="135" t="s">
        <v>57</v>
      </c>
      <c r="C70" s="134" t="s">
        <v>58</v>
      </c>
      <c r="D70" s="205">
        <v>56100</v>
      </c>
      <c r="E70" s="206">
        <v>1</v>
      </c>
      <c r="F70" s="206">
        <v>0.1</v>
      </c>
      <c r="G70" s="179">
        <v>1.02</v>
      </c>
      <c r="H70" s="132" t="s">
        <v>92</v>
      </c>
    </row>
    <row r="71" spans="1:12">
      <c r="B71" s="135" t="s">
        <v>60</v>
      </c>
      <c r="C71" s="134" t="s">
        <v>61</v>
      </c>
      <c r="D71" s="205">
        <v>101000</v>
      </c>
      <c r="E71" s="206">
        <v>1</v>
      </c>
      <c r="F71" s="206">
        <v>1.5</v>
      </c>
      <c r="G71" s="179">
        <v>10.47</v>
      </c>
      <c r="H71" s="132"/>
    </row>
    <row r="72" spans="1:12">
      <c r="B72" s="135" t="s">
        <v>154</v>
      </c>
      <c r="C72" s="134" t="s">
        <v>62</v>
      </c>
      <c r="D72" s="205">
        <v>77400</v>
      </c>
      <c r="E72" s="206">
        <v>3</v>
      </c>
      <c r="F72" s="206">
        <v>0.6</v>
      </c>
      <c r="G72" s="179">
        <v>41.468972149500026</v>
      </c>
      <c r="H72" s="132" t="s">
        <v>94</v>
      </c>
      <c r="K72" s="166"/>
      <c r="L72" s="164"/>
    </row>
    <row r="73" spans="1:12">
      <c r="B73" s="135" t="s">
        <v>155</v>
      </c>
      <c r="C73" s="134" t="s">
        <v>62</v>
      </c>
      <c r="D73" s="205">
        <v>77400</v>
      </c>
      <c r="E73" s="206">
        <v>3</v>
      </c>
      <c r="F73" s="206">
        <v>0.6</v>
      </c>
      <c r="G73" s="179">
        <v>41.800259702100021</v>
      </c>
      <c r="H73" s="132" t="s">
        <v>94</v>
      </c>
      <c r="K73" s="166"/>
      <c r="L73" s="164"/>
    </row>
    <row r="74" spans="1:12">
      <c r="B74" s="135" t="s">
        <v>63</v>
      </c>
      <c r="C74" s="134" t="s">
        <v>62</v>
      </c>
      <c r="D74" s="205">
        <v>74100</v>
      </c>
      <c r="E74" s="206">
        <v>3</v>
      </c>
      <c r="F74" s="206">
        <v>0.6</v>
      </c>
      <c r="G74" s="179">
        <v>36.42</v>
      </c>
      <c r="H74" s="132"/>
    </row>
    <row r="75" spans="1:12">
      <c r="B75" s="135" t="s">
        <v>64</v>
      </c>
      <c r="C75" s="134" t="s">
        <v>61</v>
      </c>
      <c r="D75" s="205">
        <v>98300</v>
      </c>
      <c r="E75" s="206">
        <v>1</v>
      </c>
      <c r="F75" s="206">
        <v>1.5</v>
      </c>
      <c r="G75" s="179">
        <v>31.4</v>
      </c>
      <c r="H75" s="132"/>
    </row>
    <row r="76" spans="1:12">
      <c r="B76" s="207" t="s">
        <v>65</v>
      </c>
      <c r="C76" s="206" t="s">
        <v>61</v>
      </c>
      <c r="D76" s="205">
        <v>96100</v>
      </c>
      <c r="E76" s="206">
        <v>1</v>
      </c>
      <c r="F76" s="206">
        <v>1.5</v>
      </c>
      <c r="G76" s="179">
        <v>26.37</v>
      </c>
      <c r="H76" s="132"/>
    </row>
    <row r="77" spans="1:12">
      <c r="B77" s="135" t="s">
        <v>66</v>
      </c>
      <c r="C77" s="134" t="s">
        <v>62</v>
      </c>
      <c r="D77" s="205">
        <v>71500</v>
      </c>
      <c r="E77" s="206">
        <v>3</v>
      </c>
      <c r="F77" s="206">
        <v>0.6</v>
      </c>
      <c r="G77" s="179">
        <v>34.53</v>
      </c>
      <c r="H77" s="132"/>
    </row>
    <row r="78" spans="1:12">
      <c r="B78" s="135" t="s">
        <v>67</v>
      </c>
      <c r="C78" s="134" t="s">
        <v>62</v>
      </c>
      <c r="D78" s="205">
        <v>63100</v>
      </c>
      <c r="E78" s="206">
        <v>1</v>
      </c>
      <c r="F78" s="206">
        <v>0.1</v>
      </c>
      <c r="G78" s="179">
        <v>26.62</v>
      </c>
      <c r="H78" s="132"/>
    </row>
    <row r="79" spans="1:12">
      <c r="B79" s="135" t="s">
        <v>148</v>
      </c>
      <c r="C79" s="134" t="s">
        <v>62</v>
      </c>
      <c r="D79" s="205">
        <v>69300</v>
      </c>
      <c r="E79" s="206">
        <v>3</v>
      </c>
      <c r="F79" s="206">
        <v>0.6</v>
      </c>
      <c r="G79" s="179">
        <f>G91</f>
        <v>31.48</v>
      </c>
      <c r="H79" s="132"/>
    </row>
    <row r="80" spans="1:12">
      <c r="B80" s="135" t="s">
        <v>197</v>
      </c>
      <c r="C80" s="134" t="s">
        <v>61</v>
      </c>
      <c r="D80" s="205">
        <v>112000</v>
      </c>
      <c r="E80" s="206">
        <v>30</v>
      </c>
      <c r="F80" s="206">
        <v>4</v>
      </c>
      <c r="G80" s="179">
        <v>15.99</v>
      </c>
      <c r="H80" s="132"/>
    </row>
    <row r="81" spans="1:8">
      <c r="B81" s="135" t="s">
        <v>198</v>
      </c>
      <c r="C81" s="134"/>
      <c r="D81" s="205"/>
      <c r="E81" s="206"/>
      <c r="F81" s="206"/>
      <c r="G81" s="179"/>
      <c r="H81" s="132"/>
    </row>
    <row r="82" spans="1:8">
      <c r="B82" s="135" t="s">
        <v>183</v>
      </c>
      <c r="C82" s="134" t="s">
        <v>61</v>
      </c>
      <c r="D82" s="205">
        <v>100000</v>
      </c>
      <c r="E82" s="206">
        <v>30</v>
      </c>
      <c r="F82" s="206">
        <v>4</v>
      </c>
      <c r="G82" s="179">
        <v>7.53</v>
      </c>
      <c r="H82" s="132"/>
    </row>
    <row r="83" spans="1:8">
      <c r="B83" s="135" t="s">
        <v>184</v>
      </c>
      <c r="C83" s="134" t="s">
        <v>61</v>
      </c>
      <c r="D83" s="205">
        <v>100000</v>
      </c>
      <c r="E83" s="206">
        <v>30</v>
      </c>
      <c r="F83" s="206">
        <v>4</v>
      </c>
      <c r="G83" s="179">
        <v>18.53</v>
      </c>
      <c r="H83" s="132"/>
    </row>
    <row r="84" spans="1:8">
      <c r="B84" s="135" t="s">
        <v>185</v>
      </c>
      <c r="C84" s="134" t="s">
        <v>61</v>
      </c>
      <c r="D84" s="205">
        <v>100000</v>
      </c>
      <c r="E84" s="206">
        <v>30</v>
      </c>
      <c r="F84" s="206">
        <v>4</v>
      </c>
      <c r="G84" s="179">
        <v>16.78</v>
      </c>
      <c r="H84" s="132"/>
    </row>
    <row r="85" spans="1:8" ht="15.6">
      <c r="B85" s="135" t="s">
        <v>186</v>
      </c>
      <c r="C85" s="134" t="s">
        <v>199</v>
      </c>
      <c r="D85" s="205">
        <v>54600</v>
      </c>
      <c r="E85" s="206">
        <v>1</v>
      </c>
      <c r="F85" s="206">
        <v>0.1</v>
      </c>
      <c r="G85" s="179">
        <v>20.93</v>
      </c>
      <c r="H85" s="132"/>
    </row>
    <row r="86" spans="1:8">
      <c r="D86" s="142"/>
      <c r="E86" s="142"/>
      <c r="F86" s="142"/>
      <c r="G86" s="178"/>
      <c r="H86" s="132"/>
    </row>
    <row r="87" spans="1:8" s="141" customFormat="1">
      <c r="A87" s="140" t="s">
        <v>68</v>
      </c>
      <c r="B87" s="159"/>
      <c r="C87" s="159"/>
      <c r="D87" s="160"/>
      <c r="E87" s="161"/>
      <c r="F87" s="160"/>
      <c r="G87" s="177"/>
    </row>
    <row r="88" spans="1:8">
      <c r="D88" s="1279" t="s">
        <v>86</v>
      </c>
      <c r="E88" s="1279"/>
      <c r="F88" s="1279"/>
      <c r="G88" s="178" t="s">
        <v>87</v>
      </c>
      <c r="H88" s="132"/>
    </row>
    <row r="89" spans="1:8">
      <c r="B89" s="135"/>
      <c r="C89" s="133"/>
      <c r="D89" s="1288" t="s">
        <v>88</v>
      </c>
      <c r="E89" s="1289"/>
      <c r="F89" s="1290"/>
      <c r="G89" s="179" t="s">
        <v>89</v>
      </c>
      <c r="H89" s="132"/>
    </row>
    <row r="90" spans="1:8">
      <c r="B90" s="135"/>
      <c r="C90" s="137" t="s">
        <v>90</v>
      </c>
      <c r="D90" s="134" t="s">
        <v>16</v>
      </c>
      <c r="E90" s="151" t="s">
        <v>26</v>
      </c>
      <c r="F90" s="134" t="s">
        <v>27</v>
      </c>
      <c r="G90" s="179" t="s">
        <v>91</v>
      </c>
      <c r="H90" s="132"/>
    </row>
    <row r="91" spans="1:8">
      <c r="B91" s="135" t="s">
        <v>69</v>
      </c>
      <c r="C91" s="137" t="s">
        <v>62</v>
      </c>
      <c r="D91" s="134">
        <v>69300</v>
      </c>
      <c r="E91" s="145">
        <v>33</v>
      </c>
      <c r="F91" s="134">
        <v>3.2</v>
      </c>
      <c r="G91" s="179">
        <v>31.48</v>
      </c>
      <c r="H91" s="132" t="s">
        <v>93</v>
      </c>
    </row>
    <row r="92" spans="1:8">
      <c r="B92" s="135" t="s">
        <v>71</v>
      </c>
      <c r="C92" s="137" t="s">
        <v>62</v>
      </c>
      <c r="D92" s="134">
        <v>69300</v>
      </c>
      <c r="E92" s="145">
        <v>25</v>
      </c>
      <c r="F92" s="134">
        <v>8</v>
      </c>
      <c r="G92" s="179">
        <v>31.48</v>
      </c>
      <c r="H92" s="132"/>
    </row>
    <row r="93" spans="1:8">
      <c r="B93" s="135" t="s">
        <v>72</v>
      </c>
      <c r="C93" s="137" t="s">
        <v>62</v>
      </c>
      <c r="D93" s="134">
        <v>69300</v>
      </c>
      <c r="E93" s="145">
        <v>3.8</v>
      </c>
      <c r="F93" s="134">
        <v>5.7</v>
      </c>
      <c r="G93" s="179">
        <v>31.48</v>
      </c>
      <c r="H93" s="132"/>
    </row>
    <row r="94" spans="1:8">
      <c r="B94" s="135" t="s">
        <v>73</v>
      </c>
      <c r="C94" s="137" t="s">
        <v>62</v>
      </c>
      <c r="D94" s="134">
        <v>74100</v>
      </c>
      <c r="E94" s="145">
        <v>3.9</v>
      </c>
      <c r="F94" s="134">
        <v>3.9</v>
      </c>
      <c r="G94" s="179">
        <f>G74</f>
        <v>36.42</v>
      </c>
      <c r="H94" s="132"/>
    </row>
    <row r="95" spans="1:8">
      <c r="B95" s="135" t="s">
        <v>74</v>
      </c>
      <c r="C95" s="137" t="s">
        <v>61</v>
      </c>
      <c r="D95" s="134">
        <v>56100</v>
      </c>
      <c r="E95" s="145">
        <v>92</v>
      </c>
      <c r="F95" s="134">
        <v>3</v>
      </c>
      <c r="G95" s="179">
        <v>37.9</v>
      </c>
      <c r="H95" s="132" t="s">
        <v>94</v>
      </c>
    </row>
    <row r="96" spans="1:8">
      <c r="B96" s="135" t="s">
        <v>76</v>
      </c>
      <c r="C96" s="137" t="s">
        <v>62</v>
      </c>
      <c r="D96" s="134">
        <v>63100</v>
      </c>
      <c r="E96" s="145">
        <v>62</v>
      </c>
      <c r="F96" s="134">
        <v>0.2</v>
      </c>
      <c r="G96" s="179">
        <f>G78</f>
        <v>26.62</v>
      </c>
      <c r="H96" s="132"/>
    </row>
    <row r="97" spans="1:8">
      <c r="D97" s="142"/>
      <c r="E97" s="142"/>
      <c r="F97" s="142"/>
      <c r="G97" s="163"/>
      <c r="H97" s="132"/>
    </row>
    <row r="98" spans="1:8" s="141" customFormat="1">
      <c r="A98" s="140" t="s">
        <v>95</v>
      </c>
      <c r="B98" s="159"/>
      <c r="C98" s="159"/>
      <c r="D98" s="160"/>
      <c r="E98" s="161"/>
      <c r="F98" s="160"/>
      <c r="G98" s="177"/>
    </row>
    <row r="99" spans="1:8">
      <c r="D99" s="1279" t="s">
        <v>86</v>
      </c>
      <c r="E99" s="1279"/>
      <c r="F99" s="1279"/>
      <c r="G99" s="178" t="s">
        <v>87</v>
      </c>
      <c r="H99" s="132"/>
    </row>
    <row r="100" spans="1:8">
      <c r="B100" s="135"/>
      <c r="C100" s="133"/>
      <c r="D100" s="1288" t="s">
        <v>88</v>
      </c>
      <c r="E100" s="1289"/>
      <c r="F100" s="1290"/>
      <c r="G100" s="179" t="s">
        <v>89</v>
      </c>
      <c r="H100" s="132"/>
    </row>
    <row r="101" spans="1:8">
      <c r="B101" s="135"/>
      <c r="C101" s="137" t="s">
        <v>90</v>
      </c>
      <c r="D101" s="134" t="s">
        <v>16</v>
      </c>
      <c r="E101" s="151" t="s">
        <v>26</v>
      </c>
      <c r="F101" s="134" t="s">
        <v>27</v>
      </c>
      <c r="G101" s="179" t="s">
        <v>91</v>
      </c>
      <c r="H101" s="132"/>
    </row>
    <row r="102" spans="1:8">
      <c r="B102" s="138" t="s">
        <v>78</v>
      </c>
      <c r="C102" s="137"/>
      <c r="D102" s="134"/>
      <c r="E102" s="145"/>
      <c r="F102" s="134"/>
      <c r="G102" s="179"/>
      <c r="H102" s="132"/>
    </row>
    <row r="103" spans="1:8">
      <c r="B103" s="139" t="s">
        <v>79</v>
      </c>
      <c r="C103" s="137" t="s">
        <v>62</v>
      </c>
      <c r="D103" s="134">
        <v>74100</v>
      </c>
      <c r="E103" s="145">
        <v>4.1500000000000004</v>
      </c>
      <c r="F103" s="134">
        <v>28.6</v>
      </c>
      <c r="G103" s="179">
        <v>36.42</v>
      </c>
      <c r="H103" s="132"/>
    </row>
    <row r="104" spans="1:8">
      <c r="B104" s="139" t="s">
        <v>81</v>
      </c>
      <c r="C104" s="137" t="s">
        <v>62</v>
      </c>
      <c r="D104" s="134">
        <v>74100</v>
      </c>
      <c r="E104" s="145">
        <v>4.1500000000000004</v>
      </c>
      <c r="F104" s="134">
        <v>28.6</v>
      </c>
      <c r="G104" s="179">
        <v>36.42</v>
      </c>
      <c r="H104" s="132"/>
    </row>
    <row r="105" spans="1:8">
      <c r="B105" s="139" t="s">
        <v>82</v>
      </c>
      <c r="C105" s="137" t="s">
        <v>62</v>
      </c>
      <c r="D105" s="134">
        <v>74100</v>
      </c>
      <c r="E105" s="145">
        <v>4.1500000000000004</v>
      </c>
      <c r="F105" s="134">
        <v>28.6</v>
      </c>
      <c r="G105" s="179">
        <v>36.42</v>
      </c>
      <c r="H105" s="132"/>
    </row>
    <row r="106" spans="1:8">
      <c r="B106" s="139" t="s">
        <v>83</v>
      </c>
      <c r="C106" s="137" t="s">
        <v>62</v>
      </c>
      <c r="D106" s="134">
        <v>74100</v>
      </c>
      <c r="E106" s="145">
        <v>4.1500000000000004</v>
      </c>
      <c r="F106" s="134">
        <v>28.6</v>
      </c>
      <c r="G106" s="179">
        <v>36.42</v>
      </c>
      <c r="H106" s="132"/>
    </row>
    <row r="107" spans="1:8">
      <c r="B107" s="138" t="s">
        <v>84</v>
      </c>
      <c r="C107" s="137"/>
      <c r="D107" s="134"/>
      <c r="E107" s="145"/>
      <c r="F107" s="134"/>
      <c r="G107" s="179"/>
      <c r="H107" s="132"/>
    </row>
    <row r="108" spans="1:8">
      <c r="B108" s="139" t="s">
        <v>79</v>
      </c>
      <c r="C108" s="137" t="s">
        <v>62</v>
      </c>
      <c r="D108" s="146">
        <v>69300</v>
      </c>
      <c r="E108" s="146">
        <v>80</v>
      </c>
      <c r="F108" s="146">
        <v>2</v>
      </c>
      <c r="G108" s="179">
        <v>31.48</v>
      </c>
      <c r="H108" s="132"/>
    </row>
    <row r="109" spans="1:8">
      <c r="B109" s="139" t="s">
        <v>81</v>
      </c>
      <c r="C109" s="137" t="s">
        <v>62</v>
      </c>
      <c r="D109" s="146">
        <v>69300</v>
      </c>
      <c r="E109" s="146"/>
      <c r="F109" s="146"/>
      <c r="G109" s="179">
        <v>31.48</v>
      </c>
      <c r="H109" s="132"/>
    </row>
    <row r="110" spans="1:8">
      <c r="B110" s="139" t="s">
        <v>82</v>
      </c>
      <c r="C110" s="137" t="s">
        <v>62</v>
      </c>
      <c r="D110" s="146">
        <v>69300</v>
      </c>
      <c r="E110" s="146">
        <v>50</v>
      </c>
      <c r="F110" s="146">
        <v>2</v>
      </c>
      <c r="G110" s="179">
        <v>31.48</v>
      </c>
      <c r="H110" s="132"/>
    </row>
    <row r="111" spans="1:8">
      <c r="B111" s="139" t="s">
        <v>83</v>
      </c>
      <c r="C111" s="137" t="s">
        <v>62</v>
      </c>
      <c r="D111" s="146">
        <v>69300</v>
      </c>
      <c r="E111" s="146">
        <v>120</v>
      </c>
      <c r="F111" s="146">
        <v>2</v>
      </c>
      <c r="G111" s="179">
        <v>31.48</v>
      </c>
      <c r="H111" s="132"/>
    </row>
    <row r="112" spans="1:8">
      <c r="B112" s="138" t="s">
        <v>85</v>
      </c>
      <c r="C112" s="133"/>
      <c r="D112" s="148"/>
      <c r="E112" s="148"/>
      <c r="F112" s="148"/>
      <c r="G112" s="180"/>
      <c r="H112" s="132"/>
    </row>
    <row r="113" spans="2:8">
      <c r="B113" s="139" t="s">
        <v>79</v>
      </c>
      <c r="C113" s="137" t="s">
        <v>62</v>
      </c>
      <c r="D113" s="146">
        <v>69300</v>
      </c>
      <c r="E113" s="146">
        <v>140</v>
      </c>
      <c r="F113" s="146">
        <v>0.4</v>
      </c>
      <c r="G113" s="179">
        <v>31.48</v>
      </c>
      <c r="H113" s="132"/>
    </row>
    <row r="114" spans="2:8">
      <c r="B114" s="139" t="s">
        <v>81</v>
      </c>
      <c r="C114" s="137" t="s">
        <v>62</v>
      </c>
      <c r="D114" s="146">
        <v>69300</v>
      </c>
      <c r="E114" s="146">
        <v>170</v>
      </c>
      <c r="F114" s="146">
        <v>0.4</v>
      </c>
      <c r="G114" s="179">
        <v>31.48</v>
      </c>
      <c r="H114" s="132"/>
    </row>
    <row r="115" spans="2:8">
      <c r="B115" s="139" t="s">
        <v>82</v>
      </c>
      <c r="C115" s="137" t="s">
        <v>62</v>
      </c>
      <c r="D115" s="146">
        <v>69300</v>
      </c>
      <c r="E115" s="146">
        <v>130</v>
      </c>
      <c r="F115" s="146">
        <v>0.4</v>
      </c>
      <c r="G115" s="179">
        <v>31.48</v>
      </c>
      <c r="H115" s="132"/>
    </row>
    <row r="116" spans="2:8">
      <c r="B116" s="139" t="s">
        <v>83</v>
      </c>
      <c r="C116" s="137" t="s">
        <v>62</v>
      </c>
      <c r="D116" s="146">
        <v>69300</v>
      </c>
      <c r="E116" s="146">
        <v>180</v>
      </c>
      <c r="F116" s="146">
        <v>0.4</v>
      </c>
      <c r="G116" s="179">
        <v>31.48</v>
      </c>
      <c r="H116" s="132"/>
    </row>
    <row r="117" spans="2:8">
      <c r="D117" s="142"/>
      <c r="E117" s="142"/>
      <c r="F117" s="142"/>
      <c r="G117" s="163"/>
      <c r="H117" s="132"/>
    </row>
    <row r="118" spans="2:8">
      <c r="D118" s="142"/>
      <c r="E118" s="142"/>
      <c r="F118" s="142"/>
      <c r="G118" s="163"/>
      <c r="H118" s="132"/>
    </row>
    <row r="119" spans="2:8">
      <c r="D119" s="142"/>
      <c r="E119" s="142"/>
      <c r="F119" s="142"/>
      <c r="G119" s="163"/>
      <c r="H119" s="132"/>
    </row>
    <row r="120" spans="2:8">
      <c r="D120" s="142"/>
      <c r="E120" s="142"/>
      <c r="F120" s="142"/>
      <c r="G120" s="163"/>
      <c r="H120" s="132"/>
    </row>
    <row r="121" spans="2:8">
      <c r="D121" s="142"/>
      <c r="E121" s="142"/>
      <c r="F121" s="142"/>
      <c r="G121" s="163"/>
      <c r="H121" s="132"/>
    </row>
    <row r="122" spans="2:8">
      <c r="D122" s="142"/>
      <c r="E122" s="142"/>
      <c r="F122" s="142"/>
      <c r="G122" s="163"/>
      <c r="H122" s="132"/>
    </row>
    <row r="123" spans="2:8">
      <c r="D123" s="142"/>
      <c r="E123" s="142"/>
      <c r="F123" s="142"/>
      <c r="G123" s="163"/>
      <c r="H123" s="132"/>
    </row>
    <row r="124" spans="2:8">
      <c r="D124" s="142"/>
      <c r="E124" s="142"/>
      <c r="F124" s="142"/>
      <c r="G124" s="142"/>
    </row>
    <row r="125" spans="2:8">
      <c r="D125" s="142"/>
      <c r="E125" s="142"/>
      <c r="F125" s="142"/>
      <c r="G125" s="142"/>
    </row>
    <row r="126" spans="2:8">
      <c r="D126" s="142"/>
      <c r="E126" s="142"/>
      <c r="F126" s="142"/>
      <c r="G126" s="142"/>
    </row>
    <row r="127" spans="2:8">
      <c r="D127" s="142"/>
      <c r="E127" s="142"/>
      <c r="F127" s="142"/>
      <c r="G127" s="142"/>
    </row>
    <row r="128" spans="2:8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  <row r="158" spans="4:7">
      <c r="D158" s="142"/>
      <c r="E158" s="142"/>
      <c r="F158" s="142"/>
      <c r="G158" s="142"/>
    </row>
    <row r="159" spans="4:7">
      <c r="D159" s="142"/>
      <c r="E159" s="142"/>
      <c r="F159" s="142"/>
      <c r="G159" s="142"/>
    </row>
    <row r="160" spans="4:7">
      <c r="D160" s="142"/>
      <c r="E160" s="142"/>
      <c r="F160" s="142"/>
      <c r="G160" s="142"/>
    </row>
    <row r="161" spans="4:7">
      <c r="D161" s="142"/>
      <c r="E161" s="142"/>
      <c r="F161" s="142"/>
      <c r="G161" s="142"/>
    </row>
    <row r="162" spans="4:7">
      <c r="D162" s="142"/>
      <c r="E162" s="142"/>
      <c r="F162" s="142"/>
      <c r="G162" s="142"/>
    </row>
    <row r="163" spans="4:7">
      <c r="D163" s="142"/>
      <c r="E163" s="142"/>
      <c r="F163" s="142"/>
      <c r="G163" s="142"/>
    </row>
    <row r="164" spans="4:7">
      <c r="D164" s="142"/>
      <c r="E164" s="142"/>
      <c r="F164" s="142"/>
      <c r="G164" s="142"/>
    </row>
    <row r="165" spans="4:7">
      <c r="D165" s="142"/>
      <c r="E165" s="142"/>
      <c r="F165" s="142"/>
      <c r="G165" s="142"/>
    </row>
    <row r="166" spans="4:7">
      <c r="D166" s="142"/>
      <c r="E166" s="142"/>
      <c r="F166" s="142"/>
      <c r="G166" s="142"/>
    </row>
    <row r="167" spans="4:7">
      <c r="D167" s="142"/>
      <c r="E167" s="142"/>
      <c r="F167" s="142"/>
      <c r="G167" s="142"/>
    </row>
    <row r="168" spans="4:7">
      <c r="D168" s="142"/>
      <c r="E168" s="142"/>
      <c r="F168" s="142"/>
      <c r="G168" s="142"/>
    </row>
    <row r="169" spans="4:7">
      <c r="D169" s="142"/>
      <c r="E169" s="142"/>
      <c r="F169" s="142"/>
      <c r="G169" s="142"/>
    </row>
    <row r="170" spans="4:7">
      <c r="D170" s="142"/>
      <c r="E170" s="142"/>
      <c r="F170" s="142"/>
      <c r="G170" s="142"/>
    </row>
    <row r="171" spans="4:7">
      <c r="D171" s="142"/>
      <c r="E171" s="142"/>
      <c r="F171" s="142"/>
      <c r="G171" s="142"/>
    </row>
    <row r="172" spans="4:7">
      <c r="D172" s="142"/>
      <c r="E172" s="142"/>
      <c r="F172" s="142"/>
      <c r="G172" s="142"/>
    </row>
    <row r="173" spans="4:7">
      <c r="D173" s="142"/>
      <c r="E173" s="142"/>
      <c r="F173" s="142"/>
      <c r="G173" s="142"/>
    </row>
    <row r="174" spans="4:7">
      <c r="D174" s="142"/>
      <c r="E174" s="142"/>
      <c r="F174" s="142"/>
      <c r="G174" s="142"/>
    </row>
    <row r="175" spans="4:7">
      <c r="D175" s="142"/>
      <c r="E175" s="142"/>
      <c r="F175" s="142"/>
      <c r="G175" s="142"/>
    </row>
    <row r="176" spans="4:7">
      <c r="D176" s="142"/>
      <c r="E176" s="142"/>
      <c r="F176" s="142"/>
      <c r="G176" s="142"/>
    </row>
    <row r="177" spans="4:7">
      <c r="D177" s="142"/>
      <c r="E177" s="142"/>
      <c r="F177" s="142"/>
      <c r="G177" s="142"/>
    </row>
    <row r="178" spans="4:7">
      <c r="D178" s="142"/>
      <c r="E178" s="142"/>
      <c r="F178" s="142"/>
      <c r="G178" s="142"/>
    </row>
    <row r="179" spans="4:7">
      <c r="D179" s="142"/>
      <c r="E179" s="142"/>
      <c r="F179" s="142"/>
      <c r="G179" s="142"/>
    </row>
    <row r="180" spans="4:7">
      <c r="D180" s="142"/>
      <c r="E180" s="142"/>
      <c r="F180" s="142"/>
      <c r="G180" s="142"/>
    </row>
    <row r="181" spans="4:7">
      <c r="D181" s="142"/>
      <c r="E181" s="142"/>
      <c r="F181" s="142"/>
      <c r="G181" s="142"/>
    </row>
    <row r="182" spans="4:7">
      <c r="D182" s="142"/>
      <c r="E182" s="142"/>
      <c r="F182" s="142"/>
      <c r="G182" s="142"/>
    </row>
    <row r="183" spans="4:7">
      <c r="D183" s="142"/>
      <c r="E183" s="142"/>
      <c r="F183" s="142"/>
      <c r="G183" s="142"/>
    </row>
    <row r="184" spans="4:7">
      <c r="D184" s="142"/>
      <c r="E184" s="142"/>
      <c r="F184" s="142"/>
      <c r="G184" s="142"/>
    </row>
    <row r="185" spans="4:7">
      <c r="D185" s="142"/>
      <c r="E185" s="142"/>
      <c r="F185" s="142"/>
      <c r="G185" s="142"/>
    </row>
  </sheetData>
  <sheetProtection sheet="1" objects="1" scenarios="1"/>
  <mergeCells count="11">
    <mergeCell ref="I2:I4"/>
    <mergeCell ref="K2:L2"/>
    <mergeCell ref="A2:A4"/>
    <mergeCell ref="B2:B4"/>
    <mergeCell ref="C2:C4"/>
    <mergeCell ref="D2:H2"/>
    <mergeCell ref="D68:F68"/>
    <mergeCell ref="D89:F89"/>
    <mergeCell ref="D100:F100"/>
    <mergeCell ref="D99:F99"/>
    <mergeCell ref="D88:F88"/>
  </mergeCells>
  <phoneticPr fontId="82" type="noConversion"/>
  <hyperlinks>
    <hyperlink ref="E63" r:id="rId1" xr:uid="{00000000-0004-0000-0800-000000000000}"/>
  </hyperlinks>
  <pageMargins left="0.7" right="0.7" top="0.75" bottom="0.75" header="0.3" footer="0.3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016C-D911-482A-AE2E-E739C9B3D08E}">
  <dimension ref="A1:K121"/>
  <sheetViews>
    <sheetView tabSelected="1" topLeftCell="A3" zoomScale="85" zoomScaleNormal="85" workbookViewId="0">
      <selection activeCell="A13" sqref="A13:F19"/>
    </sheetView>
  </sheetViews>
  <sheetFormatPr defaultColWidth="8.8984375" defaultRowHeight="15"/>
  <cols>
    <col min="1" max="1" width="14.19921875" style="523" customWidth="1"/>
    <col min="2" max="3" width="15" style="523" customWidth="1"/>
    <col min="4" max="4" width="8.8984375" style="523"/>
    <col min="5" max="5" width="14.19921875" style="523" customWidth="1"/>
    <col min="6" max="6" width="20.296875" style="523" customWidth="1"/>
    <col min="7" max="7" width="35.796875" style="523" customWidth="1"/>
    <col min="8" max="16384" width="8.8984375" style="523"/>
  </cols>
  <sheetData>
    <row r="1" spans="1:6">
      <c r="A1" s="526" t="s">
        <v>1717</v>
      </c>
    </row>
    <row r="3" spans="1:6" ht="18.600000000000001">
      <c r="B3" s="523" t="s">
        <v>1718</v>
      </c>
    </row>
    <row r="5" spans="1:6">
      <c r="A5" s="474"/>
      <c r="B5" s="474" t="s">
        <v>1719</v>
      </c>
      <c r="C5" s="474" t="s">
        <v>1720</v>
      </c>
      <c r="D5" s="524"/>
    </row>
    <row r="6" spans="1:6" ht="18.600000000000001">
      <c r="A6" s="474" t="s">
        <v>1721</v>
      </c>
      <c r="B6" s="474">
        <v>26</v>
      </c>
      <c r="C6" s="474">
        <v>2</v>
      </c>
    </row>
    <row r="7" spans="1:6" ht="18.600000000000001">
      <c r="A7" s="474" t="s">
        <v>1722</v>
      </c>
      <c r="B7" s="474">
        <v>44</v>
      </c>
      <c r="C7" s="474">
        <v>4</v>
      </c>
    </row>
    <row r="9" spans="1:6" ht="18.600000000000001">
      <c r="A9" s="525" t="s">
        <v>1723</v>
      </c>
      <c r="B9" s="806">
        <f>(B7*C7)/(B6*C6)</f>
        <v>3.3846153846153846</v>
      </c>
      <c r="C9" s="525" t="s">
        <v>1724</v>
      </c>
    </row>
    <row r="10" spans="1:6">
      <c r="B10" s="561"/>
    </row>
    <row r="11" spans="1:6" ht="24" customHeight="1">
      <c r="A11" s="805" t="s">
        <v>1627</v>
      </c>
    </row>
    <row r="12" spans="1:6">
      <c r="A12" s="543" t="s">
        <v>1727</v>
      </c>
      <c r="B12" s="544"/>
      <c r="C12" s="545"/>
      <c r="D12" s="545"/>
      <c r="E12" s="545"/>
      <c r="F12" s="546"/>
    </row>
    <row r="13" spans="1:6">
      <c r="A13" s="209">
        <v>1</v>
      </c>
      <c r="B13" s="128" t="s">
        <v>1728</v>
      </c>
      <c r="C13" s="128" t="s">
        <v>1729</v>
      </c>
      <c r="D13" s="209" t="s">
        <v>61</v>
      </c>
      <c r="E13" s="547">
        <v>79</v>
      </c>
      <c r="F13" s="548" t="s">
        <v>1730</v>
      </c>
    </row>
    <row r="14" spans="1:6">
      <c r="A14" s="209">
        <v>2</v>
      </c>
      <c r="B14" s="128" t="s">
        <v>170</v>
      </c>
      <c r="C14" s="128" t="s">
        <v>2839</v>
      </c>
      <c r="D14" s="209" t="s">
        <v>61</v>
      </c>
      <c r="E14" s="547">
        <v>677</v>
      </c>
      <c r="F14" s="548" t="s">
        <v>1730</v>
      </c>
    </row>
    <row r="15" spans="1:6">
      <c r="A15" s="209">
        <v>3</v>
      </c>
      <c r="B15" s="128" t="s">
        <v>192</v>
      </c>
      <c r="C15" s="128" t="s">
        <v>2840</v>
      </c>
      <c r="D15" s="209" t="s">
        <v>61</v>
      </c>
      <c r="E15" s="547">
        <v>3170</v>
      </c>
      <c r="F15" s="548" t="s">
        <v>1730</v>
      </c>
    </row>
    <row r="16" spans="1:6" ht="41.4">
      <c r="A16" s="209">
        <v>4</v>
      </c>
      <c r="B16" s="128" t="s">
        <v>306</v>
      </c>
      <c r="C16" s="549" t="s">
        <v>2841</v>
      </c>
      <c r="D16" s="209" t="s">
        <v>61</v>
      </c>
      <c r="E16" s="547">
        <v>1923.5</v>
      </c>
      <c r="F16" s="548" t="s">
        <v>1730</v>
      </c>
    </row>
    <row r="17" spans="1:11">
      <c r="A17" s="209">
        <v>5</v>
      </c>
      <c r="B17" s="128" t="s">
        <v>1731</v>
      </c>
      <c r="C17" s="128" t="s">
        <v>1731</v>
      </c>
      <c r="D17" s="209" t="s">
        <v>61</v>
      </c>
      <c r="E17" s="547">
        <v>8060</v>
      </c>
      <c r="F17" s="548" t="s">
        <v>1730</v>
      </c>
    </row>
    <row r="18" spans="1:11" ht="69">
      <c r="A18" s="209">
        <v>6</v>
      </c>
      <c r="B18" s="128" t="s">
        <v>1732</v>
      </c>
      <c r="C18" s="549" t="s">
        <v>1733</v>
      </c>
      <c r="D18" s="209" t="s">
        <v>61</v>
      </c>
      <c r="E18" s="547">
        <f>(E15*44/100)+('[1]EF TGO AR5'!H61*52/100)+('[1]EF TGO AR5'!H59*4/100)</f>
        <v>3942.8</v>
      </c>
      <c r="F18" s="548" t="s">
        <v>1730</v>
      </c>
    </row>
    <row r="19" spans="1:11" ht="55.2">
      <c r="A19" s="209">
        <v>7</v>
      </c>
      <c r="B19" s="128" t="s">
        <v>1734</v>
      </c>
      <c r="C19" s="549" t="s">
        <v>1735</v>
      </c>
      <c r="D19" s="209" t="s">
        <v>61</v>
      </c>
      <c r="E19" s="547">
        <f>(E14*23/100)+(E15*25/100)+('[1]EF TGO AR5'!H59*52/100)</f>
        <v>1624.21</v>
      </c>
      <c r="F19" s="548" t="s">
        <v>1730</v>
      </c>
    </row>
    <row r="20" spans="1:11">
      <c r="A20"/>
      <c r="B20"/>
      <c r="C20"/>
      <c r="D20"/>
      <c r="E20"/>
      <c r="F20"/>
    </row>
    <row r="21" spans="1:11">
      <c r="A21" s="523" t="s">
        <v>1736</v>
      </c>
      <c r="B21" s="550" t="s">
        <v>1737</v>
      </c>
      <c r="C21"/>
      <c r="D21"/>
      <c r="E21"/>
      <c r="F21"/>
    </row>
    <row r="23" spans="1:11">
      <c r="A23" s="526" t="s">
        <v>2744</v>
      </c>
    </row>
    <row r="26" spans="1:11" ht="15.6" customHeight="1">
      <c r="A26" s="1291" t="s">
        <v>2753</v>
      </c>
      <c r="B26" s="1291" t="s">
        <v>4</v>
      </c>
      <c r="C26" s="1291" t="s">
        <v>2765</v>
      </c>
      <c r="D26" s="1291"/>
      <c r="E26" s="1291"/>
      <c r="F26" s="1291" t="s">
        <v>2748</v>
      </c>
      <c r="G26" s="1291" t="s">
        <v>1736</v>
      </c>
      <c r="H26" s="228"/>
      <c r="I26" s="228"/>
      <c r="J26" s="228"/>
      <c r="K26" s="228"/>
    </row>
    <row r="27" spans="1:11">
      <c r="A27" s="1291"/>
      <c r="B27" s="1291"/>
      <c r="C27" s="370" t="s">
        <v>16</v>
      </c>
      <c r="D27" s="370" t="s">
        <v>26</v>
      </c>
      <c r="E27" s="370" t="s">
        <v>27</v>
      </c>
      <c r="F27" s="1291"/>
      <c r="G27" s="1291"/>
      <c r="H27" s="228"/>
      <c r="I27" s="228"/>
      <c r="J27" s="228"/>
      <c r="K27" s="228"/>
    </row>
    <row r="28" spans="1:11">
      <c r="A28" s="1294" t="s">
        <v>267</v>
      </c>
      <c r="B28" s="821" t="s">
        <v>2743</v>
      </c>
      <c r="C28" s="808">
        <v>70800</v>
      </c>
      <c r="D28" s="291">
        <v>3</v>
      </c>
      <c r="E28" s="291">
        <v>0.6</v>
      </c>
      <c r="F28" s="809">
        <v>2.6999999999999999E-5</v>
      </c>
      <c r="G28" s="258" t="s">
        <v>2747</v>
      </c>
      <c r="H28" s="228"/>
      <c r="I28" s="228"/>
      <c r="J28" s="228"/>
      <c r="K28" s="228"/>
    </row>
    <row r="29" spans="1:11">
      <c r="A29" s="1294"/>
      <c r="B29" s="821" t="s">
        <v>2749</v>
      </c>
      <c r="C29" s="808">
        <v>70800</v>
      </c>
      <c r="D29" s="291">
        <v>3</v>
      </c>
      <c r="E29" s="291">
        <v>0.6</v>
      </c>
      <c r="F29" s="809">
        <v>2.6999999999999999E-5</v>
      </c>
      <c r="G29" s="258" t="s">
        <v>2747</v>
      </c>
      <c r="H29" s="228"/>
      <c r="I29" s="228"/>
      <c r="J29" s="228"/>
      <c r="K29" s="228"/>
    </row>
    <row r="30" spans="1:11" ht="14.4" customHeight="1">
      <c r="A30" s="1292" t="s">
        <v>2782</v>
      </c>
      <c r="B30" s="821" t="s">
        <v>2743</v>
      </c>
      <c r="C30" s="808">
        <v>70800</v>
      </c>
      <c r="D30" s="291">
        <v>4.1500000000000004</v>
      </c>
      <c r="E30" s="291">
        <v>28.6</v>
      </c>
      <c r="F30" s="809">
        <v>2.6999999999999999E-5</v>
      </c>
      <c r="G30" s="288" t="s">
        <v>2784</v>
      </c>
      <c r="H30" s="228"/>
      <c r="I30" s="228"/>
      <c r="J30" s="228"/>
      <c r="K30" s="228"/>
    </row>
    <row r="31" spans="1:11" ht="14.4" customHeight="1">
      <c r="A31" s="1293"/>
      <c r="B31" s="821" t="s">
        <v>2774</v>
      </c>
      <c r="C31" s="808">
        <v>70800</v>
      </c>
      <c r="D31" s="291">
        <v>260</v>
      </c>
      <c r="E31" s="291">
        <v>41</v>
      </c>
      <c r="F31" s="809">
        <v>2.6999999999999999E-5</v>
      </c>
      <c r="G31" s="258" t="s">
        <v>2746</v>
      </c>
      <c r="H31" s="228"/>
      <c r="I31" s="228"/>
      <c r="J31" s="228"/>
      <c r="K31" s="228"/>
    </row>
    <row r="32" spans="1:11" ht="19.2" customHeight="1">
      <c r="A32" s="813" t="s">
        <v>2783</v>
      </c>
      <c r="B32" s="821" t="s">
        <v>2743</v>
      </c>
      <c r="C32" s="808">
        <v>70800</v>
      </c>
      <c r="D32" s="291">
        <v>4.1500000000000004</v>
      </c>
      <c r="E32" s="291">
        <v>28.6</v>
      </c>
      <c r="F32" s="809">
        <v>2.6999999999999999E-5</v>
      </c>
      <c r="G32" s="288" t="s">
        <v>2784</v>
      </c>
      <c r="H32" s="228"/>
      <c r="I32" s="228"/>
      <c r="J32" s="228"/>
      <c r="K32" s="228"/>
    </row>
    <row r="33" spans="1:11" ht="24.6" customHeight="1">
      <c r="A33" s="920" t="s">
        <v>2753</v>
      </c>
      <c r="B33" s="457" t="s">
        <v>4</v>
      </c>
      <c r="C33" s="921" t="s">
        <v>2818</v>
      </c>
      <c r="D33" s="309"/>
      <c r="E33" s="309"/>
      <c r="F33" s="919"/>
      <c r="G33" s="260"/>
      <c r="H33" s="228"/>
      <c r="I33" s="228"/>
      <c r="J33" s="228"/>
      <c r="K33" s="228"/>
    </row>
    <row r="34" spans="1:11" ht="14.4" customHeight="1">
      <c r="A34" s="1292" t="s">
        <v>2782</v>
      </c>
      <c r="B34" s="821" t="s">
        <v>2743</v>
      </c>
      <c r="C34" s="922">
        <f>9.45/(3.78541*0.88)</f>
        <v>2.8368489446681764</v>
      </c>
      <c r="D34" s="309"/>
      <c r="E34" s="309"/>
      <c r="F34" s="919"/>
      <c r="G34" s="260"/>
      <c r="H34" s="228"/>
      <c r="I34" s="228"/>
      <c r="J34" s="228"/>
      <c r="K34" s="228"/>
    </row>
    <row r="35" spans="1:11" ht="14.4" customHeight="1">
      <c r="A35" s="1293"/>
      <c r="B35" s="821" t="s">
        <v>2774</v>
      </c>
      <c r="C35" s="922">
        <f>5.75/(3.78541*0.79)</f>
        <v>1.9227721733334637</v>
      </c>
      <c r="D35" s="309"/>
      <c r="E35" s="309"/>
      <c r="F35" s="919"/>
      <c r="G35" s="260"/>
      <c r="H35" s="228"/>
      <c r="I35" s="228"/>
      <c r="J35" s="228"/>
      <c r="K35" s="228"/>
    </row>
    <row r="36" spans="1:11" ht="18" customHeight="1">
      <c r="A36" s="813" t="s">
        <v>2783</v>
      </c>
      <c r="B36" s="821" t="s">
        <v>2743</v>
      </c>
      <c r="C36" s="922">
        <f>9.45/(3.78541*0.88)</f>
        <v>2.8368489446681764</v>
      </c>
      <c r="D36" s="309"/>
      <c r="E36" s="309"/>
      <c r="F36" s="919"/>
      <c r="G36" s="260"/>
      <c r="H36" s="228"/>
      <c r="I36" s="228"/>
      <c r="J36" s="228"/>
      <c r="K36" s="228"/>
    </row>
    <row r="37" spans="1:11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</row>
    <row r="38" spans="1:11">
      <c r="A38" s="228" t="s">
        <v>1736</v>
      </c>
      <c r="B38" s="228"/>
      <c r="C38" s="228"/>
      <c r="D38" s="228"/>
      <c r="E38" s="228"/>
      <c r="F38" s="228"/>
      <c r="G38" s="228"/>
      <c r="H38" s="228"/>
      <c r="I38" s="228"/>
      <c r="J38" s="228"/>
      <c r="K38" s="228"/>
    </row>
    <row r="39" spans="1:11">
      <c r="A39" s="550" t="s">
        <v>2764</v>
      </c>
      <c r="B39" s="228"/>
      <c r="C39" s="228"/>
      <c r="D39" s="228"/>
      <c r="E39" s="228"/>
      <c r="F39" s="228"/>
      <c r="G39" s="228"/>
      <c r="H39" s="228"/>
      <c r="I39" s="228"/>
      <c r="J39" s="228"/>
      <c r="K39" s="228"/>
    </row>
    <row r="40" spans="1:11">
      <c r="A40" s="550" t="s">
        <v>2745</v>
      </c>
      <c r="B40" s="228"/>
      <c r="C40" s="228"/>
      <c r="D40" s="228"/>
      <c r="E40" s="228"/>
      <c r="F40" s="228"/>
      <c r="G40" s="228"/>
      <c r="H40" s="228"/>
      <c r="I40" s="228"/>
      <c r="J40" s="228"/>
      <c r="K40" s="228"/>
    </row>
    <row r="41" spans="1:11">
      <c r="A41" s="550" t="s">
        <v>2754</v>
      </c>
    </row>
    <row r="42" spans="1:11">
      <c r="A42" s="550" t="s">
        <v>2819</v>
      </c>
    </row>
    <row r="113" spans="1:5">
      <c r="A113" s="526" t="s">
        <v>2758</v>
      </c>
    </row>
    <row r="115" spans="1:5" ht="23.4">
      <c r="B115" s="523" t="s">
        <v>2759</v>
      </c>
      <c r="E115" s="812"/>
    </row>
    <row r="117" spans="1:5">
      <c r="A117" s="474"/>
      <c r="B117" s="474" t="s">
        <v>1719</v>
      </c>
      <c r="C117" s="474" t="s">
        <v>1720</v>
      </c>
    </row>
    <row r="118" spans="1:5" ht="18.600000000000001">
      <c r="A118" s="474" t="s">
        <v>2760</v>
      </c>
      <c r="B118" s="474">
        <v>46</v>
      </c>
      <c r="C118" s="474">
        <v>1</v>
      </c>
    </row>
    <row r="119" spans="1:5" ht="18.600000000000001">
      <c r="A119" s="474" t="s">
        <v>1722</v>
      </c>
      <c r="B119" s="474">
        <v>44</v>
      </c>
      <c r="C119" s="474">
        <v>2</v>
      </c>
    </row>
    <row r="121" spans="1:5" ht="18.600000000000001">
      <c r="A121" s="525" t="s">
        <v>2762</v>
      </c>
      <c r="B121" s="806">
        <f>(B119*C119)/(B118*C118)</f>
        <v>1.9130434782608696</v>
      </c>
      <c r="C121" s="525" t="s">
        <v>2761</v>
      </c>
    </row>
  </sheetData>
  <mergeCells count="8">
    <mergeCell ref="G26:G27"/>
    <mergeCell ref="A26:A27"/>
    <mergeCell ref="B26:B27"/>
    <mergeCell ref="A34:A35"/>
    <mergeCell ref="A30:A31"/>
    <mergeCell ref="A28:A29"/>
    <mergeCell ref="C26:E26"/>
    <mergeCell ref="F26:F27"/>
  </mergeCells>
  <hyperlinks>
    <hyperlink ref="B21" r:id="rId1" xr:uid="{0777C905-B1CB-4D29-A416-9F3BED4DCB87}"/>
    <hyperlink ref="A40" r:id="rId2" xr:uid="{52BC5865-1CDD-4ACE-B399-42006915A671}"/>
    <hyperlink ref="A41" r:id="rId3" xr:uid="{57DE75B7-F9A7-44E7-87EC-2F7807148F39}"/>
    <hyperlink ref="A39" r:id="rId4" xr:uid="{174D9E71-ED98-45E8-9514-EDF3F30162B6}"/>
    <hyperlink ref="A42" r:id="rId5" xr:uid="{CEF51FEE-E657-40B3-ACDC-783A4469159B}"/>
  </hyperlinks>
  <pageMargins left="0.7" right="0.7" top="0.75" bottom="0.75" header="0.3" footer="0.3"/>
  <drawing r:id="rId6"/>
  <legacy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"/>
  <sheetViews>
    <sheetView workbookViewId="0">
      <selection activeCell="E18" sqref="E18"/>
    </sheetView>
  </sheetViews>
  <sheetFormatPr defaultRowHeight="13.8"/>
  <cols>
    <col min="1" max="1" width="13.8984375" customWidth="1"/>
    <col min="2" max="2" width="5.8984375" bestFit="1" customWidth="1"/>
    <col min="3" max="3" width="18.09765625" bestFit="1" customWidth="1"/>
    <col min="4" max="4" width="12.3984375" customWidth="1"/>
    <col min="5" max="5" width="74.09765625" customWidth="1"/>
    <col min="6" max="6" width="20.296875" hidden="1" customWidth="1"/>
  </cols>
  <sheetData>
    <row r="1" spans="1:6">
      <c r="A1" s="1295" t="s">
        <v>133</v>
      </c>
      <c r="B1" s="1295"/>
      <c r="C1" s="1295"/>
      <c r="D1" s="1295"/>
      <c r="E1" s="1295"/>
      <c r="F1" s="1295"/>
    </row>
    <row r="2" spans="1:6">
      <c r="A2" s="209" t="s">
        <v>116</v>
      </c>
      <c r="B2" s="209" t="s">
        <v>134</v>
      </c>
      <c r="C2" s="209" t="s">
        <v>135</v>
      </c>
      <c r="D2" s="209" t="s">
        <v>136</v>
      </c>
      <c r="E2" s="209" t="s">
        <v>137</v>
      </c>
      <c r="F2" s="209" t="s">
        <v>161</v>
      </c>
    </row>
    <row r="3" spans="1:6">
      <c r="A3" s="209"/>
      <c r="B3" s="209"/>
      <c r="C3" s="209"/>
      <c r="D3" s="209"/>
      <c r="E3" s="209"/>
      <c r="F3" s="209"/>
    </row>
    <row r="4" spans="1:6">
      <c r="A4" s="127">
        <v>241864</v>
      </c>
      <c r="B4" s="209">
        <v>1</v>
      </c>
      <c r="C4" s="209" t="s">
        <v>2</v>
      </c>
      <c r="D4" s="209" t="s">
        <v>138</v>
      </c>
      <c r="E4" s="128" t="s">
        <v>139</v>
      </c>
      <c r="F4" s="209" t="s">
        <v>162</v>
      </c>
    </row>
    <row r="5" spans="1:6">
      <c r="A5" s="127">
        <v>241864</v>
      </c>
      <c r="B5" s="209">
        <v>2</v>
      </c>
      <c r="C5" s="209" t="s">
        <v>40</v>
      </c>
      <c r="D5" s="209" t="s">
        <v>140</v>
      </c>
      <c r="E5" s="128" t="s">
        <v>141</v>
      </c>
      <c r="F5" s="209" t="s">
        <v>162</v>
      </c>
    </row>
    <row r="6" spans="1:6">
      <c r="A6" s="127">
        <v>241864</v>
      </c>
      <c r="B6" s="209">
        <v>3</v>
      </c>
      <c r="C6" s="209" t="s">
        <v>40</v>
      </c>
      <c r="D6" s="209" t="s">
        <v>143</v>
      </c>
      <c r="E6" s="128" t="s">
        <v>144</v>
      </c>
      <c r="F6" s="209" t="s">
        <v>162</v>
      </c>
    </row>
    <row r="7" spans="1:6">
      <c r="A7" s="127">
        <v>241864</v>
      </c>
      <c r="B7" s="131">
        <v>4</v>
      </c>
      <c r="C7" s="209" t="s">
        <v>145</v>
      </c>
      <c r="D7" s="2"/>
      <c r="E7" s="2" t="s">
        <v>146</v>
      </c>
      <c r="F7" s="209" t="s">
        <v>162</v>
      </c>
    </row>
    <row r="8" spans="1:6">
      <c r="A8" s="127">
        <v>242229</v>
      </c>
      <c r="B8" s="131">
        <v>5</v>
      </c>
      <c r="C8" s="209" t="s">
        <v>145</v>
      </c>
      <c r="D8" s="2"/>
      <c r="E8" s="128" t="s">
        <v>152</v>
      </c>
      <c r="F8" s="209" t="s">
        <v>162</v>
      </c>
    </row>
    <row r="9" spans="1:6">
      <c r="A9" s="127">
        <v>242229</v>
      </c>
      <c r="B9" s="131">
        <v>6</v>
      </c>
      <c r="C9" s="209" t="s">
        <v>2</v>
      </c>
      <c r="D9" s="2"/>
      <c r="E9" s="128" t="s">
        <v>163</v>
      </c>
      <c r="F9" s="209" t="s">
        <v>162</v>
      </c>
    </row>
    <row r="10" spans="1:6">
      <c r="A10" s="127">
        <v>242355</v>
      </c>
      <c r="B10" s="131">
        <v>7</v>
      </c>
      <c r="C10" s="209" t="s">
        <v>40</v>
      </c>
      <c r="D10" s="2"/>
      <c r="E10" s="128" t="s">
        <v>164</v>
      </c>
      <c r="F10" s="209" t="s">
        <v>162</v>
      </c>
    </row>
    <row r="11" spans="1:6">
      <c r="A11" s="127">
        <v>242433</v>
      </c>
      <c r="B11" s="131">
        <v>8</v>
      </c>
      <c r="C11" s="209" t="s">
        <v>145</v>
      </c>
      <c r="D11" s="2"/>
      <c r="E11" s="128" t="s">
        <v>176</v>
      </c>
      <c r="F11" s="209" t="s">
        <v>162</v>
      </c>
    </row>
    <row r="12" spans="1:6">
      <c r="A12" s="127">
        <v>242433</v>
      </c>
      <c r="B12" s="131">
        <v>9</v>
      </c>
      <c r="C12" s="209" t="s">
        <v>180</v>
      </c>
      <c r="D12" s="2"/>
      <c r="E12" s="128" t="s">
        <v>252</v>
      </c>
      <c r="F12" s="209" t="s">
        <v>162</v>
      </c>
    </row>
    <row r="13" spans="1:6">
      <c r="A13" s="127">
        <v>242783</v>
      </c>
      <c r="B13" s="131">
        <v>10</v>
      </c>
      <c r="C13" s="209" t="s">
        <v>209</v>
      </c>
      <c r="D13" s="2"/>
      <c r="E13" s="128" t="s">
        <v>253</v>
      </c>
      <c r="F13" s="209" t="s">
        <v>162</v>
      </c>
    </row>
    <row r="14" spans="1:6">
      <c r="A14" s="127">
        <v>242783</v>
      </c>
      <c r="B14" s="131">
        <v>11</v>
      </c>
      <c r="C14" s="209" t="s">
        <v>210</v>
      </c>
      <c r="D14" s="2"/>
      <c r="E14" s="128" t="s">
        <v>254</v>
      </c>
      <c r="F14" s="209" t="s">
        <v>162</v>
      </c>
    </row>
    <row r="15" spans="1:6">
      <c r="A15" s="127">
        <v>242783</v>
      </c>
      <c r="B15" s="131">
        <v>12</v>
      </c>
      <c r="C15" s="209" t="s">
        <v>256</v>
      </c>
      <c r="D15" s="2"/>
      <c r="E15" s="128" t="s">
        <v>255</v>
      </c>
      <c r="F15" s="209" t="s">
        <v>162</v>
      </c>
    </row>
    <row r="16" spans="1:6">
      <c r="A16" s="127">
        <v>242879</v>
      </c>
      <c r="B16" s="131">
        <v>13</v>
      </c>
      <c r="C16" s="209" t="s">
        <v>210</v>
      </c>
      <c r="D16" s="2"/>
      <c r="E16" s="128" t="s">
        <v>258</v>
      </c>
      <c r="F16" s="209" t="s">
        <v>162</v>
      </c>
    </row>
    <row r="17" spans="1:6">
      <c r="A17" s="127">
        <v>242879</v>
      </c>
      <c r="B17" s="131">
        <v>14</v>
      </c>
      <c r="C17" s="209" t="s">
        <v>206</v>
      </c>
      <c r="D17" s="2"/>
      <c r="E17" s="128" t="s">
        <v>259</v>
      </c>
      <c r="F17" s="209" t="s">
        <v>162</v>
      </c>
    </row>
    <row r="18" spans="1:6">
      <c r="A18" s="127">
        <v>243016</v>
      </c>
      <c r="B18" s="131">
        <v>15</v>
      </c>
      <c r="C18" s="209" t="s">
        <v>206</v>
      </c>
      <c r="D18" s="2"/>
      <c r="E18" s="128" t="s">
        <v>261</v>
      </c>
      <c r="F18" s="209" t="s">
        <v>162</v>
      </c>
    </row>
    <row r="19" spans="1:6">
      <c r="A19" s="127">
        <v>243016</v>
      </c>
      <c r="B19" s="131">
        <v>16</v>
      </c>
      <c r="C19" s="209" t="s">
        <v>206</v>
      </c>
      <c r="D19" s="2"/>
      <c r="E19" s="128" t="s">
        <v>261</v>
      </c>
      <c r="F19" s="209" t="s">
        <v>162</v>
      </c>
    </row>
    <row r="20" spans="1:6">
      <c r="A20" s="127">
        <v>243016</v>
      </c>
      <c r="B20" s="131">
        <v>17</v>
      </c>
      <c r="C20" s="209" t="s">
        <v>210</v>
      </c>
      <c r="D20" s="2"/>
      <c r="E20" s="128" t="s">
        <v>261</v>
      </c>
      <c r="F20" s="209" t="s">
        <v>162</v>
      </c>
    </row>
  </sheetData>
  <sheetProtection sheet="1" objects="1" scenarios="1"/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D0EC-8913-47A1-86CB-AB083A52FE09}">
  <sheetPr>
    <tabColor rgb="FFFFFF00"/>
  </sheetPr>
  <dimension ref="A1:P1002"/>
  <sheetViews>
    <sheetView zoomScale="70" zoomScaleNormal="70" workbookViewId="0">
      <selection activeCell="A11" sqref="A11"/>
    </sheetView>
  </sheetViews>
  <sheetFormatPr defaultColWidth="14.3984375" defaultRowHeight="13.2"/>
  <cols>
    <col min="1" max="1" width="40.3984375" style="260" customWidth="1"/>
    <col min="2" max="2" width="15" style="260" customWidth="1"/>
    <col min="3" max="3" width="8.796875" style="260" customWidth="1"/>
    <col min="4" max="4" width="12.69921875" style="260" customWidth="1"/>
    <col min="5" max="12" width="12.59765625" style="260" customWidth="1"/>
    <col min="13" max="16" width="13.296875" style="260" customWidth="1"/>
    <col min="17" max="27" width="8.796875" style="260" customWidth="1"/>
    <col min="28" max="16384" width="14.3984375" style="260"/>
  </cols>
  <sheetData>
    <row r="1" spans="1:16" ht="21" customHeight="1">
      <c r="A1" s="259" t="s">
        <v>267</v>
      </c>
    </row>
    <row r="2" spans="1:16" ht="21" customHeight="1">
      <c r="A2" s="1302" t="s">
        <v>4</v>
      </c>
      <c r="B2" s="1302"/>
      <c r="C2" s="1302" t="s">
        <v>2776</v>
      </c>
      <c r="D2" s="1302" t="s">
        <v>268</v>
      </c>
      <c r="E2" s="1302" t="s">
        <v>17</v>
      </c>
      <c r="F2" s="1302" t="s">
        <v>2777</v>
      </c>
      <c r="G2" s="820" t="s">
        <v>78</v>
      </c>
      <c r="H2" s="1302" t="s">
        <v>2743</v>
      </c>
      <c r="I2" s="1302"/>
      <c r="J2" s="820" t="s">
        <v>641</v>
      </c>
      <c r="K2" s="1302" t="s">
        <v>2779</v>
      </c>
      <c r="L2" s="1302"/>
    </row>
    <row r="3" spans="1:16" ht="21" customHeight="1">
      <c r="A3" s="1302"/>
      <c r="B3" s="1302"/>
      <c r="C3" s="1302"/>
      <c r="D3" s="1302"/>
      <c r="E3" s="1302"/>
      <c r="F3" s="1302"/>
      <c r="G3" s="820" t="s">
        <v>296</v>
      </c>
      <c r="H3" s="820" t="s">
        <v>296</v>
      </c>
      <c r="I3" s="820" t="s">
        <v>61</v>
      </c>
      <c r="J3" s="820" t="s">
        <v>296</v>
      </c>
      <c r="K3" s="820" t="s">
        <v>296</v>
      </c>
      <c r="L3" s="820" t="s">
        <v>61</v>
      </c>
    </row>
    <row r="4" spans="1:16" ht="21" customHeight="1">
      <c r="A4" s="1303" t="str">
        <f>A9</f>
        <v xml:space="preserve">น้ำมัน Diesel B7 (Fire Pump) </v>
      </c>
      <c r="B4" s="1303"/>
      <c r="C4" s="291" t="s">
        <v>2732</v>
      </c>
      <c r="D4" s="288" t="str">
        <f>B9</f>
        <v>ใบกำกับภาษี</v>
      </c>
      <c r="E4" s="291" t="s">
        <v>296</v>
      </c>
      <c r="F4" s="293">
        <f>D9</f>
        <v>540</v>
      </c>
      <c r="G4" s="824">
        <f>F4*0.93</f>
        <v>502.20000000000005</v>
      </c>
      <c r="H4" s="823">
        <f>F4-G4</f>
        <v>37.799999999999955</v>
      </c>
      <c r="I4" s="824">
        <f>H4*0.87</f>
        <v>32.88599999999996</v>
      </c>
      <c r="J4" s="288"/>
      <c r="K4" s="288"/>
      <c r="L4" s="288"/>
    </row>
    <row r="5" spans="1:16" ht="21" customHeight="1">
      <c r="A5" s="1304" t="str">
        <f>A10</f>
        <v>น้ำมัน Gasohol 91/95 (เครื่องตัดหญ้า)</v>
      </c>
      <c r="B5" s="1305"/>
      <c r="C5" s="291" t="s">
        <v>2734</v>
      </c>
      <c r="D5" s="288" t="str">
        <f>B10</f>
        <v>บิลเงินสด/ใบกำกับภาษี</v>
      </c>
      <c r="E5" s="291" t="s">
        <v>296</v>
      </c>
      <c r="F5" s="823">
        <f>D10</f>
        <v>51.546000000000006</v>
      </c>
      <c r="G5" s="288"/>
      <c r="H5" s="288"/>
      <c r="I5" s="288"/>
      <c r="J5" s="825">
        <f>F5*0.9</f>
        <v>46.391400000000004</v>
      </c>
      <c r="K5" s="823">
        <f>F5-J5</f>
        <v>5.1546000000000021</v>
      </c>
      <c r="L5" s="825">
        <f>K5*0.79</f>
        <v>4.0721340000000019</v>
      </c>
    </row>
    <row r="6" spans="1:16" ht="21" customHeight="1">
      <c r="A6" s="259"/>
    </row>
    <row r="7" spans="1:16" ht="21" customHeight="1">
      <c r="A7" s="1296" t="s">
        <v>4</v>
      </c>
      <c r="B7" s="1296" t="s">
        <v>268</v>
      </c>
      <c r="C7" s="1296" t="s">
        <v>269</v>
      </c>
      <c r="D7" s="1296" t="s">
        <v>270</v>
      </c>
      <c r="E7" s="1299" t="s">
        <v>271</v>
      </c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1"/>
    </row>
    <row r="8" spans="1:16" ht="21" customHeight="1">
      <c r="A8" s="1297"/>
      <c r="B8" s="1297"/>
      <c r="C8" s="1297"/>
      <c r="D8" s="1298"/>
      <c r="E8" s="261">
        <v>1</v>
      </c>
      <c r="F8" s="261">
        <v>2</v>
      </c>
      <c r="G8" s="261">
        <v>3</v>
      </c>
      <c r="H8" s="261">
        <v>4</v>
      </c>
      <c r="I8" s="261">
        <v>5</v>
      </c>
      <c r="J8" s="261">
        <v>6</v>
      </c>
      <c r="K8" s="261">
        <v>7</v>
      </c>
      <c r="L8" s="261">
        <v>8</v>
      </c>
      <c r="M8" s="261">
        <v>9</v>
      </c>
      <c r="N8" s="261">
        <v>10</v>
      </c>
      <c r="O8" s="261">
        <v>11</v>
      </c>
      <c r="P8" s="261">
        <v>12</v>
      </c>
    </row>
    <row r="9" spans="1:16" ht="22.2" customHeight="1">
      <c r="A9" s="262" t="s">
        <v>2729</v>
      </c>
      <c r="B9" s="263" t="s">
        <v>275</v>
      </c>
      <c r="C9" s="263" t="s">
        <v>273</v>
      </c>
      <c r="D9" s="264">
        <f>SUM(E9:P9)</f>
        <v>540</v>
      </c>
      <c r="E9" s="265">
        <v>0</v>
      </c>
      <c r="F9" s="265">
        <v>0</v>
      </c>
      <c r="G9" s="265">
        <v>0</v>
      </c>
      <c r="H9" s="265">
        <v>0</v>
      </c>
      <c r="I9" s="266">
        <v>170</v>
      </c>
      <c r="J9" s="265">
        <v>0</v>
      </c>
      <c r="K9" s="265">
        <v>0</v>
      </c>
      <c r="L9" s="265">
        <v>0</v>
      </c>
      <c r="M9" s="266">
        <v>180</v>
      </c>
      <c r="N9" s="265">
        <v>0</v>
      </c>
      <c r="O9" s="265">
        <v>0</v>
      </c>
      <c r="P9" s="266">
        <v>190</v>
      </c>
    </row>
    <row r="10" spans="1:16" ht="22.2" customHeight="1">
      <c r="A10" s="262" t="s">
        <v>2750</v>
      </c>
      <c r="B10" s="366" t="s">
        <v>2802</v>
      </c>
      <c r="C10" s="263" t="s">
        <v>296</v>
      </c>
      <c r="D10" s="264">
        <f>SUM(E10:P10)</f>
        <v>51.546000000000006</v>
      </c>
      <c r="E10" s="265"/>
      <c r="F10" s="265">
        <v>5.5140000000000002</v>
      </c>
      <c r="G10" s="265"/>
      <c r="H10" s="265">
        <v>5.42</v>
      </c>
      <c r="I10" s="266">
        <f>5.607+4.22</f>
        <v>9.827</v>
      </c>
      <c r="J10" s="265">
        <v>5.6379999999999999</v>
      </c>
      <c r="K10" s="265"/>
      <c r="L10" s="265">
        <v>5.1849999999999996</v>
      </c>
      <c r="M10" s="266">
        <v>5.08</v>
      </c>
      <c r="N10" s="265">
        <v>5.14</v>
      </c>
      <c r="O10" s="265">
        <v>3.99</v>
      </c>
      <c r="P10" s="266">
        <v>5.7519999999999998</v>
      </c>
    </row>
    <row r="11" spans="1:16" ht="22.2" customHeight="1">
      <c r="A11" s="268" t="s">
        <v>274</v>
      </c>
      <c r="B11" s="267" t="s">
        <v>275</v>
      </c>
      <c r="C11" s="263" t="s">
        <v>61</v>
      </c>
      <c r="D11" s="264">
        <f>D13+D15</f>
        <v>50</v>
      </c>
      <c r="E11" s="265"/>
      <c r="F11" s="265"/>
      <c r="G11" s="265"/>
      <c r="H11" s="265"/>
      <c r="I11" s="266"/>
      <c r="J11" s="265"/>
      <c r="K11" s="265"/>
      <c r="L11" s="265"/>
      <c r="M11" s="266"/>
      <c r="N11" s="265"/>
      <c r="O11" s="265"/>
      <c r="P11" s="266"/>
    </row>
    <row r="12" spans="1:16" ht="22.2" customHeight="1">
      <c r="A12" s="269" t="s">
        <v>276</v>
      </c>
      <c r="B12" s="270" t="s">
        <v>277</v>
      </c>
      <c r="C12" s="271" t="s">
        <v>278</v>
      </c>
      <c r="D12" s="272">
        <f>SUM(E12:P12)</f>
        <v>10</v>
      </c>
      <c r="E12" s="265">
        <v>0</v>
      </c>
      <c r="F12" s="265">
        <v>0</v>
      </c>
      <c r="G12" s="265">
        <v>0</v>
      </c>
      <c r="H12" s="265">
        <v>3</v>
      </c>
      <c r="I12" s="265">
        <v>0</v>
      </c>
      <c r="J12" s="265">
        <v>0</v>
      </c>
      <c r="K12" s="265">
        <v>3</v>
      </c>
      <c r="L12" s="265">
        <v>0</v>
      </c>
      <c r="M12" s="265">
        <v>4</v>
      </c>
      <c r="N12" s="265">
        <v>0</v>
      </c>
      <c r="O12" s="265">
        <v>0</v>
      </c>
      <c r="P12" s="265">
        <v>0</v>
      </c>
    </row>
    <row r="13" spans="1:16" ht="22.2" customHeight="1">
      <c r="A13" s="273"/>
      <c r="B13" s="274"/>
      <c r="C13" s="271" t="s">
        <v>61</v>
      </c>
      <c r="D13" s="272">
        <f t="shared" ref="D13:D15" si="0">SUM(E13:P13)</f>
        <v>50</v>
      </c>
      <c r="E13" s="265">
        <f>E12*5</f>
        <v>0</v>
      </c>
      <c r="F13" s="265">
        <f t="shared" ref="F13:P13" si="1">F12*5</f>
        <v>0</v>
      </c>
      <c r="G13" s="265">
        <f t="shared" si="1"/>
        <v>0</v>
      </c>
      <c r="H13" s="265">
        <f t="shared" si="1"/>
        <v>15</v>
      </c>
      <c r="I13" s="265">
        <f t="shared" si="1"/>
        <v>0</v>
      </c>
      <c r="J13" s="265">
        <f t="shared" si="1"/>
        <v>0</v>
      </c>
      <c r="K13" s="265">
        <f t="shared" si="1"/>
        <v>15</v>
      </c>
      <c r="L13" s="265">
        <f t="shared" si="1"/>
        <v>0</v>
      </c>
      <c r="M13" s="265">
        <f t="shared" si="1"/>
        <v>20</v>
      </c>
      <c r="N13" s="265">
        <f t="shared" si="1"/>
        <v>0</v>
      </c>
      <c r="O13" s="265">
        <f t="shared" si="1"/>
        <v>0</v>
      </c>
      <c r="P13" s="265">
        <f t="shared" si="1"/>
        <v>0</v>
      </c>
    </row>
    <row r="14" spans="1:16" ht="22.2" customHeight="1">
      <c r="A14" s="269" t="s">
        <v>279</v>
      </c>
      <c r="B14" s="270" t="s">
        <v>275</v>
      </c>
      <c r="C14" s="275" t="s">
        <v>278</v>
      </c>
      <c r="D14" s="272">
        <f t="shared" si="0"/>
        <v>0</v>
      </c>
      <c r="E14" s="265">
        <v>0</v>
      </c>
      <c r="F14" s="265">
        <v>0</v>
      </c>
      <c r="G14" s="265">
        <v>0</v>
      </c>
      <c r="H14" s="265">
        <v>0</v>
      </c>
      <c r="I14" s="265">
        <v>0</v>
      </c>
      <c r="J14" s="265">
        <v>0</v>
      </c>
      <c r="K14" s="265">
        <v>0</v>
      </c>
      <c r="L14" s="265">
        <v>0</v>
      </c>
      <c r="M14" s="265">
        <v>0</v>
      </c>
      <c r="N14" s="265">
        <v>0</v>
      </c>
      <c r="O14" s="265">
        <v>0</v>
      </c>
      <c r="P14" s="265">
        <v>0</v>
      </c>
    </row>
    <row r="15" spans="1:16" ht="22.2" customHeight="1">
      <c r="A15" s="276"/>
      <c r="B15" s="277"/>
      <c r="C15" s="275" t="s">
        <v>280</v>
      </c>
      <c r="D15" s="272">
        <f t="shared" si="0"/>
        <v>0</v>
      </c>
      <c r="E15" s="278">
        <f>E14*5</f>
        <v>0</v>
      </c>
      <c r="F15" s="278">
        <f t="shared" ref="F15:P15" si="2">F14*5</f>
        <v>0</v>
      </c>
      <c r="G15" s="278">
        <f t="shared" si="2"/>
        <v>0</v>
      </c>
      <c r="H15" s="278">
        <f t="shared" si="2"/>
        <v>0</v>
      </c>
      <c r="I15" s="278">
        <f t="shared" si="2"/>
        <v>0</v>
      </c>
      <c r="J15" s="278">
        <f t="shared" si="2"/>
        <v>0</v>
      </c>
      <c r="K15" s="278">
        <f t="shared" si="2"/>
        <v>0</v>
      </c>
      <c r="L15" s="278">
        <f t="shared" si="2"/>
        <v>0</v>
      </c>
      <c r="M15" s="278">
        <f t="shared" si="2"/>
        <v>0</v>
      </c>
      <c r="N15" s="278">
        <f t="shared" si="2"/>
        <v>0</v>
      </c>
      <c r="O15" s="278">
        <f t="shared" si="2"/>
        <v>0</v>
      </c>
      <c r="P15" s="278">
        <f t="shared" si="2"/>
        <v>0</v>
      </c>
    </row>
    <row r="16" spans="1:16" ht="21" customHeight="1"/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</sheetData>
  <mergeCells count="14">
    <mergeCell ref="H2:I2"/>
    <mergeCell ref="K2:L2"/>
    <mergeCell ref="A4:B4"/>
    <mergeCell ref="A5:B5"/>
    <mergeCell ref="A2:B3"/>
    <mergeCell ref="C2:C3"/>
    <mergeCell ref="D2:D3"/>
    <mergeCell ref="E2:E3"/>
    <mergeCell ref="F2:F3"/>
    <mergeCell ref="A7:A8"/>
    <mergeCell ref="B7:B8"/>
    <mergeCell ref="C7:C8"/>
    <mergeCell ref="D7:D8"/>
    <mergeCell ref="E7:P7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A638-F203-46BE-97A8-523B730AC21B}">
  <sheetPr>
    <tabColor rgb="FFFFFF00"/>
  </sheetPr>
  <dimension ref="A1:IE988"/>
  <sheetViews>
    <sheetView zoomScale="85" zoomScaleNormal="85" workbookViewId="0">
      <selection activeCell="F46" sqref="F46"/>
    </sheetView>
  </sheetViews>
  <sheetFormatPr defaultColWidth="14.3984375" defaultRowHeight="13.2"/>
  <cols>
    <col min="1" max="1" width="21.59765625" style="260" customWidth="1"/>
    <col min="2" max="2" width="21.09765625" style="260" customWidth="1"/>
    <col min="3" max="3" width="8" style="260" customWidth="1"/>
    <col min="4" max="4" width="25.796875" style="260" customWidth="1"/>
    <col min="5" max="5" width="8.796875" style="260" customWidth="1"/>
    <col min="6" max="6" width="13.3984375" style="260" customWidth="1"/>
    <col min="7" max="8" width="10.3984375" style="260" customWidth="1"/>
    <col min="9" max="9" width="10.19921875" style="260" customWidth="1"/>
    <col min="10" max="10" width="10.296875" style="260" customWidth="1"/>
    <col min="11" max="11" width="10" style="260" customWidth="1"/>
    <col min="12" max="12" width="9.59765625" style="260" customWidth="1"/>
    <col min="13" max="17" width="9.8984375" style="260" customWidth="1"/>
    <col min="18" max="18" width="8.796875" style="260" customWidth="1"/>
    <col min="19" max="22" width="9.8984375" style="260" customWidth="1"/>
    <col min="23" max="29" width="8.796875" style="260" customWidth="1"/>
    <col min="30" max="16384" width="14.3984375" style="260"/>
  </cols>
  <sheetData>
    <row r="1" spans="1:239" ht="21" customHeight="1">
      <c r="A1" s="259" t="s">
        <v>281</v>
      </c>
      <c r="B1" s="259"/>
      <c r="C1" s="259"/>
    </row>
    <row r="2" spans="1:239" ht="21" customHeight="1">
      <c r="A2" s="259" t="s">
        <v>2775</v>
      </c>
      <c r="B2" s="259"/>
      <c r="C2" s="259"/>
    </row>
    <row r="3" spans="1:239" ht="21" customHeight="1">
      <c r="A3" s="1317" t="s">
        <v>4</v>
      </c>
      <c r="B3" s="1318"/>
      <c r="C3" s="1311" t="s">
        <v>2776</v>
      </c>
      <c r="D3" s="1311" t="s">
        <v>268</v>
      </c>
      <c r="E3" s="1311" t="s">
        <v>17</v>
      </c>
      <c r="F3" s="1311" t="s">
        <v>2777</v>
      </c>
      <c r="G3" s="820" t="s">
        <v>78</v>
      </c>
      <c r="H3" s="1313" t="s">
        <v>2743</v>
      </c>
      <c r="I3" s="1314"/>
      <c r="J3" s="820" t="s">
        <v>641</v>
      </c>
      <c r="K3" s="1313" t="s">
        <v>2779</v>
      </c>
      <c r="L3" s="1314"/>
    </row>
    <row r="4" spans="1:239" ht="21" customHeight="1">
      <c r="A4" s="1319"/>
      <c r="B4" s="1320"/>
      <c r="C4" s="1312"/>
      <c r="D4" s="1312"/>
      <c r="E4" s="1312"/>
      <c r="F4" s="1312"/>
      <c r="G4" s="820" t="s">
        <v>296</v>
      </c>
      <c r="H4" s="820" t="s">
        <v>296</v>
      </c>
      <c r="I4" s="820" t="s">
        <v>61</v>
      </c>
      <c r="J4" s="820" t="s">
        <v>296</v>
      </c>
      <c r="K4" s="820" t="s">
        <v>296</v>
      </c>
      <c r="L4" s="820" t="s">
        <v>61</v>
      </c>
    </row>
    <row r="5" spans="1:239" ht="21" customHeight="1">
      <c r="A5" s="1315" t="str">
        <f>A13</f>
        <v>น้ำมัน Diesel B7  ที่ใช้ในรถยนต์ขององค์กร</v>
      </c>
      <c r="B5" s="1316"/>
      <c r="C5" s="291" t="s">
        <v>2732</v>
      </c>
      <c r="D5" s="288" t="str">
        <f t="shared" ref="D5:F6" si="0">D13</f>
        <v>ใบกำกับภาษี /Fleet Card Report</v>
      </c>
      <c r="E5" s="291" t="str">
        <f t="shared" si="0"/>
        <v>L</v>
      </c>
      <c r="F5" s="293">
        <f>F13</f>
        <v>17464.881999999998</v>
      </c>
      <c r="G5" s="824">
        <f>F5*0.93</f>
        <v>16242.340259999999</v>
      </c>
      <c r="H5" s="823">
        <f>F5-G5</f>
        <v>1222.5417399999988</v>
      </c>
      <c r="I5" s="824">
        <f>H5*0.87</f>
        <v>1063.6113137999989</v>
      </c>
      <c r="J5" s="288"/>
      <c r="K5" s="288"/>
      <c r="L5" s="288"/>
    </row>
    <row r="6" spans="1:239" ht="21" customHeight="1">
      <c r="A6" s="1315" t="str">
        <f>A14</f>
        <v>น้ำมัน Diesel B10  ที่ใช้ในรถยนต์ขององค์กร</v>
      </c>
      <c r="B6" s="1316"/>
      <c r="C6" s="291" t="s">
        <v>2733</v>
      </c>
      <c r="D6" s="288" t="str">
        <f t="shared" si="0"/>
        <v>ใบกำกับภาษี /Fleet Card Report</v>
      </c>
      <c r="E6" s="291" t="str">
        <f t="shared" si="0"/>
        <v>L</v>
      </c>
      <c r="F6" s="293">
        <f t="shared" si="0"/>
        <v>53.51</v>
      </c>
      <c r="G6" s="824">
        <f>F6*0.9</f>
        <v>48.158999999999999</v>
      </c>
      <c r="H6" s="823">
        <f>F6-G6</f>
        <v>5.3509999999999991</v>
      </c>
      <c r="I6" s="824">
        <f>H6*0.87</f>
        <v>4.6553699999999996</v>
      </c>
      <c r="J6" s="288"/>
      <c r="K6" s="288"/>
      <c r="L6" s="288"/>
    </row>
    <row r="7" spans="1:239" ht="21" customHeight="1">
      <c r="A7" s="1315" t="str">
        <f>A43</f>
        <v xml:space="preserve">น้ำมัน Gasohol 91/95 ที่ใช้ในรถยนต์ขององค์กร </v>
      </c>
      <c r="B7" s="1316"/>
      <c r="C7" s="291" t="s">
        <v>2734</v>
      </c>
      <c r="D7" s="288" t="str">
        <f t="shared" ref="D7:F8" si="1">D43</f>
        <v>ใบกำกับภาษี /Fleet Card Report</v>
      </c>
      <c r="E7" s="291" t="str">
        <f t="shared" si="1"/>
        <v>L</v>
      </c>
      <c r="F7" s="293">
        <f t="shared" si="1"/>
        <v>4190.03</v>
      </c>
      <c r="G7" s="288"/>
      <c r="H7" s="288"/>
      <c r="I7" s="288"/>
      <c r="J7" s="825">
        <f>F7*0.9</f>
        <v>3771.027</v>
      </c>
      <c r="K7" s="823">
        <f>F7-J7</f>
        <v>419.0029999999997</v>
      </c>
      <c r="L7" s="825">
        <f>K7*0.79</f>
        <v>331.01236999999981</v>
      </c>
    </row>
    <row r="8" spans="1:239" ht="21" customHeight="1">
      <c r="A8" s="1315" t="str">
        <f>A44</f>
        <v xml:space="preserve">น้ำมัน Gasohol E20 ที่ใช้ในรถยนต์ขององค์กร </v>
      </c>
      <c r="B8" s="1316"/>
      <c r="C8" s="291" t="s">
        <v>2735</v>
      </c>
      <c r="D8" s="288" t="str">
        <f t="shared" si="1"/>
        <v>ใบกำกับภาษี /Fleet Card Report</v>
      </c>
      <c r="E8" s="291" t="str">
        <f t="shared" si="1"/>
        <v>L</v>
      </c>
      <c r="F8" s="293">
        <f t="shared" si="1"/>
        <v>151.09</v>
      </c>
      <c r="G8" s="288"/>
      <c r="H8" s="288"/>
      <c r="I8" s="288"/>
      <c r="J8" s="825">
        <f>F8*0.8</f>
        <v>120.87200000000001</v>
      </c>
      <c r="K8" s="823">
        <f>F8-J8</f>
        <v>30.217999999999989</v>
      </c>
      <c r="L8" s="825">
        <f>K8*0.79</f>
        <v>23.872219999999992</v>
      </c>
    </row>
    <row r="9" spans="1:239" ht="21" customHeight="1">
      <c r="A9" s="1315" t="str">
        <f>A57</f>
        <v>น้ำมัน Diesel B7 ที่ใช้ใน Forklift</v>
      </c>
      <c r="B9" s="1316"/>
      <c r="C9" s="291" t="s">
        <v>2732</v>
      </c>
      <c r="D9" s="288" t="str">
        <f>D57</f>
        <v>Fleet card</v>
      </c>
      <c r="E9" s="291" t="str">
        <f>E57</f>
        <v>L</v>
      </c>
      <c r="F9" s="293">
        <f>F57</f>
        <v>4650</v>
      </c>
      <c r="G9" s="826">
        <f>F9*0.93</f>
        <v>4324.5</v>
      </c>
      <c r="H9" s="823">
        <f>F9-G9</f>
        <v>325.5</v>
      </c>
      <c r="I9" s="826">
        <f>H9*0.87</f>
        <v>283.185</v>
      </c>
      <c r="J9" s="288"/>
      <c r="K9" s="288"/>
      <c r="L9" s="288"/>
    </row>
    <row r="10" spans="1:239" ht="21" customHeight="1">
      <c r="A10" s="259"/>
      <c r="B10" s="259"/>
      <c r="C10" s="259"/>
    </row>
    <row r="11" spans="1:239" ht="21" customHeight="1">
      <c r="A11" s="1309" t="s">
        <v>4</v>
      </c>
      <c r="B11" s="1309" t="s">
        <v>282</v>
      </c>
      <c r="C11" s="1309" t="s">
        <v>2776</v>
      </c>
      <c r="D11" s="1309" t="s">
        <v>268</v>
      </c>
      <c r="E11" s="1309" t="s">
        <v>269</v>
      </c>
      <c r="F11" s="1309" t="s">
        <v>270</v>
      </c>
      <c r="G11" s="1306" t="s">
        <v>271</v>
      </c>
      <c r="H11" s="1307"/>
      <c r="I11" s="1307"/>
      <c r="J11" s="1307"/>
      <c r="K11" s="1307"/>
      <c r="L11" s="1307"/>
      <c r="M11" s="1307"/>
      <c r="N11" s="1307"/>
      <c r="O11" s="1307"/>
      <c r="P11" s="1307"/>
      <c r="Q11" s="1307"/>
      <c r="R11" s="1308"/>
    </row>
    <row r="12" spans="1:239" ht="21" customHeight="1">
      <c r="A12" s="1310"/>
      <c r="B12" s="1310"/>
      <c r="C12" s="1310"/>
      <c r="D12" s="1310"/>
      <c r="E12" s="1310"/>
      <c r="F12" s="1310"/>
      <c r="G12" s="279">
        <v>1</v>
      </c>
      <c r="H12" s="279">
        <v>2</v>
      </c>
      <c r="I12" s="279">
        <v>3</v>
      </c>
      <c r="J12" s="279">
        <v>4</v>
      </c>
      <c r="K12" s="279">
        <v>5</v>
      </c>
      <c r="L12" s="279">
        <v>6</v>
      </c>
      <c r="M12" s="279">
        <v>7</v>
      </c>
      <c r="N12" s="279">
        <v>8</v>
      </c>
      <c r="O12" s="279">
        <v>9</v>
      </c>
      <c r="P12" s="279">
        <v>10</v>
      </c>
      <c r="Q12" s="280">
        <v>11</v>
      </c>
      <c r="R12" s="281">
        <v>12</v>
      </c>
    </row>
    <row r="13" spans="1:239" s="288" customFormat="1" ht="23.4" customHeight="1">
      <c r="A13" s="527" t="s">
        <v>2739</v>
      </c>
      <c r="B13" s="528"/>
      <c r="C13" s="822" t="s">
        <v>2732</v>
      </c>
      <c r="D13" s="529" t="s">
        <v>283</v>
      </c>
      <c r="E13" s="530" t="s">
        <v>296</v>
      </c>
      <c r="F13" s="531">
        <f>F15+F17+F19+F21+F23+F25+F27+F29+F31+F33+F35+F37+F39+F41</f>
        <v>17464.881999999998</v>
      </c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7"/>
      <c r="R13" s="286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0"/>
      <c r="BQ13" s="260"/>
      <c r="BR13" s="260"/>
      <c r="BS13" s="260"/>
      <c r="BT13" s="260"/>
      <c r="BU13" s="260"/>
      <c r="BV13" s="260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</row>
    <row r="14" spans="1:239" s="288" customFormat="1" ht="23.4" customHeight="1">
      <c r="A14" s="527" t="s">
        <v>2738</v>
      </c>
      <c r="B14" s="528"/>
      <c r="C14" s="822" t="s">
        <v>2733</v>
      </c>
      <c r="D14" s="529" t="s">
        <v>283</v>
      </c>
      <c r="E14" s="530" t="s">
        <v>296</v>
      </c>
      <c r="F14" s="531">
        <f>F16+F18+F20+F22+F24+F26+F28+F30+F32+F34+F36+F38+F40+F42</f>
        <v>53.51</v>
      </c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/>
      <c r="R14" s="286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/>
      <c r="BM14" s="260"/>
      <c r="BN14" s="260"/>
      <c r="BO14" s="260"/>
      <c r="BP14" s="260"/>
      <c r="BQ14" s="260"/>
      <c r="BR14" s="260"/>
      <c r="BS14" s="260"/>
      <c r="BT14" s="260"/>
      <c r="BU14" s="260"/>
      <c r="BV14" s="260"/>
      <c r="BW14" s="260"/>
      <c r="BX14" s="260"/>
      <c r="BY14" s="260"/>
      <c r="BZ14" s="260"/>
      <c r="CA14" s="260"/>
      <c r="CB14" s="260"/>
      <c r="CC14" s="260"/>
      <c r="CD14" s="260"/>
      <c r="CE14" s="260"/>
      <c r="CF14" s="260"/>
      <c r="CG14" s="260"/>
      <c r="CH14" s="260"/>
      <c r="CI14" s="260"/>
      <c r="CJ14" s="260"/>
      <c r="CK14" s="260"/>
      <c r="CL14" s="260"/>
      <c r="CM14" s="260"/>
      <c r="CN14" s="260"/>
      <c r="CO14" s="260"/>
      <c r="CP14" s="260"/>
      <c r="CQ14" s="260"/>
      <c r="CR14" s="260"/>
      <c r="CS14" s="260"/>
      <c r="CT14" s="260"/>
      <c r="CU14" s="260"/>
      <c r="CV14" s="260"/>
      <c r="CW14" s="260"/>
      <c r="CX14" s="260"/>
      <c r="CY14" s="260"/>
      <c r="CZ14" s="260"/>
      <c r="DA14" s="260"/>
      <c r="DB14" s="260"/>
      <c r="DC14" s="260"/>
      <c r="DD14" s="260"/>
      <c r="DE14" s="260"/>
      <c r="DF14" s="260"/>
      <c r="DG14" s="260"/>
      <c r="DH14" s="260"/>
      <c r="DI14" s="260"/>
      <c r="DJ14" s="260"/>
      <c r="DK14" s="260"/>
      <c r="DL14" s="260"/>
      <c r="DM14" s="260"/>
      <c r="DN14" s="260"/>
      <c r="DO14" s="260"/>
      <c r="DP14" s="260"/>
      <c r="DQ14" s="260"/>
      <c r="DR14" s="260"/>
      <c r="DS14" s="260"/>
      <c r="DT14" s="260"/>
      <c r="DU14" s="260"/>
      <c r="DV14" s="260"/>
      <c r="DW14" s="260"/>
      <c r="DX14" s="260"/>
      <c r="DY14" s="260"/>
      <c r="DZ14" s="260"/>
      <c r="EA14" s="260"/>
      <c r="EB14" s="260"/>
      <c r="EC14" s="260"/>
      <c r="ED14" s="260"/>
      <c r="EE14" s="260"/>
      <c r="EF14" s="260"/>
      <c r="EG14" s="260"/>
      <c r="EH14" s="260"/>
      <c r="EI14" s="260"/>
      <c r="EJ14" s="260"/>
      <c r="EK14" s="260"/>
      <c r="EL14" s="260"/>
      <c r="EM14" s="260"/>
      <c r="EN14" s="260"/>
      <c r="EO14" s="260"/>
      <c r="EP14" s="260"/>
      <c r="EQ14" s="260"/>
      <c r="ER14" s="260"/>
      <c r="ES14" s="260"/>
      <c r="ET14" s="260"/>
      <c r="EU14" s="260"/>
      <c r="EV14" s="260"/>
      <c r="EW14" s="260"/>
      <c r="EX14" s="260"/>
      <c r="EY14" s="260"/>
      <c r="EZ14" s="260"/>
      <c r="FA14" s="260"/>
      <c r="FB14" s="260"/>
      <c r="FC14" s="260"/>
      <c r="FD14" s="260"/>
      <c r="FE14" s="260"/>
      <c r="FF14" s="260"/>
      <c r="FG14" s="260"/>
      <c r="FH14" s="260"/>
      <c r="FI14" s="260"/>
      <c r="FJ14" s="260"/>
      <c r="FK14" s="260"/>
      <c r="FL14" s="260"/>
      <c r="FM14" s="260"/>
      <c r="FN14" s="260"/>
      <c r="FO14" s="260"/>
      <c r="FP14" s="260"/>
      <c r="FQ14" s="260"/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60"/>
      <c r="GI14" s="260"/>
      <c r="GJ14" s="260"/>
      <c r="GK14" s="260"/>
      <c r="GL14" s="260"/>
      <c r="GM14" s="260"/>
      <c r="GN14" s="260"/>
      <c r="GO14" s="260"/>
      <c r="GP14" s="260"/>
      <c r="GQ14" s="260"/>
      <c r="GR14" s="260"/>
      <c r="GS14" s="260"/>
      <c r="GT14" s="260"/>
      <c r="GU14" s="260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</row>
    <row r="15" spans="1:239" s="288" customFormat="1" ht="17.399999999999999" customHeight="1">
      <c r="A15" s="289" t="s">
        <v>284</v>
      </c>
      <c r="B15" s="290" t="s">
        <v>285</v>
      </c>
      <c r="C15" s="290" t="s">
        <v>2732</v>
      </c>
      <c r="D15" s="291" t="s">
        <v>286</v>
      </c>
      <c r="E15" s="291" t="s">
        <v>273</v>
      </c>
      <c r="F15" s="797">
        <f>SUM(G15:R15)</f>
        <v>2171.7599999999998</v>
      </c>
      <c r="G15" s="293">
        <v>111.74</v>
      </c>
      <c r="H15" s="293">
        <v>176.84</v>
      </c>
      <c r="I15" s="293">
        <v>221.05</v>
      </c>
      <c r="J15" s="293">
        <v>157.78</v>
      </c>
      <c r="K15" s="293">
        <v>172.73</v>
      </c>
      <c r="L15" s="293">
        <v>144.18</v>
      </c>
      <c r="M15" s="293">
        <v>203.04</v>
      </c>
      <c r="N15" s="293">
        <v>246.02</v>
      </c>
      <c r="O15" s="293">
        <v>168.46</v>
      </c>
      <c r="P15" s="293">
        <v>224.84</v>
      </c>
      <c r="Q15" s="294">
        <v>164.94</v>
      </c>
      <c r="R15" s="293">
        <v>180.14</v>
      </c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/>
      <c r="BM15" s="260"/>
      <c r="BN15" s="260"/>
      <c r="BO15" s="260"/>
      <c r="BP15" s="260"/>
      <c r="BQ15" s="260"/>
      <c r="BR15" s="260"/>
      <c r="BS15" s="260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0"/>
      <c r="CJ15" s="260"/>
      <c r="CK15" s="260"/>
      <c r="CL15" s="260"/>
      <c r="CM15" s="260"/>
      <c r="CN15" s="260"/>
      <c r="CO15" s="260"/>
      <c r="CP15" s="260"/>
      <c r="CQ15" s="260"/>
      <c r="CR15" s="260"/>
      <c r="CS15" s="260"/>
      <c r="CT15" s="260"/>
      <c r="CU15" s="260"/>
      <c r="CV15" s="260"/>
      <c r="CW15" s="260"/>
      <c r="CX15" s="260"/>
      <c r="CY15" s="260"/>
      <c r="CZ15" s="260"/>
      <c r="DA15" s="260"/>
      <c r="DB15" s="260"/>
      <c r="DC15" s="260"/>
      <c r="DD15" s="260"/>
      <c r="DE15" s="260"/>
      <c r="DF15" s="260"/>
      <c r="DG15" s="260"/>
      <c r="DH15" s="260"/>
      <c r="DI15" s="260"/>
      <c r="DJ15" s="260"/>
      <c r="DK15" s="260"/>
      <c r="DL15" s="260"/>
      <c r="DM15" s="260"/>
      <c r="DN15" s="260"/>
      <c r="DO15" s="260"/>
      <c r="DP15" s="260"/>
      <c r="DQ15" s="260"/>
      <c r="DR15" s="260"/>
      <c r="DS15" s="260"/>
      <c r="DT15" s="260"/>
      <c r="DU15" s="260"/>
      <c r="DV15" s="260"/>
      <c r="DW15" s="260"/>
      <c r="DX15" s="260"/>
      <c r="DY15" s="260"/>
      <c r="DZ15" s="260"/>
      <c r="EA15" s="260"/>
      <c r="EB15" s="260"/>
      <c r="EC15" s="260"/>
      <c r="ED15" s="260"/>
      <c r="EE15" s="260"/>
      <c r="EF15" s="260"/>
      <c r="EG15" s="260"/>
      <c r="EH15" s="260"/>
      <c r="EI15" s="260"/>
      <c r="EJ15" s="260"/>
      <c r="EK15" s="260"/>
      <c r="EL15" s="260"/>
      <c r="EM15" s="260"/>
      <c r="EN15" s="260"/>
      <c r="EO15" s="260"/>
      <c r="EP15" s="260"/>
      <c r="EQ15" s="260"/>
      <c r="ER15" s="260"/>
      <c r="ES15" s="260"/>
      <c r="ET15" s="260"/>
      <c r="EU15" s="260"/>
      <c r="EV15" s="260"/>
      <c r="EW15" s="260"/>
      <c r="EX15" s="260"/>
      <c r="EY15" s="260"/>
      <c r="EZ15" s="260"/>
      <c r="FA15" s="260"/>
      <c r="FB15" s="260"/>
      <c r="FC15" s="260"/>
      <c r="FD15" s="260"/>
      <c r="FE15" s="260"/>
      <c r="FF15" s="260"/>
      <c r="FG15" s="260"/>
      <c r="FH15" s="260"/>
      <c r="FI15" s="260"/>
      <c r="FJ15" s="260"/>
      <c r="FK15" s="260"/>
      <c r="FL15" s="260"/>
      <c r="FM15" s="260"/>
      <c r="FN15" s="260"/>
      <c r="FO15" s="260"/>
      <c r="FP15" s="260"/>
      <c r="FQ15" s="260"/>
      <c r="FR15" s="260"/>
      <c r="FS15" s="260"/>
      <c r="FT15" s="260"/>
      <c r="FU15" s="260"/>
      <c r="FV15" s="260"/>
      <c r="FW15" s="260"/>
      <c r="FX15" s="260"/>
      <c r="FY15" s="260"/>
      <c r="FZ15" s="260"/>
      <c r="GA15" s="260"/>
      <c r="GB15" s="260"/>
      <c r="GC15" s="260"/>
      <c r="GD15" s="260"/>
      <c r="GE15" s="260"/>
      <c r="GF15" s="260"/>
      <c r="GG15" s="260"/>
      <c r="GH15" s="260"/>
      <c r="GI15" s="260"/>
      <c r="GJ15" s="260"/>
      <c r="GK15" s="260"/>
      <c r="GL15" s="260"/>
      <c r="GM15" s="260"/>
      <c r="GN15" s="260"/>
      <c r="GO15" s="260"/>
      <c r="GP15" s="260"/>
      <c r="GQ15" s="260"/>
      <c r="GR15" s="260"/>
      <c r="GS15" s="260"/>
      <c r="GT15" s="260"/>
      <c r="GU15" s="260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</row>
    <row r="16" spans="1:239" s="288" customFormat="1" ht="17.399999999999999" customHeight="1">
      <c r="A16" s="289"/>
      <c r="B16" s="290"/>
      <c r="C16" s="290" t="s">
        <v>2733</v>
      </c>
      <c r="D16" s="291"/>
      <c r="E16" s="291"/>
      <c r="F16" s="797">
        <f>SUM(G16:R16)</f>
        <v>0</v>
      </c>
      <c r="G16" s="293">
        <v>0</v>
      </c>
      <c r="H16" s="293">
        <v>0</v>
      </c>
      <c r="I16" s="293">
        <v>0</v>
      </c>
      <c r="J16" s="293">
        <v>0</v>
      </c>
      <c r="K16" s="293">
        <v>0</v>
      </c>
      <c r="L16" s="293">
        <v>0</v>
      </c>
      <c r="M16" s="293">
        <v>0</v>
      </c>
      <c r="N16" s="293">
        <v>0</v>
      </c>
      <c r="O16" s="293">
        <v>0</v>
      </c>
      <c r="P16" s="293">
        <v>0</v>
      </c>
      <c r="Q16" s="294">
        <v>0</v>
      </c>
      <c r="R16" s="293">
        <v>0</v>
      </c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/>
      <c r="BM16" s="260"/>
      <c r="BN16" s="260"/>
      <c r="BO16" s="260"/>
      <c r="BP16" s="260"/>
      <c r="BQ16" s="260"/>
      <c r="BR16" s="260"/>
      <c r="BS16" s="260"/>
      <c r="BT16" s="260"/>
      <c r="BU16" s="260"/>
      <c r="BV16" s="260"/>
      <c r="BW16" s="260"/>
      <c r="BX16" s="260"/>
      <c r="BY16" s="260"/>
      <c r="BZ16" s="260"/>
      <c r="CA16" s="260"/>
      <c r="CB16" s="260"/>
      <c r="CC16" s="260"/>
      <c r="CD16" s="260"/>
      <c r="CE16" s="260"/>
      <c r="CF16" s="260"/>
      <c r="CG16" s="260"/>
      <c r="CH16" s="260"/>
      <c r="CI16" s="260"/>
      <c r="CJ16" s="260"/>
      <c r="CK16" s="260"/>
      <c r="CL16" s="260"/>
      <c r="CM16" s="260"/>
      <c r="CN16" s="260"/>
      <c r="CO16" s="260"/>
      <c r="CP16" s="260"/>
      <c r="CQ16" s="260"/>
      <c r="CR16" s="260"/>
      <c r="CS16" s="260"/>
      <c r="CT16" s="260"/>
      <c r="CU16" s="260"/>
      <c r="CV16" s="260"/>
      <c r="CW16" s="260"/>
      <c r="CX16" s="260"/>
      <c r="CY16" s="260"/>
      <c r="CZ16" s="260"/>
      <c r="DA16" s="260"/>
      <c r="DB16" s="260"/>
      <c r="DC16" s="260"/>
      <c r="DD16" s="260"/>
      <c r="DE16" s="260"/>
      <c r="DF16" s="260"/>
      <c r="DG16" s="260"/>
      <c r="DH16" s="260"/>
      <c r="DI16" s="260"/>
      <c r="DJ16" s="260"/>
      <c r="DK16" s="260"/>
      <c r="DL16" s="260"/>
      <c r="DM16" s="260"/>
      <c r="DN16" s="260"/>
      <c r="DO16" s="260"/>
      <c r="DP16" s="260"/>
      <c r="DQ16" s="260"/>
      <c r="DR16" s="260"/>
      <c r="DS16" s="260"/>
      <c r="DT16" s="260"/>
      <c r="DU16" s="260"/>
      <c r="DV16" s="260"/>
      <c r="DW16" s="260"/>
      <c r="DX16" s="260"/>
      <c r="DY16" s="260"/>
      <c r="DZ16" s="260"/>
      <c r="EA16" s="260"/>
      <c r="EB16" s="260"/>
      <c r="EC16" s="260"/>
      <c r="ED16" s="260"/>
      <c r="EE16" s="260"/>
      <c r="EF16" s="260"/>
      <c r="EG16" s="260"/>
      <c r="EH16" s="260"/>
      <c r="EI16" s="260"/>
      <c r="EJ16" s="260"/>
      <c r="EK16" s="260"/>
      <c r="EL16" s="260"/>
      <c r="EM16" s="260"/>
      <c r="EN16" s="260"/>
      <c r="EO16" s="260"/>
      <c r="EP16" s="260"/>
      <c r="EQ16" s="260"/>
      <c r="ER16" s="260"/>
      <c r="ES16" s="260"/>
      <c r="ET16" s="260"/>
      <c r="EU16" s="260"/>
      <c r="EV16" s="260"/>
      <c r="EW16" s="260"/>
      <c r="EX16" s="260"/>
      <c r="EY16" s="260"/>
      <c r="EZ16" s="260"/>
      <c r="FA16" s="260"/>
      <c r="FB16" s="260"/>
      <c r="FC16" s="260"/>
      <c r="FD16" s="260"/>
      <c r="FE16" s="260"/>
      <c r="FF16" s="260"/>
      <c r="FG16" s="260"/>
      <c r="FH16" s="260"/>
      <c r="FI16" s="260"/>
      <c r="FJ16" s="260"/>
      <c r="FK16" s="260"/>
      <c r="FL16" s="260"/>
      <c r="FM16" s="260"/>
      <c r="FN16" s="260"/>
      <c r="FO16" s="260"/>
      <c r="FP16" s="260"/>
      <c r="FQ16" s="260"/>
      <c r="FR16" s="260"/>
      <c r="FS16" s="260"/>
      <c r="FT16" s="260"/>
      <c r="FU16" s="260"/>
      <c r="FV16" s="260"/>
      <c r="FW16" s="260"/>
      <c r="FX16" s="260"/>
      <c r="FY16" s="260"/>
      <c r="FZ16" s="260"/>
      <c r="GA16" s="260"/>
      <c r="GB16" s="260"/>
      <c r="GC16" s="260"/>
      <c r="GD16" s="260"/>
      <c r="GE16" s="260"/>
      <c r="GF16" s="260"/>
      <c r="GG16" s="260"/>
      <c r="GH16" s="260"/>
      <c r="GI16" s="260"/>
      <c r="GJ16" s="260"/>
      <c r="GK16" s="260"/>
      <c r="GL16" s="260"/>
      <c r="GM16" s="260"/>
      <c r="GN16" s="260"/>
      <c r="GO16" s="260"/>
      <c r="GP16" s="260"/>
      <c r="GQ16" s="260"/>
      <c r="GR16" s="260"/>
      <c r="GS16" s="260"/>
      <c r="GT16" s="260"/>
      <c r="GU16" s="260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</row>
    <row r="17" spans="1:239" s="288" customFormat="1" ht="17.399999999999999" customHeight="1">
      <c r="A17" s="289" t="s">
        <v>287</v>
      </c>
      <c r="B17" s="290" t="s">
        <v>285</v>
      </c>
      <c r="C17" s="290" t="s">
        <v>2732</v>
      </c>
      <c r="D17" s="291" t="s">
        <v>286</v>
      </c>
      <c r="E17" s="291" t="s">
        <v>273</v>
      </c>
      <c r="F17" s="797">
        <f t="shared" ref="F17:F42" si="2">SUM(G17:R17)</f>
        <v>1716.3000000000002</v>
      </c>
      <c r="G17" s="293">
        <v>109.83</v>
      </c>
      <c r="H17" s="293">
        <v>177.24</v>
      </c>
      <c r="I17" s="293">
        <v>88.93</v>
      </c>
      <c r="J17" s="293">
        <v>149.6</v>
      </c>
      <c r="K17" s="293">
        <v>212.11</v>
      </c>
      <c r="L17" s="293">
        <v>0</v>
      </c>
      <c r="M17" s="293">
        <v>172.84</v>
      </c>
      <c r="N17" s="293">
        <v>175.95</v>
      </c>
      <c r="O17" s="293">
        <v>118.34</v>
      </c>
      <c r="P17" s="293">
        <v>170.37</v>
      </c>
      <c r="Q17" s="294">
        <v>161.41</v>
      </c>
      <c r="R17" s="293">
        <v>179.68</v>
      </c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0"/>
      <c r="FL17" s="260"/>
      <c r="FM17" s="260"/>
      <c r="FN17" s="260"/>
      <c r="FO17" s="260"/>
      <c r="FP17" s="260"/>
      <c r="FQ17" s="260"/>
      <c r="FR17" s="260"/>
      <c r="FS17" s="260"/>
      <c r="FT17" s="260"/>
      <c r="FU17" s="260"/>
      <c r="FV17" s="260"/>
      <c r="FW17" s="260"/>
      <c r="FX17" s="260"/>
      <c r="FY17" s="260"/>
      <c r="FZ17" s="260"/>
      <c r="GA17" s="260"/>
      <c r="GB17" s="260"/>
      <c r="GC17" s="260"/>
      <c r="GD17" s="260"/>
      <c r="GE17" s="260"/>
      <c r="GF17" s="260"/>
      <c r="GG17" s="260"/>
      <c r="GH17" s="260"/>
      <c r="GI17" s="260"/>
      <c r="GJ17" s="260"/>
      <c r="GK17" s="260"/>
      <c r="GL17" s="260"/>
      <c r="GM17" s="260"/>
      <c r="GN17" s="260"/>
      <c r="GO17" s="260"/>
      <c r="GP17" s="260"/>
      <c r="GQ17" s="260"/>
      <c r="GR17" s="260"/>
      <c r="GS17" s="260"/>
      <c r="GT17" s="260"/>
      <c r="GU17" s="260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</row>
    <row r="18" spans="1:239" s="288" customFormat="1" ht="17.399999999999999" customHeight="1">
      <c r="A18" s="289"/>
      <c r="B18" s="290"/>
      <c r="C18" s="290" t="s">
        <v>2733</v>
      </c>
      <c r="D18" s="291"/>
      <c r="E18" s="291"/>
      <c r="F18" s="797">
        <f t="shared" si="2"/>
        <v>0</v>
      </c>
      <c r="G18" s="293">
        <v>0</v>
      </c>
      <c r="H18" s="293">
        <v>0</v>
      </c>
      <c r="I18" s="293">
        <v>0</v>
      </c>
      <c r="J18" s="293">
        <v>0</v>
      </c>
      <c r="K18" s="293">
        <v>0</v>
      </c>
      <c r="L18" s="293">
        <v>0</v>
      </c>
      <c r="M18" s="293">
        <v>0</v>
      </c>
      <c r="N18" s="293">
        <v>0</v>
      </c>
      <c r="O18" s="293">
        <v>0</v>
      </c>
      <c r="P18" s="293">
        <v>0</v>
      </c>
      <c r="Q18" s="294">
        <v>0</v>
      </c>
      <c r="R18" s="293">
        <v>0</v>
      </c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  <c r="DC18" s="260"/>
      <c r="DD18" s="260"/>
      <c r="DE18" s="260"/>
      <c r="DF18" s="260"/>
      <c r="DG18" s="260"/>
      <c r="DH18" s="260"/>
      <c r="DI18" s="260"/>
      <c r="DJ18" s="260"/>
      <c r="DK18" s="260"/>
      <c r="DL18" s="260"/>
      <c r="DM18" s="260"/>
      <c r="DN18" s="260"/>
      <c r="DO18" s="260"/>
      <c r="DP18" s="260"/>
      <c r="DQ18" s="260"/>
      <c r="DR18" s="260"/>
      <c r="DS18" s="260"/>
      <c r="DT18" s="260"/>
      <c r="DU18" s="260"/>
      <c r="DV18" s="260"/>
      <c r="DW18" s="260"/>
      <c r="DX18" s="260"/>
      <c r="DY18" s="260"/>
      <c r="DZ18" s="260"/>
      <c r="EA18" s="260"/>
      <c r="EB18" s="260"/>
      <c r="EC18" s="260"/>
      <c r="ED18" s="260"/>
      <c r="EE18" s="260"/>
      <c r="EF18" s="260"/>
      <c r="EG18" s="260"/>
      <c r="EH18" s="260"/>
      <c r="EI18" s="260"/>
      <c r="EJ18" s="260"/>
      <c r="EK18" s="260"/>
      <c r="EL18" s="260"/>
      <c r="EM18" s="260"/>
      <c r="EN18" s="260"/>
      <c r="EO18" s="260"/>
      <c r="EP18" s="260"/>
      <c r="EQ18" s="260"/>
      <c r="ER18" s="260"/>
      <c r="ES18" s="260"/>
      <c r="ET18" s="260"/>
      <c r="EU18" s="260"/>
      <c r="EV18" s="260"/>
      <c r="EW18" s="260"/>
      <c r="EX18" s="260"/>
      <c r="EY18" s="260"/>
      <c r="EZ18" s="260"/>
      <c r="FA18" s="260"/>
      <c r="FB18" s="260"/>
      <c r="FC18" s="260"/>
      <c r="FD18" s="260"/>
      <c r="FE18" s="260"/>
      <c r="FF18" s="260"/>
      <c r="FG18" s="260"/>
      <c r="FH18" s="260"/>
      <c r="FI18" s="260"/>
      <c r="FJ18" s="260"/>
      <c r="FK18" s="260"/>
      <c r="FL18" s="260"/>
      <c r="FM18" s="260"/>
      <c r="FN18" s="260"/>
      <c r="FO18" s="260"/>
      <c r="FP18" s="260"/>
      <c r="FQ18" s="260"/>
      <c r="FR18" s="260"/>
      <c r="FS18" s="260"/>
      <c r="FT18" s="260"/>
      <c r="FU18" s="260"/>
      <c r="FV18" s="260"/>
      <c r="FW18" s="260"/>
      <c r="FX18" s="260"/>
      <c r="FY18" s="260"/>
      <c r="FZ18" s="260"/>
      <c r="GA18" s="260"/>
      <c r="GB18" s="260"/>
      <c r="GC18" s="260"/>
      <c r="GD18" s="260"/>
      <c r="GE18" s="260"/>
      <c r="GF18" s="260"/>
      <c r="GG18" s="260"/>
      <c r="GH18" s="260"/>
      <c r="GI18" s="260"/>
      <c r="GJ18" s="260"/>
      <c r="GK18" s="260"/>
      <c r="GL18" s="260"/>
      <c r="GM18" s="260"/>
      <c r="GN18" s="260"/>
      <c r="GO18" s="260"/>
      <c r="GP18" s="260"/>
      <c r="GQ18" s="260"/>
      <c r="GR18" s="260"/>
      <c r="GS18" s="260"/>
      <c r="GT18" s="260"/>
      <c r="GU18" s="260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</row>
    <row r="19" spans="1:239" s="288" customFormat="1" ht="17.399999999999999" customHeight="1">
      <c r="A19" s="289" t="s">
        <v>288</v>
      </c>
      <c r="B19" s="290" t="s">
        <v>285</v>
      </c>
      <c r="C19" s="290" t="s">
        <v>2732</v>
      </c>
      <c r="D19" s="291" t="s">
        <v>286</v>
      </c>
      <c r="E19" s="291" t="s">
        <v>273</v>
      </c>
      <c r="F19" s="797">
        <f t="shared" si="2"/>
        <v>1419.8899999999999</v>
      </c>
      <c r="G19" s="293">
        <v>164.74</v>
      </c>
      <c r="H19" s="293">
        <v>162.56</v>
      </c>
      <c r="I19" s="293">
        <v>102.89</v>
      </c>
      <c r="J19" s="293">
        <v>98.3</v>
      </c>
      <c r="K19" s="293">
        <v>152.31</v>
      </c>
      <c r="L19" s="293">
        <v>130.16</v>
      </c>
      <c r="M19" s="293">
        <v>189.03</v>
      </c>
      <c r="N19" s="293">
        <v>54.5</v>
      </c>
      <c r="O19" s="293">
        <v>109</v>
      </c>
      <c r="P19" s="293">
        <v>102.85</v>
      </c>
      <c r="Q19" s="294">
        <v>100.41</v>
      </c>
      <c r="R19" s="293">
        <v>53.14</v>
      </c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60"/>
      <c r="BH19" s="260"/>
      <c r="BI19" s="260"/>
      <c r="BJ19" s="260"/>
      <c r="BK19" s="260"/>
      <c r="BL19" s="260"/>
      <c r="BM19" s="260"/>
      <c r="BN19" s="260"/>
      <c r="BO19" s="260"/>
      <c r="BP19" s="260"/>
      <c r="BQ19" s="260"/>
      <c r="BR19" s="260"/>
      <c r="BS19" s="260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0"/>
      <c r="CJ19" s="260"/>
      <c r="CK19" s="260"/>
      <c r="CL19" s="260"/>
      <c r="CM19" s="260"/>
      <c r="CN19" s="260"/>
      <c r="CO19" s="260"/>
      <c r="CP19" s="260"/>
      <c r="CQ19" s="260"/>
      <c r="CR19" s="260"/>
      <c r="CS19" s="260"/>
      <c r="CT19" s="260"/>
      <c r="CU19" s="260"/>
      <c r="CV19" s="260"/>
      <c r="CW19" s="260"/>
      <c r="CX19" s="260"/>
      <c r="CY19" s="260"/>
      <c r="CZ19" s="260"/>
      <c r="DA19" s="260"/>
      <c r="DB19" s="260"/>
      <c r="DC19" s="260"/>
      <c r="DD19" s="260"/>
      <c r="DE19" s="260"/>
      <c r="DF19" s="260"/>
      <c r="DG19" s="260"/>
      <c r="DH19" s="260"/>
      <c r="DI19" s="260"/>
      <c r="DJ19" s="260"/>
      <c r="DK19" s="260"/>
      <c r="DL19" s="260"/>
      <c r="DM19" s="260"/>
      <c r="DN19" s="260"/>
      <c r="DO19" s="260"/>
      <c r="DP19" s="260"/>
      <c r="DQ19" s="260"/>
      <c r="DR19" s="260"/>
      <c r="DS19" s="260"/>
      <c r="DT19" s="260"/>
      <c r="DU19" s="260"/>
      <c r="DV19" s="260"/>
      <c r="DW19" s="260"/>
      <c r="DX19" s="260"/>
      <c r="DY19" s="260"/>
      <c r="DZ19" s="260"/>
      <c r="EA19" s="260"/>
      <c r="EB19" s="260"/>
      <c r="EC19" s="260"/>
      <c r="ED19" s="260"/>
      <c r="EE19" s="260"/>
      <c r="EF19" s="260"/>
      <c r="EG19" s="260"/>
      <c r="EH19" s="260"/>
      <c r="EI19" s="260"/>
      <c r="EJ19" s="260"/>
      <c r="EK19" s="260"/>
      <c r="EL19" s="260"/>
      <c r="EM19" s="260"/>
      <c r="EN19" s="260"/>
      <c r="EO19" s="260"/>
      <c r="EP19" s="260"/>
      <c r="EQ19" s="260"/>
      <c r="ER19" s="260"/>
      <c r="ES19" s="260"/>
      <c r="ET19" s="260"/>
      <c r="EU19" s="260"/>
      <c r="EV19" s="260"/>
      <c r="EW19" s="260"/>
      <c r="EX19" s="260"/>
      <c r="EY19" s="260"/>
      <c r="EZ19" s="260"/>
      <c r="FA19" s="260"/>
      <c r="FB19" s="260"/>
      <c r="FC19" s="260"/>
      <c r="FD19" s="260"/>
      <c r="FE19" s="260"/>
      <c r="FF19" s="260"/>
      <c r="FG19" s="260"/>
      <c r="FH19" s="260"/>
      <c r="FI19" s="260"/>
      <c r="FJ19" s="260"/>
      <c r="FK19" s="260"/>
      <c r="FL19" s="260"/>
      <c r="FM19" s="260"/>
      <c r="FN19" s="260"/>
      <c r="FO19" s="260"/>
      <c r="FP19" s="260"/>
      <c r="FQ19" s="260"/>
      <c r="FR19" s="260"/>
      <c r="FS19" s="260"/>
      <c r="FT19" s="260"/>
      <c r="FU19" s="260"/>
      <c r="FV19" s="260"/>
      <c r="FW19" s="260"/>
      <c r="FX19" s="260"/>
      <c r="FY19" s="260"/>
      <c r="FZ19" s="260"/>
      <c r="GA19" s="260"/>
      <c r="GB19" s="260"/>
      <c r="GC19" s="260"/>
      <c r="GD19" s="260"/>
      <c r="GE19" s="260"/>
      <c r="GF19" s="260"/>
      <c r="GG19" s="260"/>
      <c r="GH19" s="260"/>
      <c r="GI19" s="260"/>
      <c r="GJ19" s="260"/>
      <c r="GK19" s="260"/>
      <c r="GL19" s="260"/>
      <c r="GM19" s="260"/>
      <c r="GN19" s="260"/>
      <c r="GO19" s="260"/>
      <c r="GP19" s="260"/>
      <c r="GQ19" s="260"/>
      <c r="GR19" s="260"/>
      <c r="GS19" s="260"/>
      <c r="GT19" s="260"/>
      <c r="GU19" s="260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</row>
    <row r="20" spans="1:239" s="288" customFormat="1" ht="17.399999999999999" customHeight="1">
      <c r="A20" s="289"/>
      <c r="B20" s="290"/>
      <c r="C20" s="290" t="s">
        <v>2733</v>
      </c>
      <c r="D20" s="291"/>
      <c r="E20" s="291"/>
      <c r="F20" s="797">
        <f t="shared" si="2"/>
        <v>53.51</v>
      </c>
      <c r="G20" s="293">
        <v>53.51</v>
      </c>
      <c r="H20" s="293">
        <v>0</v>
      </c>
      <c r="I20" s="293">
        <v>0</v>
      </c>
      <c r="J20" s="293">
        <v>0</v>
      </c>
      <c r="K20" s="293">
        <v>0</v>
      </c>
      <c r="L20" s="293">
        <v>0</v>
      </c>
      <c r="M20" s="293">
        <v>0</v>
      </c>
      <c r="N20" s="293">
        <v>0</v>
      </c>
      <c r="O20" s="293">
        <v>0</v>
      </c>
      <c r="P20" s="293">
        <v>0</v>
      </c>
      <c r="Q20" s="294">
        <v>0</v>
      </c>
      <c r="R20" s="293">
        <v>0</v>
      </c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60"/>
      <c r="BH20" s="260"/>
      <c r="BI20" s="260"/>
      <c r="BJ20" s="260"/>
      <c r="BK20" s="260"/>
      <c r="BL20" s="260"/>
      <c r="BM20" s="260"/>
      <c r="BN20" s="260"/>
      <c r="BO20" s="260"/>
      <c r="BP20" s="260"/>
      <c r="BQ20" s="260"/>
      <c r="BR20" s="260"/>
      <c r="BS20" s="260"/>
      <c r="BT20" s="260"/>
      <c r="BU20" s="260"/>
      <c r="BV20" s="260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</row>
    <row r="21" spans="1:239" s="288" customFormat="1" ht="17.399999999999999" customHeight="1">
      <c r="A21" s="289" t="s">
        <v>289</v>
      </c>
      <c r="B21" s="290" t="s">
        <v>285</v>
      </c>
      <c r="C21" s="290" t="s">
        <v>2732</v>
      </c>
      <c r="D21" s="291" t="s">
        <v>286</v>
      </c>
      <c r="E21" s="291" t="s">
        <v>273</v>
      </c>
      <c r="F21" s="797">
        <f t="shared" si="2"/>
        <v>1635.9</v>
      </c>
      <c r="G21" s="293">
        <v>209.65</v>
      </c>
      <c r="H21" s="293">
        <v>147.35</v>
      </c>
      <c r="I21" s="293">
        <v>113.63</v>
      </c>
      <c r="J21" s="293">
        <v>116.43</v>
      </c>
      <c r="K21" s="293">
        <v>162.62</v>
      </c>
      <c r="L21" s="293">
        <v>179.29</v>
      </c>
      <c r="M21" s="293">
        <v>98.03</v>
      </c>
      <c r="N21" s="293">
        <v>62.28</v>
      </c>
      <c r="O21" s="293">
        <v>152.82</v>
      </c>
      <c r="P21" s="293">
        <v>119.89</v>
      </c>
      <c r="Q21" s="294">
        <v>154.68</v>
      </c>
      <c r="R21" s="293">
        <v>119.23</v>
      </c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60"/>
      <c r="BH21" s="260"/>
      <c r="BI21" s="260"/>
      <c r="BJ21" s="260"/>
      <c r="BK21" s="260"/>
      <c r="BL21" s="260"/>
      <c r="BM21" s="260"/>
      <c r="BN21" s="260"/>
      <c r="BO21" s="260"/>
      <c r="BP21" s="260"/>
      <c r="BQ21" s="260"/>
      <c r="BR21" s="260"/>
      <c r="BS21" s="260"/>
      <c r="BT21" s="260"/>
      <c r="BU21" s="260"/>
      <c r="BV21" s="260"/>
      <c r="BW21" s="260"/>
      <c r="BX21" s="260"/>
      <c r="BY21" s="260"/>
      <c r="BZ21" s="260"/>
      <c r="CA21" s="260"/>
      <c r="CB21" s="260"/>
      <c r="CC21" s="260"/>
      <c r="CD21" s="260"/>
      <c r="CE21" s="260"/>
      <c r="CF21" s="260"/>
      <c r="CG21" s="260"/>
      <c r="CH21" s="260"/>
      <c r="CI21" s="260"/>
      <c r="CJ21" s="260"/>
      <c r="CK21" s="260"/>
      <c r="CL21" s="260"/>
      <c r="CM21" s="260"/>
      <c r="CN21" s="260"/>
      <c r="CO21" s="260"/>
      <c r="CP21" s="260"/>
      <c r="CQ21" s="260"/>
      <c r="CR21" s="260"/>
      <c r="CS21" s="260"/>
      <c r="CT21" s="260"/>
      <c r="CU21" s="260"/>
      <c r="CV21" s="260"/>
      <c r="CW21" s="260"/>
      <c r="CX21" s="260"/>
      <c r="CY21" s="260"/>
      <c r="CZ21" s="260"/>
      <c r="DA21" s="260"/>
      <c r="DB21" s="260"/>
      <c r="DC21" s="260"/>
      <c r="DD21" s="260"/>
      <c r="DE21" s="260"/>
      <c r="DF21" s="260"/>
      <c r="DG21" s="260"/>
      <c r="DH21" s="260"/>
      <c r="DI21" s="260"/>
      <c r="DJ21" s="260"/>
      <c r="DK21" s="260"/>
      <c r="DL21" s="260"/>
      <c r="DM21" s="260"/>
      <c r="DN21" s="260"/>
      <c r="DO21" s="260"/>
      <c r="DP21" s="260"/>
      <c r="DQ21" s="260"/>
      <c r="DR21" s="260"/>
      <c r="DS21" s="260"/>
      <c r="DT21" s="260"/>
      <c r="DU21" s="260"/>
      <c r="DV21" s="260"/>
      <c r="DW21" s="260"/>
      <c r="DX21" s="260"/>
      <c r="DY21" s="260"/>
      <c r="DZ21" s="260"/>
      <c r="EA21" s="260"/>
      <c r="EB21" s="260"/>
      <c r="EC21" s="260"/>
      <c r="ED21" s="260"/>
      <c r="EE21" s="260"/>
      <c r="EF21" s="260"/>
      <c r="EG21" s="260"/>
      <c r="EH21" s="260"/>
      <c r="EI21" s="260"/>
      <c r="EJ21" s="260"/>
      <c r="EK21" s="260"/>
      <c r="EL21" s="260"/>
      <c r="EM21" s="260"/>
      <c r="EN21" s="260"/>
      <c r="EO21" s="260"/>
      <c r="EP21" s="260"/>
      <c r="EQ21" s="260"/>
      <c r="ER21" s="260"/>
      <c r="ES21" s="260"/>
      <c r="ET21" s="260"/>
      <c r="EU21" s="260"/>
      <c r="EV21" s="260"/>
      <c r="EW21" s="260"/>
      <c r="EX21" s="260"/>
      <c r="EY21" s="260"/>
      <c r="EZ21" s="260"/>
      <c r="FA21" s="260"/>
      <c r="FB21" s="260"/>
      <c r="FC21" s="260"/>
      <c r="FD21" s="260"/>
      <c r="FE21" s="260"/>
      <c r="FF21" s="260"/>
      <c r="FG21" s="260"/>
      <c r="FH21" s="260"/>
      <c r="FI21" s="260"/>
      <c r="FJ21" s="260"/>
      <c r="FK21" s="260"/>
      <c r="FL21" s="260"/>
      <c r="FM21" s="260"/>
      <c r="FN21" s="260"/>
      <c r="FO21" s="260"/>
      <c r="FP21" s="260"/>
      <c r="FQ21" s="260"/>
      <c r="FR21" s="260"/>
      <c r="FS21" s="260"/>
      <c r="FT21" s="260"/>
      <c r="FU21" s="260"/>
      <c r="FV21" s="260"/>
      <c r="FW21" s="260"/>
      <c r="FX21" s="260"/>
      <c r="FY21" s="260"/>
      <c r="FZ21" s="260"/>
      <c r="GA21" s="260"/>
      <c r="GB21" s="260"/>
      <c r="GC21" s="260"/>
      <c r="GD21" s="260"/>
      <c r="GE21" s="260"/>
      <c r="GF21" s="260"/>
      <c r="GG21" s="260"/>
      <c r="GH21" s="260"/>
      <c r="GI21" s="260"/>
      <c r="GJ21" s="260"/>
      <c r="GK21" s="260"/>
      <c r="GL21" s="260"/>
      <c r="GM21" s="260"/>
      <c r="GN21" s="260"/>
      <c r="GO21" s="260"/>
      <c r="GP21" s="260"/>
      <c r="GQ21" s="260"/>
      <c r="GR21" s="260"/>
      <c r="GS21" s="260"/>
      <c r="GT21" s="260"/>
      <c r="GU21" s="260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</row>
    <row r="22" spans="1:239" s="288" customFormat="1" ht="17.399999999999999" customHeight="1">
      <c r="A22" s="289"/>
      <c r="B22" s="290"/>
      <c r="C22" s="290" t="s">
        <v>2733</v>
      </c>
      <c r="D22" s="291"/>
      <c r="E22" s="291"/>
      <c r="F22" s="797">
        <f t="shared" si="2"/>
        <v>0</v>
      </c>
      <c r="G22" s="293">
        <v>0</v>
      </c>
      <c r="H22" s="293">
        <v>0</v>
      </c>
      <c r="I22" s="293">
        <v>0</v>
      </c>
      <c r="J22" s="293">
        <v>0</v>
      </c>
      <c r="K22" s="293">
        <v>0</v>
      </c>
      <c r="L22" s="293">
        <v>0</v>
      </c>
      <c r="M22" s="293">
        <v>0</v>
      </c>
      <c r="N22" s="293">
        <v>0</v>
      </c>
      <c r="O22" s="293">
        <v>0</v>
      </c>
      <c r="P22" s="293">
        <v>0</v>
      </c>
      <c r="Q22" s="294">
        <v>0</v>
      </c>
      <c r="R22" s="293">
        <v>0</v>
      </c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60"/>
      <c r="BH22" s="260"/>
      <c r="BI22" s="260"/>
      <c r="BJ22" s="260"/>
      <c r="BK22" s="260"/>
      <c r="BL22" s="260"/>
      <c r="BM22" s="260"/>
      <c r="BN22" s="260"/>
      <c r="BO22" s="260"/>
      <c r="BP22" s="260"/>
      <c r="BQ22" s="260"/>
      <c r="BR22" s="260"/>
      <c r="BS22" s="260"/>
      <c r="BT22" s="260"/>
      <c r="BU22" s="260"/>
      <c r="BV22" s="260"/>
      <c r="BW22" s="260"/>
      <c r="BX22" s="260"/>
      <c r="BY22" s="260"/>
      <c r="BZ22" s="260"/>
      <c r="CA22" s="260"/>
      <c r="CB22" s="260"/>
      <c r="CC22" s="260"/>
      <c r="CD22" s="260"/>
      <c r="CE22" s="260"/>
      <c r="CF22" s="260"/>
      <c r="CG22" s="260"/>
      <c r="CH22" s="260"/>
      <c r="CI22" s="260"/>
      <c r="CJ22" s="260"/>
      <c r="CK22" s="260"/>
      <c r="CL22" s="260"/>
      <c r="CM22" s="260"/>
      <c r="CN22" s="260"/>
      <c r="CO22" s="260"/>
      <c r="CP22" s="260"/>
      <c r="CQ22" s="260"/>
      <c r="CR22" s="260"/>
      <c r="CS22" s="260"/>
      <c r="CT22" s="260"/>
      <c r="CU22" s="260"/>
      <c r="CV22" s="260"/>
      <c r="CW22" s="260"/>
      <c r="CX22" s="260"/>
      <c r="CY22" s="260"/>
      <c r="CZ22" s="260"/>
      <c r="DA22" s="260"/>
      <c r="DB22" s="260"/>
      <c r="DC22" s="260"/>
      <c r="DD22" s="260"/>
      <c r="DE22" s="260"/>
      <c r="DF22" s="260"/>
      <c r="DG22" s="260"/>
      <c r="DH22" s="260"/>
      <c r="DI22" s="260"/>
      <c r="DJ22" s="260"/>
      <c r="DK22" s="260"/>
      <c r="DL22" s="260"/>
      <c r="DM22" s="260"/>
      <c r="DN22" s="260"/>
      <c r="DO22" s="260"/>
      <c r="DP22" s="260"/>
      <c r="DQ22" s="260"/>
      <c r="DR22" s="260"/>
      <c r="DS22" s="260"/>
      <c r="DT22" s="260"/>
      <c r="DU22" s="260"/>
      <c r="DV22" s="260"/>
      <c r="DW22" s="260"/>
      <c r="DX22" s="260"/>
      <c r="DY22" s="260"/>
      <c r="DZ22" s="260"/>
      <c r="EA22" s="260"/>
      <c r="EB22" s="260"/>
      <c r="EC22" s="260"/>
      <c r="ED22" s="260"/>
      <c r="EE22" s="260"/>
      <c r="EF22" s="260"/>
      <c r="EG22" s="260"/>
      <c r="EH22" s="260"/>
      <c r="EI22" s="260"/>
      <c r="EJ22" s="260"/>
      <c r="EK22" s="260"/>
      <c r="EL22" s="260"/>
      <c r="EM22" s="260"/>
      <c r="EN22" s="260"/>
      <c r="EO22" s="260"/>
      <c r="EP22" s="260"/>
      <c r="EQ22" s="260"/>
      <c r="ER22" s="260"/>
      <c r="ES22" s="260"/>
      <c r="ET22" s="260"/>
      <c r="EU22" s="260"/>
      <c r="EV22" s="260"/>
      <c r="EW22" s="260"/>
      <c r="EX22" s="260"/>
      <c r="EY22" s="260"/>
      <c r="EZ22" s="260"/>
      <c r="FA22" s="260"/>
      <c r="FB22" s="260"/>
      <c r="FC22" s="260"/>
      <c r="FD22" s="260"/>
      <c r="FE22" s="260"/>
      <c r="FF22" s="260"/>
      <c r="FG22" s="260"/>
      <c r="FH22" s="260"/>
      <c r="FI22" s="260"/>
      <c r="FJ22" s="260"/>
      <c r="FK22" s="260"/>
      <c r="FL22" s="260"/>
      <c r="FM22" s="260"/>
      <c r="FN22" s="260"/>
      <c r="FO22" s="260"/>
      <c r="FP22" s="260"/>
      <c r="FQ22" s="260"/>
      <c r="FR22" s="260"/>
      <c r="FS22" s="260"/>
      <c r="FT22" s="260"/>
      <c r="FU22" s="260"/>
      <c r="FV22" s="260"/>
      <c r="FW22" s="260"/>
      <c r="FX22" s="260"/>
      <c r="FY22" s="260"/>
      <c r="FZ22" s="260"/>
      <c r="GA22" s="260"/>
      <c r="GB22" s="260"/>
      <c r="GC22" s="260"/>
      <c r="GD22" s="260"/>
      <c r="GE22" s="260"/>
      <c r="GF22" s="260"/>
      <c r="GG22" s="260"/>
      <c r="GH22" s="260"/>
      <c r="GI22" s="260"/>
      <c r="GJ22" s="260"/>
      <c r="GK22" s="260"/>
      <c r="GL22" s="260"/>
      <c r="GM22" s="260"/>
      <c r="GN22" s="260"/>
      <c r="GO22" s="260"/>
      <c r="GP22" s="260"/>
      <c r="GQ22" s="260"/>
      <c r="GR22" s="260"/>
      <c r="GS22" s="260"/>
      <c r="GT22" s="260"/>
      <c r="GU22" s="260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</row>
    <row r="23" spans="1:239" s="288" customFormat="1" ht="17.399999999999999" customHeight="1">
      <c r="A23" s="289" t="s">
        <v>290</v>
      </c>
      <c r="B23" s="290" t="s">
        <v>285</v>
      </c>
      <c r="C23" s="290" t="s">
        <v>2732</v>
      </c>
      <c r="D23" s="291" t="s">
        <v>286</v>
      </c>
      <c r="E23" s="291" t="s">
        <v>273</v>
      </c>
      <c r="F23" s="797">
        <f t="shared" si="2"/>
        <v>483.57</v>
      </c>
      <c r="G23" s="293">
        <v>74.87</v>
      </c>
      <c r="H23" s="293">
        <v>105.05</v>
      </c>
      <c r="I23" s="293">
        <v>0</v>
      </c>
      <c r="J23" s="293">
        <v>0</v>
      </c>
      <c r="K23" s="293">
        <v>56.38</v>
      </c>
      <c r="L23" s="293">
        <v>0</v>
      </c>
      <c r="M23" s="293">
        <v>117.09</v>
      </c>
      <c r="N23" s="293">
        <v>0</v>
      </c>
      <c r="O23" s="293">
        <v>70.069999999999993</v>
      </c>
      <c r="P23" s="293">
        <v>60.11</v>
      </c>
      <c r="Q23" s="294">
        <v>0</v>
      </c>
      <c r="R23" s="293">
        <v>0</v>
      </c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60"/>
      <c r="BH23" s="260"/>
      <c r="BI23" s="260"/>
      <c r="BJ23" s="260"/>
      <c r="BK23" s="260"/>
      <c r="BL23" s="260"/>
      <c r="BM23" s="260"/>
      <c r="BN23" s="260"/>
      <c r="BO23" s="260"/>
      <c r="BP23" s="260"/>
      <c r="BQ23" s="260"/>
      <c r="BR23" s="260"/>
      <c r="BS23" s="260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0"/>
      <c r="CJ23" s="260"/>
      <c r="CK23" s="260"/>
      <c r="CL23" s="260"/>
      <c r="CM23" s="260"/>
      <c r="CN23" s="260"/>
      <c r="CO23" s="260"/>
      <c r="CP23" s="260"/>
      <c r="CQ23" s="260"/>
      <c r="CR23" s="260"/>
      <c r="CS23" s="260"/>
      <c r="CT23" s="260"/>
      <c r="CU23" s="260"/>
      <c r="CV23" s="260"/>
      <c r="CW23" s="260"/>
      <c r="CX23" s="260"/>
      <c r="CY23" s="260"/>
      <c r="CZ23" s="260"/>
      <c r="DA23" s="260"/>
      <c r="DB23" s="260"/>
      <c r="DC23" s="260"/>
      <c r="DD23" s="260"/>
      <c r="DE23" s="260"/>
      <c r="DF23" s="260"/>
      <c r="DG23" s="260"/>
      <c r="DH23" s="260"/>
      <c r="DI23" s="260"/>
      <c r="DJ23" s="260"/>
      <c r="DK23" s="260"/>
      <c r="DL23" s="260"/>
      <c r="DM23" s="260"/>
      <c r="DN23" s="260"/>
      <c r="DO23" s="260"/>
      <c r="DP23" s="260"/>
      <c r="DQ23" s="260"/>
      <c r="DR23" s="260"/>
      <c r="DS23" s="260"/>
      <c r="DT23" s="260"/>
      <c r="DU23" s="260"/>
      <c r="DV23" s="260"/>
      <c r="DW23" s="260"/>
      <c r="DX23" s="260"/>
      <c r="DY23" s="260"/>
      <c r="DZ23" s="260"/>
      <c r="EA23" s="260"/>
      <c r="EB23" s="260"/>
      <c r="EC23" s="260"/>
      <c r="ED23" s="260"/>
      <c r="EE23" s="260"/>
      <c r="EF23" s="260"/>
      <c r="EG23" s="260"/>
      <c r="EH23" s="260"/>
      <c r="EI23" s="260"/>
      <c r="EJ23" s="260"/>
      <c r="EK23" s="260"/>
      <c r="EL23" s="260"/>
      <c r="EM23" s="260"/>
      <c r="EN23" s="260"/>
      <c r="EO23" s="260"/>
      <c r="EP23" s="260"/>
      <c r="EQ23" s="260"/>
      <c r="ER23" s="260"/>
      <c r="ES23" s="260"/>
      <c r="ET23" s="260"/>
      <c r="EU23" s="260"/>
      <c r="EV23" s="260"/>
      <c r="EW23" s="260"/>
      <c r="EX23" s="260"/>
      <c r="EY23" s="260"/>
      <c r="EZ23" s="260"/>
      <c r="FA23" s="260"/>
      <c r="FB23" s="260"/>
      <c r="FC23" s="260"/>
      <c r="FD23" s="260"/>
      <c r="FE23" s="260"/>
      <c r="FF23" s="260"/>
      <c r="FG23" s="260"/>
      <c r="FH23" s="260"/>
      <c r="FI23" s="260"/>
      <c r="FJ23" s="260"/>
      <c r="FK23" s="260"/>
      <c r="FL23" s="260"/>
      <c r="FM23" s="260"/>
      <c r="FN23" s="260"/>
      <c r="FO23" s="260"/>
      <c r="FP23" s="260"/>
      <c r="FQ23" s="260"/>
      <c r="FR23" s="260"/>
      <c r="FS23" s="260"/>
      <c r="FT23" s="260"/>
      <c r="FU23" s="260"/>
      <c r="FV23" s="260"/>
      <c r="FW23" s="260"/>
      <c r="FX23" s="260"/>
      <c r="FY23" s="260"/>
      <c r="FZ23" s="260"/>
      <c r="GA23" s="260"/>
      <c r="GB23" s="260"/>
      <c r="GC23" s="260"/>
      <c r="GD23" s="260"/>
      <c r="GE23" s="260"/>
      <c r="GF23" s="260"/>
      <c r="GG23" s="260"/>
      <c r="GH23" s="260"/>
      <c r="GI23" s="260"/>
      <c r="GJ23" s="260"/>
      <c r="GK23" s="260"/>
      <c r="GL23" s="260"/>
      <c r="GM23" s="260"/>
      <c r="GN23" s="260"/>
      <c r="GO23" s="260"/>
      <c r="GP23" s="260"/>
      <c r="GQ23" s="260"/>
      <c r="GR23" s="260"/>
      <c r="GS23" s="260"/>
      <c r="GT23" s="260"/>
      <c r="GU23" s="260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</row>
    <row r="24" spans="1:239" s="288" customFormat="1" ht="17.399999999999999" customHeight="1">
      <c r="A24" s="289"/>
      <c r="B24" s="290"/>
      <c r="C24" s="290" t="s">
        <v>2733</v>
      </c>
      <c r="D24" s="291"/>
      <c r="E24" s="291"/>
      <c r="F24" s="797">
        <f t="shared" si="2"/>
        <v>0</v>
      </c>
      <c r="G24" s="293">
        <v>0</v>
      </c>
      <c r="H24" s="293">
        <v>0</v>
      </c>
      <c r="I24" s="293">
        <v>0</v>
      </c>
      <c r="J24" s="293"/>
      <c r="K24" s="293">
        <v>0</v>
      </c>
      <c r="L24" s="293"/>
      <c r="M24" s="293">
        <v>0</v>
      </c>
      <c r="N24" s="293">
        <v>0</v>
      </c>
      <c r="O24" s="293">
        <v>0</v>
      </c>
      <c r="P24" s="293"/>
      <c r="Q24" s="294"/>
      <c r="R24" s="293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60"/>
      <c r="BH24" s="260"/>
      <c r="BI24" s="260"/>
      <c r="BJ24" s="260"/>
      <c r="BK24" s="260"/>
      <c r="BL24" s="260"/>
      <c r="BM24" s="260"/>
      <c r="BN24" s="260"/>
      <c r="BO24" s="260"/>
      <c r="BP24" s="260"/>
      <c r="BQ24" s="260"/>
      <c r="BR24" s="260"/>
      <c r="BS24" s="260"/>
      <c r="BT24" s="260"/>
      <c r="BU24" s="260"/>
      <c r="BV24" s="260"/>
      <c r="BW24" s="260"/>
      <c r="BX24" s="260"/>
      <c r="BY24" s="260"/>
      <c r="BZ24" s="260"/>
      <c r="CA24" s="260"/>
      <c r="CB24" s="260"/>
      <c r="CC24" s="260"/>
      <c r="CD24" s="260"/>
      <c r="CE24" s="260"/>
      <c r="CF24" s="260"/>
      <c r="CG24" s="260"/>
      <c r="CH24" s="260"/>
      <c r="CI24" s="260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60"/>
      <c r="CU24" s="260"/>
      <c r="CV24" s="260"/>
      <c r="CW24" s="260"/>
      <c r="CX24" s="260"/>
      <c r="CY24" s="260"/>
      <c r="CZ24" s="260"/>
      <c r="DA24" s="260"/>
      <c r="DB24" s="260"/>
      <c r="DC24" s="260"/>
      <c r="DD24" s="260"/>
      <c r="DE24" s="260"/>
      <c r="DF24" s="260"/>
      <c r="DG24" s="260"/>
      <c r="DH24" s="260"/>
      <c r="DI24" s="260"/>
      <c r="DJ24" s="260"/>
      <c r="DK24" s="260"/>
      <c r="DL24" s="260"/>
      <c r="DM24" s="260"/>
      <c r="DN24" s="260"/>
      <c r="DO24" s="260"/>
      <c r="DP24" s="260"/>
      <c r="DQ24" s="260"/>
      <c r="DR24" s="260"/>
      <c r="DS24" s="260"/>
      <c r="DT24" s="260"/>
      <c r="DU24" s="260"/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  <c r="EO24" s="260"/>
      <c r="EP24" s="260"/>
      <c r="EQ24" s="260"/>
      <c r="ER24" s="260"/>
      <c r="ES24" s="260"/>
      <c r="ET24" s="260"/>
      <c r="EU24" s="260"/>
      <c r="EV24" s="260"/>
      <c r="EW24" s="260"/>
      <c r="EX24" s="260"/>
      <c r="EY24" s="260"/>
      <c r="EZ24" s="260"/>
      <c r="FA24" s="260"/>
      <c r="FB24" s="260"/>
      <c r="FC24" s="260"/>
      <c r="FD24" s="260"/>
      <c r="FE24" s="260"/>
      <c r="FF24" s="260"/>
      <c r="FG24" s="260"/>
      <c r="FH24" s="260"/>
      <c r="FI24" s="260"/>
      <c r="FJ24" s="260"/>
      <c r="FK24" s="260"/>
      <c r="FL24" s="260"/>
      <c r="FM24" s="260"/>
      <c r="FN24" s="260"/>
      <c r="FO24" s="260"/>
      <c r="FP24" s="260"/>
      <c r="FQ24" s="260"/>
      <c r="FR24" s="260"/>
      <c r="FS24" s="260"/>
      <c r="FT24" s="260"/>
      <c r="FU24" s="260"/>
      <c r="FV24" s="260"/>
      <c r="FW24" s="260"/>
      <c r="FX24" s="260"/>
      <c r="FY24" s="260"/>
      <c r="FZ24" s="260"/>
      <c r="GA24" s="260"/>
      <c r="GB24" s="260"/>
      <c r="GC24" s="260"/>
      <c r="GD24" s="260"/>
      <c r="GE24" s="260"/>
      <c r="GF24" s="260"/>
      <c r="GG24" s="260"/>
      <c r="GH24" s="260"/>
      <c r="GI24" s="260"/>
      <c r="GJ24" s="260"/>
      <c r="GK24" s="260"/>
      <c r="GL24" s="260"/>
      <c r="GM24" s="260"/>
      <c r="GN24" s="260"/>
      <c r="GO24" s="260"/>
      <c r="GP24" s="260"/>
      <c r="GQ24" s="260"/>
      <c r="GR24" s="260"/>
      <c r="GS24" s="260"/>
      <c r="GT24" s="260"/>
      <c r="GU24" s="260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</row>
    <row r="25" spans="1:239" s="288" customFormat="1" ht="17.399999999999999" customHeight="1">
      <c r="A25" s="289" t="s">
        <v>291</v>
      </c>
      <c r="B25" s="290" t="s">
        <v>292</v>
      </c>
      <c r="C25" s="290" t="s">
        <v>2732</v>
      </c>
      <c r="D25" s="291" t="s">
        <v>286</v>
      </c>
      <c r="E25" s="291" t="s">
        <v>273</v>
      </c>
      <c r="F25" s="797">
        <f t="shared" si="2"/>
        <v>607.20999999999992</v>
      </c>
      <c r="G25" s="293">
        <v>213.49</v>
      </c>
      <c r="H25" s="293">
        <v>171.42</v>
      </c>
      <c r="I25" s="293">
        <v>171.51</v>
      </c>
      <c r="J25" s="293">
        <v>50.79</v>
      </c>
      <c r="K25" s="293">
        <v>0</v>
      </c>
      <c r="L25" s="293">
        <v>0</v>
      </c>
      <c r="M25" s="293">
        <v>0</v>
      </c>
      <c r="N25" s="293">
        <v>0</v>
      </c>
      <c r="O25" s="293">
        <v>0</v>
      </c>
      <c r="P25" s="293">
        <v>0</v>
      </c>
      <c r="Q25" s="294">
        <v>0</v>
      </c>
      <c r="R25" s="293">
        <v>0</v>
      </c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60"/>
      <c r="BH25" s="260"/>
      <c r="BI25" s="260"/>
      <c r="BJ25" s="260"/>
      <c r="BK25" s="260"/>
      <c r="BL25" s="260"/>
      <c r="BM25" s="260"/>
      <c r="BN25" s="260"/>
      <c r="BO25" s="260"/>
      <c r="BP25" s="260"/>
      <c r="BQ25" s="260"/>
      <c r="BR25" s="260"/>
      <c r="BS25" s="260"/>
      <c r="BT25" s="260"/>
      <c r="BU25" s="260"/>
      <c r="BV25" s="260"/>
      <c r="BW25" s="260"/>
      <c r="BX25" s="260"/>
      <c r="BY25" s="260"/>
      <c r="BZ25" s="260"/>
      <c r="CA25" s="260"/>
      <c r="CB25" s="260"/>
      <c r="CC25" s="260"/>
      <c r="CD25" s="260"/>
      <c r="CE25" s="260"/>
      <c r="CF25" s="260"/>
      <c r="CG25" s="260"/>
      <c r="CH25" s="260"/>
      <c r="CI25" s="260"/>
      <c r="CJ25" s="260"/>
      <c r="CK25" s="260"/>
      <c r="CL25" s="260"/>
      <c r="CM25" s="260"/>
      <c r="CN25" s="260"/>
      <c r="CO25" s="260"/>
      <c r="CP25" s="260"/>
      <c r="CQ25" s="260"/>
      <c r="CR25" s="260"/>
      <c r="CS25" s="260"/>
      <c r="CT25" s="260"/>
      <c r="CU25" s="260"/>
      <c r="CV25" s="260"/>
      <c r="CW25" s="260"/>
      <c r="CX25" s="260"/>
      <c r="CY25" s="260"/>
      <c r="CZ25" s="260"/>
      <c r="DA25" s="260"/>
      <c r="DB25" s="260"/>
      <c r="DC25" s="260"/>
      <c r="DD25" s="260"/>
      <c r="DE25" s="260"/>
      <c r="DF25" s="260"/>
      <c r="DG25" s="260"/>
      <c r="DH25" s="260"/>
      <c r="DI25" s="260"/>
      <c r="DJ25" s="260"/>
      <c r="DK25" s="260"/>
      <c r="DL25" s="260"/>
      <c r="DM25" s="260"/>
      <c r="DN25" s="260"/>
      <c r="DO25" s="260"/>
      <c r="DP25" s="260"/>
      <c r="DQ25" s="260"/>
      <c r="DR25" s="260"/>
      <c r="DS25" s="260"/>
      <c r="DT25" s="260"/>
      <c r="DU25" s="260"/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  <c r="EO25" s="260"/>
      <c r="EP25" s="260"/>
      <c r="EQ25" s="260"/>
      <c r="ER25" s="260"/>
      <c r="ES25" s="260"/>
      <c r="ET25" s="260"/>
      <c r="EU25" s="260"/>
      <c r="EV25" s="260"/>
      <c r="EW25" s="260"/>
      <c r="EX25" s="260"/>
      <c r="EY25" s="260"/>
      <c r="EZ25" s="260"/>
      <c r="FA25" s="260"/>
      <c r="FB25" s="260"/>
      <c r="FC25" s="260"/>
      <c r="FD25" s="260"/>
      <c r="FE25" s="260"/>
      <c r="FF25" s="260"/>
      <c r="FG25" s="260"/>
      <c r="FH25" s="260"/>
      <c r="FI25" s="260"/>
      <c r="FJ25" s="260"/>
      <c r="FK25" s="260"/>
      <c r="FL25" s="260"/>
      <c r="FM25" s="260"/>
      <c r="FN25" s="260"/>
      <c r="FO25" s="260"/>
      <c r="FP25" s="260"/>
      <c r="FQ25" s="260"/>
      <c r="FR25" s="260"/>
      <c r="FS25" s="260"/>
      <c r="FT25" s="260"/>
      <c r="FU25" s="260"/>
      <c r="FV25" s="260"/>
      <c r="FW25" s="260"/>
      <c r="FX25" s="260"/>
      <c r="FY25" s="260"/>
      <c r="FZ25" s="260"/>
      <c r="GA25" s="260"/>
      <c r="GB25" s="260"/>
      <c r="GC25" s="260"/>
      <c r="GD25" s="260"/>
      <c r="GE25" s="260"/>
      <c r="GF25" s="260"/>
      <c r="GG25" s="260"/>
      <c r="GH25" s="260"/>
      <c r="GI25" s="260"/>
      <c r="GJ25" s="260"/>
      <c r="GK25" s="260"/>
      <c r="GL25" s="260"/>
      <c r="GM25" s="260"/>
      <c r="GN25" s="260"/>
      <c r="GO25" s="260"/>
      <c r="GP25" s="260"/>
      <c r="GQ25" s="260"/>
      <c r="GR25" s="260"/>
      <c r="GS25" s="260"/>
      <c r="GT25" s="260"/>
      <c r="GU25" s="260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</row>
    <row r="26" spans="1:239" s="288" customFormat="1" ht="17.399999999999999" customHeight="1">
      <c r="A26" s="289"/>
      <c r="B26" s="290"/>
      <c r="C26" s="290" t="s">
        <v>2733</v>
      </c>
      <c r="D26" s="291"/>
      <c r="E26" s="291"/>
      <c r="F26" s="797">
        <f t="shared" si="2"/>
        <v>0</v>
      </c>
      <c r="G26" s="293">
        <v>0</v>
      </c>
      <c r="H26" s="293">
        <v>0</v>
      </c>
      <c r="I26" s="293">
        <v>0</v>
      </c>
      <c r="J26" s="293">
        <v>0</v>
      </c>
      <c r="K26" s="293">
        <v>0</v>
      </c>
      <c r="L26" s="293">
        <v>0</v>
      </c>
      <c r="M26" s="293">
        <v>0</v>
      </c>
      <c r="N26" s="293">
        <v>0</v>
      </c>
      <c r="O26" s="293">
        <v>0</v>
      </c>
      <c r="P26" s="293">
        <v>0</v>
      </c>
      <c r="Q26" s="294">
        <v>0</v>
      </c>
      <c r="R26" s="293">
        <v>0</v>
      </c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0"/>
      <c r="BN26" s="260"/>
      <c r="BO26" s="260"/>
      <c r="BP26" s="260"/>
      <c r="BQ26" s="260"/>
      <c r="BR26" s="260"/>
      <c r="BS26" s="260"/>
      <c r="BT26" s="260"/>
      <c r="BU26" s="260"/>
      <c r="BV26" s="260"/>
      <c r="BW26" s="260"/>
      <c r="BX26" s="260"/>
      <c r="BY26" s="260"/>
      <c r="BZ26" s="260"/>
      <c r="CA26" s="260"/>
      <c r="CB26" s="260"/>
      <c r="CC26" s="260"/>
      <c r="CD26" s="260"/>
      <c r="CE26" s="260"/>
      <c r="CF26" s="260"/>
      <c r="CG26" s="260"/>
      <c r="CH26" s="260"/>
      <c r="CI26" s="260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60"/>
      <c r="CU26" s="260"/>
      <c r="CV26" s="260"/>
      <c r="CW26" s="260"/>
      <c r="CX26" s="260"/>
      <c r="CY26" s="260"/>
      <c r="CZ26" s="260"/>
      <c r="DA26" s="260"/>
      <c r="DB26" s="260"/>
      <c r="DC26" s="260"/>
      <c r="DD26" s="260"/>
      <c r="DE26" s="260"/>
      <c r="DF26" s="260"/>
      <c r="DG26" s="260"/>
      <c r="DH26" s="260"/>
      <c r="DI26" s="260"/>
      <c r="DJ26" s="260"/>
      <c r="DK26" s="260"/>
      <c r="DL26" s="260"/>
      <c r="DM26" s="260"/>
      <c r="DN26" s="260"/>
      <c r="DO26" s="260"/>
      <c r="DP26" s="260"/>
      <c r="DQ26" s="260"/>
      <c r="DR26" s="260"/>
      <c r="DS26" s="260"/>
      <c r="DT26" s="260"/>
      <c r="DU26" s="260"/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  <c r="EO26" s="260"/>
      <c r="EP26" s="260"/>
      <c r="EQ26" s="260"/>
      <c r="ER26" s="260"/>
      <c r="ES26" s="260"/>
      <c r="ET26" s="260"/>
      <c r="EU26" s="260"/>
      <c r="EV26" s="260"/>
      <c r="EW26" s="260"/>
      <c r="EX26" s="260"/>
      <c r="EY26" s="260"/>
      <c r="EZ26" s="260"/>
      <c r="FA26" s="260"/>
      <c r="FB26" s="260"/>
      <c r="FC26" s="260"/>
      <c r="FD26" s="260"/>
      <c r="FE26" s="260"/>
      <c r="FF26" s="260"/>
      <c r="FG26" s="260"/>
      <c r="FH26" s="260"/>
      <c r="FI26" s="260"/>
      <c r="FJ26" s="260"/>
      <c r="FK26" s="260"/>
      <c r="FL26" s="260"/>
      <c r="FM26" s="260"/>
      <c r="FN26" s="260"/>
      <c r="FO26" s="260"/>
      <c r="FP26" s="260"/>
      <c r="FQ26" s="260"/>
      <c r="FR26" s="260"/>
      <c r="FS26" s="260"/>
      <c r="FT26" s="260"/>
      <c r="FU26" s="260"/>
      <c r="FV26" s="260"/>
      <c r="FW26" s="260"/>
      <c r="FX26" s="260"/>
      <c r="FY26" s="260"/>
      <c r="FZ26" s="260"/>
      <c r="GA26" s="260"/>
      <c r="GB26" s="260"/>
      <c r="GC26" s="260"/>
      <c r="GD26" s="260"/>
      <c r="GE26" s="260"/>
      <c r="GF26" s="260"/>
      <c r="GG26" s="260"/>
      <c r="GH26" s="260"/>
      <c r="GI26" s="260"/>
      <c r="GJ26" s="260"/>
      <c r="GK26" s="260"/>
      <c r="GL26" s="260"/>
      <c r="GM26" s="260"/>
      <c r="GN26" s="260"/>
      <c r="GO26" s="260"/>
      <c r="GP26" s="260"/>
      <c r="GQ26" s="260"/>
      <c r="GR26" s="260"/>
      <c r="GS26" s="260"/>
      <c r="GT26" s="260"/>
      <c r="GU26" s="260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</row>
    <row r="27" spans="1:239" s="288" customFormat="1" ht="17.399999999999999" customHeight="1">
      <c r="A27" s="289" t="s">
        <v>293</v>
      </c>
      <c r="B27" s="290" t="s">
        <v>292</v>
      </c>
      <c r="C27" s="290" t="s">
        <v>2732</v>
      </c>
      <c r="D27" s="291" t="s">
        <v>286</v>
      </c>
      <c r="E27" s="291" t="s">
        <v>273</v>
      </c>
      <c r="F27" s="797">
        <f t="shared" si="2"/>
        <v>3494.65</v>
      </c>
      <c r="G27" s="293">
        <v>184.72</v>
      </c>
      <c r="H27" s="293">
        <v>280.02</v>
      </c>
      <c r="I27" s="293">
        <v>273.3</v>
      </c>
      <c r="J27" s="293">
        <v>255.84</v>
      </c>
      <c r="K27" s="293">
        <v>326.99</v>
      </c>
      <c r="L27" s="293">
        <v>283.77999999999997</v>
      </c>
      <c r="M27" s="293">
        <v>278.05</v>
      </c>
      <c r="N27" s="293">
        <v>340.84</v>
      </c>
      <c r="O27" s="293">
        <v>341.34</v>
      </c>
      <c r="P27" s="293">
        <v>284.67</v>
      </c>
      <c r="Q27" s="294">
        <v>316.99</v>
      </c>
      <c r="R27" s="293">
        <v>328.11</v>
      </c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60"/>
      <c r="BH27" s="260"/>
      <c r="BI27" s="260"/>
      <c r="BJ27" s="260"/>
      <c r="BK27" s="260"/>
      <c r="BL27" s="260"/>
      <c r="BM27" s="260"/>
      <c r="BN27" s="260"/>
      <c r="BO27" s="260"/>
      <c r="BP27" s="260"/>
      <c r="BQ27" s="260"/>
      <c r="BR27" s="260"/>
      <c r="BS27" s="260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0"/>
      <c r="CJ27" s="260"/>
      <c r="CK27" s="260"/>
      <c r="CL27" s="260"/>
      <c r="CM27" s="260"/>
      <c r="CN27" s="260"/>
      <c r="CO27" s="260"/>
      <c r="CP27" s="260"/>
      <c r="CQ27" s="260"/>
      <c r="CR27" s="260"/>
      <c r="CS27" s="260"/>
      <c r="CT27" s="260"/>
      <c r="CU27" s="260"/>
      <c r="CV27" s="260"/>
      <c r="CW27" s="260"/>
      <c r="CX27" s="260"/>
      <c r="CY27" s="260"/>
      <c r="CZ27" s="260"/>
      <c r="DA27" s="260"/>
      <c r="DB27" s="260"/>
      <c r="DC27" s="260"/>
      <c r="DD27" s="260"/>
      <c r="DE27" s="260"/>
      <c r="DF27" s="260"/>
      <c r="DG27" s="260"/>
      <c r="DH27" s="260"/>
      <c r="DI27" s="260"/>
      <c r="DJ27" s="260"/>
      <c r="DK27" s="260"/>
      <c r="DL27" s="260"/>
      <c r="DM27" s="260"/>
      <c r="DN27" s="260"/>
      <c r="DO27" s="260"/>
      <c r="DP27" s="260"/>
      <c r="DQ27" s="260"/>
      <c r="DR27" s="260"/>
      <c r="DS27" s="260"/>
      <c r="DT27" s="260"/>
      <c r="DU27" s="260"/>
      <c r="DV27" s="260"/>
      <c r="DW27" s="260"/>
      <c r="DX27" s="260"/>
      <c r="DY27" s="260"/>
      <c r="DZ27" s="260"/>
      <c r="EA27" s="260"/>
      <c r="EB27" s="260"/>
      <c r="EC27" s="260"/>
      <c r="ED27" s="260"/>
      <c r="EE27" s="260"/>
      <c r="EF27" s="260"/>
      <c r="EG27" s="260"/>
      <c r="EH27" s="260"/>
      <c r="EI27" s="260"/>
      <c r="EJ27" s="260"/>
      <c r="EK27" s="260"/>
      <c r="EL27" s="260"/>
      <c r="EM27" s="260"/>
      <c r="EN27" s="260"/>
      <c r="EO27" s="260"/>
      <c r="EP27" s="260"/>
      <c r="EQ27" s="260"/>
      <c r="ER27" s="260"/>
      <c r="ES27" s="260"/>
      <c r="ET27" s="260"/>
      <c r="EU27" s="260"/>
      <c r="EV27" s="260"/>
      <c r="EW27" s="260"/>
      <c r="EX27" s="260"/>
      <c r="EY27" s="260"/>
      <c r="EZ27" s="260"/>
      <c r="FA27" s="260"/>
      <c r="FB27" s="260"/>
      <c r="FC27" s="260"/>
      <c r="FD27" s="260"/>
      <c r="FE27" s="260"/>
      <c r="FF27" s="260"/>
      <c r="FG27" s="260"/>
      <c r="FH27" s="260"/>
      <c r="FI27" s="260"/>
      <c r="FJ27" s="260"/>
      <c r="FK27" s="260"/>
      <c r="FL27" s="260"/>
      <c r="FM27" s="260"/>
      <c r="FN27" s="260"/>
      <c r="FO27" s="260"/>
      <c r="FP27" s="260"/>
      <c r="FQ27" s="260"/>
      <c r="FR27" s="260"/>
      <c r="FS27" s="260"/>
      <c r="FT27" s="260"/>
      <c r="FU27" s="260"/>
      <c r="FV27" s="260"/>
      <c r="FW27" s="260"/>
      <c r="FX27" s="260"/>
      <c r="FY27" s="260"/>
      <c r="FZ27" s="260"/>
      <c r="GA27" s="260"/>
      <c r="GB27" s="260"/>
      <c r="GC27" s="260"/>
      <c r="GD27" s="260"/>
      <c r="GE27" s="260"/>
      <c r="GF27" s="260"/>
      <c r="GG27" s="260"/>
      <c r="GH27" s="260"/>
      <c r="GI27" s="260"/>
      <c r="GJ27" s="260"/>
      <c r="GK27" s="260"/>
      <c r="GL27" s="260"/>
      <c r="GM27" s="260"/>
      <c r="GN27" s="260"/>
      <c r="GO27" s="260"/>
      <c r="GP27" s="260"/>
      <c r="GQ27" s="260"/>
      <c r="GR27" s="260"/>
      <c r="GS27" s="260"/>
      <c r="GT27" s="260"/>
      <c r="GU27" s="260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</row>
    <row r="28" spans="1:239" s="288" customFormat="1" ht="17.399999999999999" customHeight="1">
      <c r="A28" s="289"/>
      <c r="B28" s="290"/>
      <c r="C28" s="290" t="s">
        <v>2733</v>
      </c>
      <c r="D28" s="291"/>
      <c r="E28" s="291"/>
      <c r="F28" s="797">
        <f t="shared" si="2"/>
        <v>0</v>
      </c>
      <c r="G28" s="293">
        <v>0</v>
      </c>
      <c r="H28" s="293">
        <v>0</v>
      </c>
      <c r="I28" s="293">
        <v>0</v>
      </c>
      <c r="J28" s="293">
        <v>0</v>
      </c>
      <c r="K28" s="293">
        <v>0</v>
      </c>
      <c r="L28" s="293">
        <v>0</v>
      </c>
      <c r="M28" s="293">
        <v>0</v>
      </c>
      <c r="N28" s="293">
        <v>0</v>
      </c>
      <c r="O28" s="293">
        <v>0</v>
      </c>
      <c r="P28" s="293">
        <v>0</v>
      </c>
      <c r="Q28" s="294">
        <v>0</v>
      </c>
      <c r="R28" s="293">
        <v>0</v>
      </c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60"/>
      <c r="BH28" s="260"/>
      <c r="BI28" s="260"/>
      <c r="BJ28" s="260"/>
      <c r="BK28" s="260"/>
      <c r="BL28" s="260"/>
      <c r="BM28" s="260"/>
      <c r="BN28" s="260"/>
      <c r="BO28" s="260"/>
      <c r="BP28" s="260"/>
      <c r="BQ28" s="260"/>
      <c r="BR28" s="260"/>
      <c r="BS28" s="260"/>
      <c r="BT28" s="260"/>
      <c r="BU28" s="260"/>
      <c r="BV28" s="260"/>
      <c r="BW28" s="260"/>
      <c r="BX28" s="260"/>
      <c r="BY28" s="260"/>
      <c r="BZ28" s="260"/>
      <c r="CA28" s="260"/>
      <c r="CB28" s="260"/>
      <c r="CC28" s="260"/>
      <c r="CD28" s="260"/>
      <c r="CE28" s="260"/>
      <c r="CF28" s="260"/>
      <c r="CG28" s="260"/>
      <c r="CH28" s="260"/>
      <c r="CI28" s="260"/>
      <c r="CJ28" s="260"/>
      <c r="CK28" s="260"/>
      <c r="CL28" s="260"/>
      <c r="CM28" s="260"/>
      <c r="CN28" s="260"/>
      <c r="CO28" s="260"/>
      <c r="CP28" s="260"/>
      <c r="CQ28" s="260"/>
      <c r="CR28" s="260"/>
      <c r="CS28" s="260"/>
      <c r="CT28" s="260"/>
      <c r="CU28" s="260"/>
      <c r="CV28" s="260"/>
      <c r="CW28" s="260"/>
      <c r="CX28" s="260"/>
      <c r="CY28" s="260"/>
      <c r="CZ28" s="260"/>
      <c r="DA28" s="260"/>
      <c r="DB28" s="260"/>
      <c r="DC28" s="260"/>
      <c r="DD28" s="260"/>
      <c r="DE28" s="260"/>
      <c r="DF28" s="260"/>
      <c r="DG28" s="260"/>
      <c r="DH28" s="260"/>
      <c r="DI28" s="260"/>
      <c r="DJ28" s="260"/>
      <c r="DK28" s="260"/>
      <c r="DL28" s="260"/>
      <c r="DM28" s="260"/>
      <c r="DN28" s="260"/>
      <c r="DO28" s="260"/>
      <c r="DP28" s="260"/>
      <c r="DQ28" s="260"/>
      <c r="DR28" s="260"/>
      <c r="DS28" s="260"/>
      <c r="DT28" s="260"/>
      <c r="DU28" s="260"/>
      <c r="DV28" s="260"/>
      <c r="DW28" s="260"/>
      <c r="DX28" s="260"/>
      <c r="DY28" s="260"/>
      <c r="DZ28" s="260"/>
      <c r="EA28" s="260"/>
      <c r="EB28" s="260"/>
      <c r="EC28" s="260"/>
      <c r="ED28" s="260"/>
      <c r="EE28" s="260"/>
      <c r="EF28" s="260"/>
      <c r="EG28" s="260"/>
      <c r="EH28" s="260"/>
      <c r="EI28" s="260"/>
      <c r="EJ28" s="260"/>
      <c r="EK28" s="260"/>
      <c r="EL28" s="260"/>
      <c r="EM28" s="260"/>
      <c r="EN28" s="260"/>
      <c r="EO28" s="260"/>
      <c r="EP28" s="260"/>
      <c r="EQ28" s="260"/>
      <c r="ER28" s="260"/>
      <c r="ES28" s="260"/>
      <c r="ET28" s="260"/>
      <c r="EU28" s="260"/>
      <c r="EV28" s="260"/>
      <c r="EW28" s="260"/>
      <c r="EX28" s="260"/>
      <c r="EY28" s="260"/>
      <c r="EZ28" s="260"/>
      <c r="FA28" s="260"/>
      <c r="FB28" s="260"/>
      <c r="FC28" s="260"/>
      <c r="FD28" s="260"/>
      <c r="FE28" s="260"/>
      <c r="FF28" s="260"/>
      <c r="FG28" s="260"/>
      <c r="FH28" s="260"/>
      <c r="FI28" s="260"/>
      <c r="FJ28" s="260"/>
      <c r="FK28" s="260"/>
      <c r="FL28" s="260"/>
      <c r="FM28" s="260"/>
      <c r="FN28" s="260"/>
      <c r="FO28" s="260"/>
      <c r="FP28" s="260"/>
      <c r="FQ28" s="260"/>
      <c r="FR28" s="260"/>
      <c r="FS28" s="260"/>
      <c r="FT28" s="260"/>
      <c r="FU28" s="260"/>
      <c r="FV28" s="260"/>
      <c r="FW28" s="260"/>
      <c r="FX28" s="260"/>
      <c r="FY28" s="260"/>
      <c r="FZ28" s="260"/>
      <c r="GA28" s="260"/>
      <c r="GB28" s="260"/>
      <c r="GC28" s="260"/>
      <c r="GD28" s="260"/>
      <c r="GE28" s="260"/>
      <c r="GF28" s="260"/>
      <c r="GG28" s="260"/>
      <c r="GH28" s="260"/>
      <c r="GI28" s="260"/>
      <c r="GJ28" s="260"/>
      <c r="GK28" s="260"/>
      <c r="GL28" s="260"/>
      <c r="GM28" s="260"/>
      <c r="GN28" s="260"/>
      <c r="GO28" s="260"/>
      <c r="GP28" s="260"/>
      <c r="GQ28" s="260"/>
      <c r="GR28" s="260"/>
      <c r="GS28" s="260"/>
      <c r="GT28" s="260"/>
      <c r="GU28" s="260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</row>
    <row r="29" spans="1:239" s="288" customFormat="1" ht="17.399999999999999" customHeight="1">
      <c r="A29" s="289" t="s">
        <v>294</v>
      </c>
      <c r="B29" s="290" t="s">
        <v>292</v>
      </c>
      <c r="C29" s="290" t="s">
        <v>2732</v>
      </c>
      <c r="D29" s="291" t="s">
        <v>286</v>
      </c>
      <c r="E29" s="291" t="s">
        <v>273</v>
      </c>
      <c r="F29" s="797">
        <f t="shared" si="2"/>
        <v>966.97</v>
      </c>
      <c r="G29" s="293">
        <v>45.8</v>
      </c>
      <c r="H29" s="293">
        <v>181.72</v>
      </c>
      <c r="I29" s="293">
        <v>129.13999999999999</v>
      </c>
      <c r="J29" s="293">
        <v>116.09</v>
      </c>
      <c r="K29" s="293">
        <v>162.25</v>
      </c>
      <c r="L29" s="293">
        <v>177.25</v>
      </c>
      <c r="M29" s="293">
        <v>41.05</v>
      </c>
      <c r="N29" s="293">
        <v>57.59</v>
      </c>
      <c r="O29" s="293">
        <v>0</v>
      </c>
      <c r="P29" s="293">
        <v>56.08</v>
      </c>
      <c r="Q29" s="294">
        <v>0</v>
      </c>
      <c r="R29" s="293">
        <v>0</v>
      </c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60"/>
      <c r="BH29" s="260"/>
      <c r="BI29" s="260"/>
      <c r="BJ29" s="260"/>
      <c r="BK29" s="260"/>
      <c r="BL29" s="260"/>
      <c r="BM29" s="260"/>
      <c r="BN29" s="260"/>
      <c r="BO29" s="260"/>
      <c r="BP29" s="260"/>
      <c r="BQ29" s="260"/>
      <c r="BR29" s="260"/>
      <c r="BS29" s="260"/>
      <c r="BT29" s="260"/>
      <c r="BU29" s="260"/>
      <c r="BV29" s="260"/>
      <c r="BW29" s="260"/>
      <c r="BX29" s="260"/>
      <c r="BY29" s="260"/>
      <c r="BZ29" s="260"/>
      <c r="CA29" s="260"/>
      <c r="CB29" s="260"/>
      <c r="CC29" s="260"/>
      <c r="CD29" s="260"/>
      <c r="CE29" s="260"/>
      <c r="CF29" s="260"/>
      <c r="CG29" s="260"/>
      <c r="CH29" s="260"/>
      <c r="CI29" s="260"/>
      <c r="CJ29" s="260"/>
      <c r="CK29" s="260"/>
      <c r="CL29" s="260"/>
      <c r="CM29" s="260"/>
      <c r="CN29" s="260"/>
      <c r="CO29" s="260"/>
      <c r="CP29" s="260"/>
      <c r="CQ29" s="260"/>
      <c r="CR29" s="260"/>
      <c r="CS29" s="260"/>
      <c r="CT29" s="260"/>
      <c r="CU29" s="260"/>
      <c r="CV29" s="260"/>
      <c r="CW29" s="260"/>
      <c r="CX29" s="260"/>
      <c r="CY29" s="260"/>
      <c r="CZ29" s="260"/>
      <c r="DA29" s="260"/>
      <c r="DB29" s="260"/>
      <c r="DC29" s="260"/>
      <c r="DD29" s="260"/>
      <c r="DE29" s="260"/>
      <c r="DF29" s="260"/>
      <c r="DG29" s="260"/>
      <c r="DH29" s="260"/>
      <c r="DI29" s="260"/>
      <c r="DJ29" s="260"/>
      <c r="DK29" s="260"/>
      <c r="DL29" s="260"/>
      <c r="DM29" s="260"/>
      <c r="DN29" s="260"/>
      <c r="DO29" s="260"/>
      <c r="DP29" s="260"/>
      <c r="DQ29" s="260"/>
      <c r="DR29" s="260"/>
      <c r="DS29" s="260"/>
      <c r="DT29" s="260"/>
      <c r="DU29" s="260"/>
      <c r="DV29" s="260"/>
      <c r="DW29" s="260"/>
      <c r="DX29" s="260"/>
      <c r="DY29" s="260"/>
      <c r="DZ29" s="260"/>
      <c r="EA29" s="260"/>
      <c r="EB29" s="260"/>
      <c r="EC29" s="260"/>
      <c r="ED29" s="260"/>
      <c r="EE29" s="260"/>
      <c r="EF29" s="260"/>
      <c r="EG29" s="260"/>
      <c r="EH29" s="260"/>
      <c r="EI29" s="260"/>
      <c r="EJ29" s="260"/>
      <c r="EK29" s="260"/>
      <c r="EL29" s="260"/>
      <c r="EM29" s="260"/>
      <c r="EN29" s="260"/>
      <c r="EO29" s="260"/>
      <c r="EP29" s="260"/>
      <c r="EQ29" s="260"/>
      <c r="ER29" s="260"/>
      <c r="ES29" s="260"/>
      <c r="ET29" s="260"/>
      <c r="EU29" s="260"/>
      <c r="EV29" s="260"/>
      <c r="EW29" s="260"/>
      <c r="EX29" s="260"/>
      <c r="EY29" s="260"/>
      <c r="EZ29" s="260"/>
      <c r="FA29" s="260"/>
      <c r="FB29" s="260"/>
      <c r="FC29" s="260"/>
      <c r="FD29" s="260"/>
      <c r="FE29" s="260"/>
      <c r="FF29" s="260"/>
      <c r="FG29" s="260"/>
      <c r="FH29" s="260"/>
      <c r="FI29" s="260"/>
      <c r="FJ29" s="260"/>
      <c r="FK29" s="260"/>
      <c r="FL29" s="260"/>
      <c r="FM29" s="260"/>
      <c r="FN29" s="260"/>
      <c r="FO29" s="260"/>
      <c r="FP29" s="260"/>
      <c r="FQ29" s="260"/>
      <c r="FR29" s="260"/>
      <c r="FS29" s="260"/>
      <c r="FT29" s="260"/>
      <c r="FU29" s="260"/>
      <c r="FV29" s="260"/>
      <c r="FW29" s="260"/>
      <c r="FX29" s="260"/>
      <c r="FY29" s="260"/>
      <c r="FZ29" s="260"/>
      <c r="GA29" s="260"/>
      <c r="GB29" s="260"/>
      <c r="GC29" s="260"/>
      <c r="GD29" s="260"/>
      <c r="GE29" s="260"/>
      <c r="GF29" s="260"/>
      <c r="GG29" s="260"/>
      <c r="GH29" s="260"/>
      <c r="GI29" s="260"/>
      <c r="GJ29" s="260"/>
      <c r="GK29" s="260"/>
      <c r="GL29" s="260"/>
      <c r="GM29" s="260"/>
      <c r="GN29" s="260"/>
      <c r="GO29" s="260"/>
      <c r="GP29" s="260"/>
      <c r="GQ29" s="260"/>
      <c r="GR29" s="260"/>
      <c r="GS29" s="260"/>
      <c r="GT29" s="260"/>
      <c r="GU29" s="260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</row>
    <row r="30" spans="1:239" s="288" customFormat="1" ht="17.399999999999999" customHeight="1">
      <c r="A30" s="289"/>
      <c r="B30" s="290"/>
      <c r="C30" s="290" t="s">
        <v>2733</v>
      </c>
      <c r="D30" s="291"/>
      <c r="E30" s="291"/>
      <c r="F30" s="797">
        <f t="shared" si="2"/>
        <v>0</v>
      </c>
      <c r="G30" s="293">
        <v>0</v>
      </c>
      <c r="H30" s="293">
        <v>0</v>
      </c>
      <c r="I30" s="293">
        <v>0</v>
      </c>
      <c r="J30" s="293">
        <v>0</v>
      </c>
      <c r="K30" s="293">
        <v>0</v>
      </c>
      <c r="L30" s="293">
        <v>0</v>
      </c>
      <c r="M30" s="293">
        <v>0</v>
      </c>
      <c r="N30" s="293">
        <v>0</v>
      </c>
      <c r="O30" s="293">
        <v>0</v>
      </c>
      <c r="P30" s="293">
        <v>0</v>
      </c>
      <c r="Q30" s="294">
        <v>0</v>
      </c>
      <c r="R30" s="293">
        <v>0</v>
      </c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260"/>
      <c r="BV30" s="260"/>
      <c r="BW30" s="260"/>
      <c r="BX30" s="260"/>
      <c r="BY30" s="260"/>
      <c r="BZ30" s="260"/>
      <c r="CA30" s="260"/>
      <c r="CB30" s="260"/>
      <c r="CC30" s="260"/>
      <c r="CD30" s="260"/>
      <c r="CE30" s="260"/>
      <c r="CF30" s="260"/>
      <c r="CG30" s="260"/>
      <c r="CH30" s="260"/>
      <c r="CI30" s="260"/>
      <c r="CJ30" s="260"/>
      <c r="CK30" s="260"/>
      <c r="CL30" s="260"/>
      <c r="CM30" s="260"/>
      <c r="CN30" s="260"/>
      <c r="CO30" s="260"/>
      <c r="CP30" s="260"/>
      <c r="CQ30" s="260"/>
      <c r="CR30" s="260"/>
      <c r="CS30" s="260"/>
      <c r="CT30" s="260"/>
      <c r="CU30" s="260"/>
      <c r="CV30" s="260"/>
      <c r="CW30" s="260"/>
      <c r="CX30" s="260"/>
      <c r="CY30" s="260"/>
      <c r="CZ30" s="260"/>
      <c r="DA30" s="260"/>
      <c r="DB30" s="260"/>
      <c r="DC30" s="260"/>
      <c r="DD30" s="260"/>
      <c r="DE30" s="260"/>
      <c r="DF30" s="260"/>
      <c r="DG30" s="260"/>
      <c r="DH30" s="260"/>
      <c r="DI30" s="260"/>
      <c r="DJ30" s="260"/>
      <c r="DK30" s="260"/>
      <c r="DL30" s="260"/>
      <c r="DM30" s="260"/>
      <c r="DN30" s="260"/>
      <c r="DO30" s="260"/>
      <c r="DP30" s="260"/>
      <c r="DQ30" s="260"/>
      <c r="DR30" s="260"/>
      <c r="DS30" s="260"/>
      <c r="DT30" s="260"/>
      <c r="DU30" s="260"/>
      <c r="DV30" s="260"/>
      <c r="DW30" s="260"/>
      <c r="DX30" s="260"/>
      <c r="DY30" s="260"/>
      <c r="DZ30" s="260"/>
      <c r="EA30" s="260"/>
      <c r="EB30" s="260"/>
      <c r="EC30" s="260"/>
      <c r="ED30" s="260"/>
      <c r="EE30" s="260"/>
      <c r="EF30" s="260"/>
      <c r="EG30" s="260"/>
      <c r="EH30" s="260"/>
      <c r="EI30" s="260"/>
      <c r="EJ30" s="260"/>
      <c r="EK30" s="260"/>
      <c r="EL30" s="260"/>
      <c r="EM30" s="260"/>
      <c r="EN30" s="260"/>
      <c r="EO30" s="260"/>
      <c r="EP30" s="260"/>
      <c r="EQ30" s="260"/>
      <c r="ER30" s="260"/>
      <c r="ES30" s="260"/>
      <c r="ET30" s="260"/>
      <c r="EU30" s="260"/>
      <c r="EV30" s="260"/>
      <c r="EW30" s="260"/>
      <c r="EX30" s="260"/>
      <c r="EY30" s="260"/>
      <c r="EZ30" s="260"/>
      <c r="FA30" s="260"/>
      <c r="FB30" s="260"/>
      <c r="FC30" s="260"/>
      <c r="FD30" s="260"/>
      <c r="FE30" s="260"/>
      <c r="FF30" s="260"/>
      <c r="FG30" s="260"/>
      <c r="FH30" s="260"/>
      <c r="FI30" s="260"/>
      <c r="FJ30" s="260"/>
      <c r="FK30" s="260"/>
      <c r="FL30" s="260"/>
      <c r="FM30" s="260"/>
      <c r="FN30" s="260"/>
      <c r="FO30" s="260"/>
      <c r="FP30" s="260"/>
      <c r="FQ30" s="260"/>
      <c r="FR30" s="260"/>
      <c r="FS30" s="260"/>
      <c r="FT30" s="260"/>
      <c r="FU30" s="260"/>
      <c r="FV30" s="260"/>
      <c r="FW30" s="260"/>
      <c r="FX30" s="260"/>
      <c r="FY30" s="260"/>
      <c r="FZ30" s="260"/>
      <c r="GA30" s="260"/>
      <c r="GB30" s="260"/>
      <c r="GC30" s="260"/>
      <c r="GD30" s="260"/>
      <c r="GE30" s="260"/>
      <c r="GF30" s="260"/>
      <c r="GG30" s="260"/>
      <c r="GH30" s="260"/>
      <c r="GI30" s="260"/>
      <c r="GJ30" s="260"/>
      <c r="GK30" s="260"/>
      <c r="GL30" s="260"/>
      <c r="GM30" s="260"/>
      <c r="GN30" s="260"/>
      <c r="GO30" s="260"/>
      <c r="GP30" s="260"/>
      <c r="GQ30" s="260"/>
      <c r="GR30" s="260"/>
      <c r="GS30" s="260"/>
      <c r="GT30" s="260"/>
      <c r="GU30" s="260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</row>
    <row r="31" spans="1:239" s="288" customFormat="1" ht="17.399999999999999" customHeight="1">
      <c r="A31" s="289" t="s">
        <v>295</v>
      </c>
      <c r="B31" s="290" t="s">
        <v>292</v>
      </c>
      <c r="C31" s="290" t="s">
        <v>2732</v>
      </c>
      <c r="D31" s="291" t="s">
        <v>286</v>
      </c>
      <c r="E31" s="291" t="s">
        <v>273</v>
      </c>
      <c r="F31" s="797">
        <f t="shared" si="2"/>
        <v>94.27</v>
      </c>
      <c r="G31" s="293">
        <v>0</v>
      </c>
      <c r="H31" s="293">
        <v>42.91</v>
      </c>
      <c r="I31" s="293">
        <v>51.36</v>
      </c>
      <c r="J31" s="293">
        <v>0</v>
      </c>
      <c r="K31" s="293">
        <v>0</v>
      </c>
      <c r="L31" s="293">
        <v>0</v>
      </c>
      <c r="M31" s="293">
        <v>0</v>
      </c>
      <c r="N31" s="293">
        <v>0</v>
      </c>
      <c r="O31" s="293">
        <v>0</v>
      </c>
      <c r="P31" s="293">
        <v>0</v>
      </c>
      <c r="Q31" s="294">
        <v>0</v>
      </c>
      <c r="R31" s="293">
        <v>0</v>
      </c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60"/>
      <c r="BH31" s="260"/>
      <c r="BI31" s="260"/>
      <c r="BJ31" s="260"/>
      <c r="BK31" s="260"/>
      <c r="BL31" s="260"/>
      <c r="BM31" s="260"/>
      <c r="BN31" s="260"/>
      <c r="BO31" s="260"/>
      <c r="BP31" s="260"/>
      <c r="BQ31" s="260"/>
      <c r="BR31" s="260"/>
      <c r="BS31" s="260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0"/>
      <c r="CJ31" s="260"/>
      <c r="CK31" s="260"/>
      <c r="CL31" s="260"/>
      <c r="CM31" s="260"/>
      <c r="CN31" s="260"/>
      <c r="CO31" s="260"/>
      <c r="CP31" s="260"/>
      <c r="CQ31" s="260"/>
      <c r="CR31" s="260"/>
      <c r="CS31" s="260"/>
      <c r="CT31" s="260"/>
      <c r="CU31" s="260"/>
      <c r="CV31" s="260"/>
      <c r="CW31" s="260"/>
      <c r="CX31" s="260"/>
      <c r="CY31" s="260"/>
      <c r="CZ31" s="260"/>
      <c r="DA31" s="260"/>
      <c r="DB31" s="260"/>
      <c r="DC31" s="260"/>
      <c r="DD31" s="260"/>
      <c r="DE31" s="260"/>
      <c r="DF31" s="260"/>
      <c r="DG31" s="260"/>
      <c r="DH31" s="260"/>
      <c r="DI31" s="260"/>
      <c r="DJ31" s="260"/>
      <c r="DK31" s="260"/>
      <c r="DL31" s="260"/>
      <c r="DM31" s="260"/>
      <c r="DN31" s="260"/>
      <c r="DO31" s="260"/>
      <c r="DP31" s="260"/>
      <c r="DQ31" s="260"/>
      <c r="DR31" s="260"/>
      <c r="DS31" s="260"/>
      <c r="DT31" s="260"/>
      <c r="DU31" s="260"/>
      <c r="DV31" s="260"/>
      <c r="DW31" s="260"/>
      <c r="DX31" s="260"/>
      <c r="DY31" s="260"/>
      <c r="DZ31" s="260"/>
      <c r="EA31" s="260"/>
      <c r="EB31" s="260"/>
      <c r="EC31" s="260"/>
      <c r="ED31" s="260"/>
      <c r="EE31" s="260"/>
      <c r="EF31" s="260"/>
      <c r="EG31" s="260"/>
      <c r="EH31" s="260"/>
      <c r="EI31" s="260"/>
      <c r="EJ31" s="260"/>
      <c r="EK31" s="260"/>
      <c r="EL31" s="260"/>
      <c r="EM31" s="260"/>
      <c r="EN31" s="260"/>
      <c r="EO31" s="260"/>
      <c r="EP31" s="260"/>
      <c r="EQ31" s="260"/>
      <c r="ER31" s="260"/>
      <c r="ES31" s="260"/>
      <c r="ET31" s="260"/>
      <c r="EU31" s="260"/>
      <c r="EV31" s="260"/>
      <c r="EW31" s="260"/>
      <c r="EX31" s="260"/>
      <c r="EY31" s="260"/>
      <c r="EZ31" s="260"/>
      <c r="FA31" s="260"/>
      <c r="FB31" s="260"/>
      <c r="FC31" s="260"/>
      <c r="FD31" s="260"/>
      <c r="FE31" s="260"/>
      <c r="FF31" s="260"/>
      <c r="FG31" s="260"/>
      <c r="FH31" s="260"/>
      <c r="FI31" s="260"/>
      <c r="FJ31" s="260"/>
      <c r="FK31" s="260"/>
      <c r="FL31" s="260"/>
      <c r="FM31" s="260"/>
      <c r="FN31" s="260"/>
      <c r="FO31" s="260"/>
      <c r="FP31" s="260"/>
      <c r="FQ31" s="260"/>
      <c r="FR31" s="260"/>
      <c r="FS31" s="260"/>
      <c r="FT31" s="260"/>
      <c r="FU31" s="260"/>
      <c r="FV31" s="260"/>
      <c r="FW31" s="260"/>
      <c r="FX31" s="260"/>
      <c r="FY31" s="260"/>
      <c r="FZ31" s="260"/>
      <c r="GA31" s="260"/>
      <c r="GB31" s="260"/>
      <c r="GC31" s="260"/>
      <c r="GD31" s="260"/>
      <c r="GE31" s="260"/>
      <c r="GF31" s="260"/>
      <c r="GG31" s="260"/>
      <c r="GH31" s="260"/>
      <c r="GI31" s="260"/>
      <c r="GJ31" s="260"/>
      <c r="GK31" s="260"/>
      <c r="GL31" s="260"/>
      <c r="GM31" s="260"/>
      <c r="GN31" s="260"/>
      <c r="GO31" s="260"/>
      <c r="GP31" s="260"/>
      <c r="GQ31" s="260"/>
      <c r="GR31" s="260"/>
      <c r="GS31" s="260"/>
      <c r="GT31" s="260"/>
      <c r="GU31" s="260"/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</row>
    <row r="32" spans="1:239" s="288" customFormat="1" ht="17.399999999999999" customHeight="1">
      <c r="A32" s="289"/>
      <c r="B32" s="290"/>
      <c r="C32" s="290" t="s">
        <v>2733</v>
      </c>
      <c r="D32" s="291"/>
      <c r="E32" s="291"/>
      <c r="F32" s="797">
        <f t="shared" si="2"/>
        <v>0</v>
      </c>
      <c r="G32" s="293">
        <v>0</v>
      </c>
      <c r="H32" s="293">
        <v>0</v>
      </c>
      <c r="I32" s="293">
        <v>0</v>
      </c>
      <c r="J32" s="293"/>
      <c r="K32" s="293">
        <v>0</v>
      </c>
      <c r="L32" s="293">
        <v>0</v>
      </c>
      <c r="M32" s="293">
        <v>0</v>
      </c>
      <c r="N32" s="293">
        <v>0</v>
      </c>
      <c r="O32" s="293">
        <v>0</v>
      </c>
      <c r="P32" s="293">
        <v>0</v>
      </c>
      <c r="Q32" s="294">
        <v>0</v>
      </c>
      <c r="R32" s="293">
        <v>0</v>
      </c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  <c r="AW32" s="260"/>
      <c r="AX32" s="260"/>
      <c r="AY32" s="260"/>
      <c r="AZ32" s="260"/>
      <c r="BA32" s="260"/>
      <c r="BB32" s="260"/>
      <c r="BC32" s="260"/>
      <c r="BD32" s="260"/>
      <c r="BE32" s="260"/>
      <c r="BF32" s="260"/>
      <c r="BG32" s="260"/>
      <c r="BH32" s="260"/>
      <c r="BI32" s="260"/>
      <c r="BJ32" s="260"/>
      <c r="BK32" s="260"/>
      <c r="BL32" s="260"/>
      <c r="BM32" s="260"/>
      <c r="BN32" s="260"/>
      <c r="BO32" s="260"/>
      <c r="BP32" s="260"/>
      <c r="BQ32" s="260"/>
      <c r="BR32" s="260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0"/>
      <c r="CJ32" s="260"/>
      <c r="CK32" s="260"/>
      <c r="CL32" s="260"/>
      <c r="CM32" s="260"/>
      <c r="CN32" s="260"/>
      <c r="CO32" s="260"/>
      <c r="CP32" s="260"/>
      <c r="CQ32" s="260"/>
      <c r="CR32" s="260"/>
      <c r="CS32" s="260"/>
      <c r="CT32" s="260"/>
      <c r="CU32" s="260"/>
      <c r="CV32" s="260"/>
      <c r="CW32" s="260"/>
      <c r="CX32" s="260"/>
      <c r="CY32" s="260"/>
      <c r="CZ32" s="260"/>
      <c r="DA32" s="260"/>
      <c r="DB32" s="260"/>
      <c r="DC32" s="260"/>
      <c r="DD32" s="260"/>
      <c r="DE32" s="260"/>
      <c r="DF32" s="260"/>
      <c r="DG32" s="260"/>
      <c r="DH32" s="260"/>
      <c r="DI32" s="260"/>
      <c r="DJ32" s="260"/>
      <c r="DK32" s="260"/>
      <c r="DL32" s="260"/>
      <c r="DM32" s="260"/>
      <c r="DN32" s="260"/>
      <c r="DO32" s="260"/>
      <c r="DP32" s="260"/>
      <c r="DQ32" s="260"/>
      <c r="DR32" s="260"/>
      <c r="DS32" s="260"/>
      <c r="DT32" s="260"/>
      <c r="DU32" s="260"/>
      <c r="DV32" s="260"/>
      <c r="DW32" s="260"/>
      <c r="DX32" s="260"/>
      <c r="DY32" s="260"/>
      <c r="DZ32" s="260"/>
      <c r="EA32" s="260"/>
      <c r="EB32" s="260"/>
      <c r="EC32" s="260"/>
      <c r="ED32" s="260"/>
      <c r="EE32" s="260"/>
      <c r="EF32" s="260"/>
      <c r="EG32" s="260"/>
      <c r="EH32" s="260"/>
      <c r="EI32" s="260"/>
      <c r="EJ32" s="260"/>
      <c r="EK32" s="260"/>
      <c r="EL32" s="260"/>
      <c r="EM32" s="260"/>
      <c r="EN32" s="260"/>
      <c r="EO32" s="260"/>
      <c r="EP32" s="260"/>
      <c r="EQ32" s="260"/>
      <c r="ER32" s="260"/>
      <c r="ES32" s="260"/>
      <c r="ET32" s="260"/>
      <c r="EU32" s="260"/>
      <c r="EV32" s="260"/>
      <c r="EW32" s="260"/>
      <c r="EX32" s="260"/>
      <c r="EY32" s="260"/>
      <c r="EZ32" s="260"/>
      <c r="FA32" s="260"/>
      <c r="FB32" s="260"/>
      <c r="FC32" s="260"/>
      <c r="FD32" s="260"/>
      <c r="FE32" s="260"/>
      <c r="FF32" s="260"/>
      <c r="FG32" s="260"/>
      <c r="FH32" s="260"/>
      <c r="FI32" s="260"/>
      <c r="FJ32" s="260"/>
      <c r="FK32" s="260"/>
      <c r="FL32" s="260"/>
      <c r="FM32" s="260"/>
      <c r="FN32" s="260"/>
      <c r="FO32" s="260"/>
      <c r="FP32" s="260"/>
      <c r="FQ32" s="260"/>
      <c r="FR32" s="260"/>
      <c r="FS32" s="260"/>
      <c r="FT32" s="260"/>
      <c r="FU32" s="260"/>
      <c r="FV32" s="260"/>
      <c r="FW32" s="260"/>
      <c r="FX32" s="260"/>
      <c r="FY32" s="260"/>
      <c r="FZ32" s="260"/>
      <c r="GA32" s="260"/>
      <c r="GB32" s="260"/>
      <c r="GC32" s="260"/>
      <c r="GD32" s="260"/>
      <c r="GE32" s="260"/>
      <c r="GF32" s="260"/>
      <c r="GG32" s="260"/>
      <c r="GH32" s="260"/>
      <c r="GI32" s="260"/>
      <c r="GJ32" s="260"/>
      <c r="GK32" s="260"/>
      <c r="GL32" s="260"/>
      <c r="GM32" s="260"/>
      <c r="GN32" s="260"/>
      <c r="GO32" s="260"/>
      <c r="GP32" s="260"/>
      <c r="GQ32" s="260"/>
      <c r="GR32" s="260"/>
      <c r="GS32" s="260"/>
      <c r="GT32" s="260"/>
      <c r="GU32" s="260"/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</row>
    <row r="33" spans="1:239" s="288" customFormat="1" ht="17.399999999999999" customHeight="1">
      <c r="A33" s="799" t="s">
        <v>1612</v>
      </c>
      <c r="B33" s="800" t="s">
        <v>292</v>
      </c>
      <c r="C33" s="800" t="s">
        <v>2732</v>
      </c>
      <c r="D33" s="801" t="s">
        <v>1613</v>
      </c>
      <c r="E33" s="801" t="s">
        <v>273</v>
      </c>
      <c r="F33" s="797">
        <f>SUM(G33:R33)</f>
        <v>14.302</v>
      </c>
      <c r="G33" s="802">
        <v>14.302</v>
      </c>
      <c r="H33" s="802">
        <v>0</v>
      </c>
      <c r="I33" s="802">
        <v>0</v>
      </c>
      <c r="J33" s="802">
        <v>0</v>
      </c>
      <c r="K33" s="802">
        <v>0</v>
      </c>
      <c r="L33" s="802">
        <v>0</v>
      </c>
      <c r="M33" s="802">
        <v>0</v>
      </c>
      <c r="N33" s="802">
        <v>0</v>
      </c>
      <c r="O33" s="802">
        <v>0</v>
      </c>
      <c r="P33" s="802">
        <v>0</v>
      </c>
      <c r="Q33" s="802">
        <v>0</v>
      </c>
      <c r="R33" s="802">
        <v>0</v>
      </c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/>
      <c r="BM33" s="260"/>
      <c r="BN33" s="260"/>
      <c r="BO33" s="260"/>
      <c r="BP33" s="260"/>
      <c r="BQ33" s="260"/>
      <c r="BR33" s="260"/>
      <c r="BS33" s="260"/>
      <c r="BT33" s="260"/>
      <c r="BU33" s="260"/>
      <c r="BV33" s="260"/>
      <c r="BW33" s="260"/>
      <c r="BX33" s="260"/>
      <c r="BY33" s="260"/>
      <c r="BZ33" s="260"/>
      <c r="CA33" s="260"/>
      <c r="CB33" s="260"/>
      <c r="CC33" s="260"/>
      <c r="CD33" s="260"/>
      <c r="CE33" s="260"/>
      <c r="CF33" s="260"/>
      <c r="CG33" s="260"/>
      <c r="CH33" s="260"/>
      <c r="CI33" s="260"/>
      <c r="CJ33" s="260"/>
      <c r="CK33" s="260"/>
      <c r="CL33" s="260"/>
      <c r="CM33" s="260"/>
      <c r="CN33" s="260"/>
      <c r="CO33" s="260"/>
      <c r="CP33" s="260"/>
      <c r="CQ33" s="260"/>
      <c r="CR33" s="260"/>
      <c r="CS33" s="260"/>
      <c r="CT33" s="260"/>
      <c r="CU33" s="260"/>
      <c r="CV33" s="260"/>
      <c r="CW33" s="260"/>
      <c r="CX33" s="260"/>
      <c r="CY33" s="260"/>
      <c r="CZ33" s="260"/>
      <c r="DA33" s="260"/>
      <c r="DB33" s="260"/>
      <c r="DC33" s="260"/>
      <c r="DD33" s="260"/>
      <c r="DE33" s="260"/>
      <c r="DF33" s="260"/>
      <c r="DG33" s="260"/>
      <c r="DH33" s="260"/>
      <c r="DI33" s="260"/>
      <c r="DJ33" s="260"/>
      <c r="DK33" s="260"/>
      <c r="DL33" s="260"/>
      <c r="DM33" s="260"/>
      <c r="DN33" s="260"/>
      <c r="DO33" s="260"/>
      <c r="DP33" s="260"/>
      <c r="DQ33" s="260"/>
      <c r="DR33" s="260"/>
      <c r="DS33" s="260"/>
      <c r="DT33" s="260"/>
      <c r="DU33" s="260"/>
      <c r="DV33" s="260"/>
      <c r="DW33" s="260"/>
      <c r="DX33" s="260"/>
      <c r="DY33" s="260"/>
      <c r="DZ33" s="260"/>
      <c r="EA33" s="260"/>
      <c r="EB33" s="260"/>
      <c r="EC33" s="260"/>
      <c r="ED33" s="260"/>
      <c r="EE33" s="260"/>
      <c r="EF33" s="260"/>
      <c r="EG33" s="260"/>
      <c r="EH33" s="260"/>
      <c r="EI33" s="260"/>
      <c r="EJ33" s="260"/>
      <c r="EK33" s="260"/>
      <c r="EL33" s="260"/>
      <c r="EM33" s="260"/>
      <c r="EN33" s="260"/>
      <c r="EO33" s="260"/>
      <c r="EP33" s="260"/>
      <c r="EQ33" s="260"/>
      <c r="ER33" s="260"/>
      <c r="ES33" s="260"/>
      <c r="ET33" s="260"/>
      <c r="EU33" s="260"/>
      <c r="EV33" s="260"/>
      <c r="EW33" s="260"/>
      <c r="EX33" s="260"/>
      <c r="EY33" s="260"/>
      <c r="EZ33" s="260"/>
      <c r="FA33" s="260"/>
      <c r="FB33" s="260"/>
      <c r="FC33" s="260"/>
      <c r="FD33" s="260"/>
      <c r="FE33" s="260"/>
      <c r="FF33" s="260"/>
      <c r="FG33" s="260"/>
      <c r="FH33" s="260"/>
      <c r="FI33" s="260"/>
      <c r="FJ33" s="260"/>
      <c r="FK33" s="260"/>
      <c r="FL33" s="260"/>
      <c r="FM33" s="260"/>
      <c r="FN33" s="260"/>
      <c r="FO33" s="260"/>
      <c r="FP33" s="260"/>
      <c r="FQ33" s="260"/>
      <c r="FR33" s="260"/>
      <c r="FS33" s="260"/>
      <c r="FT33" s="260"/>
      <c r="FU33" s="260"/>
      <c r="FV33" s="260"/>
      <c r="FW33" s="260"/>
      <c r="FX33" s="260"/>
      <c r="FY33" s="260"/>
      <c r="FZ33" s="260"/>
      <c r="GA33" s="260"/>
      <c r="GB33" s="260"/>
      <c r="GC33" s="260"/>
      <c r="GD33" s="260"/>
      <c r="GE33" s="260"/>
      <c r="GF33" s="260"/>
      <c r="GG33" s="260"/>
      <c r="GH33" s="260"/>
      <c r="GI33" s="260"/>
      <c r="GJ33" s="260"/>
      <c r="GK33" s="260"/>
      <c r="GL33" s="260"/>
      <c r="GM33" s="260"/>
      <c r="GN33" s="260"/>
      <c r="GO33" s="260"/>
      <c r="GP33" s="260"/>
      <c r="GQ33" s="260"/>
      <c r="GR33" s="260"/>
      <c r="GS33" s="260"/>
      <c r="GT33" s="260"/>
      <c r="GU33" s="260"/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</row>
    <row r="34" spans="1:239" s="288" customFormat="1" ht="17.399999999999999" customHeight="1">
      <c r="A34" s="799"/>
      <c r="B34" s="800"/>
      <c r="C34" s="800" t="s">
        <v>2733</v>
      </c>
      <c r="D34" s="801"/>
      <c r="E34" s="801"/>
      <c r="F34" s="797">
        <f t="shared" si="2"/>
        <v>0</v>
      </c>
      <c r="G34" s="802">
        <v>0</v>
      </c>
      <c r="H34" s="802">
        <v>0</v>
      </c>
      <c r="I34" s="802">
        <v>0</v>
      </c>
      <c r="J34" s="802"/>
      <c r="K34" s="802">
        <v>0</v>
      </c>
      <c r="L34" s="802">
        <v>0</v>
      </c>
      <c r="M34" s="802">
        <v>0</v>
      </c>
      <c r="N34" s="802">
        <v>0</v>
      </c>
      <c r="O34" s="802">
        <v>0</v>
      </c>
      <c r="P34" s="802">
        <v>0</v>
      </c>
      <c r="Q34" s="803">
        <v>0</v>
      </c>
      <c r="R34" s="802">
        <v>0</v>
      </c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/>
      <c r="BL34" s="260"/>
      <c r="BM34" s="260"/>
      <c r="BN34" s="260"/>
      <c r="BO34" s="260"/>
      <c r="BP34" s="260"/>
      <c r="BQ34" s="260"/>
      <c r="BR34" s="260"/>
      <c r="BS34" s="260"/>
      <c r="BT34" s="260"/>
      <c r="BU34" s="260"/>
      <c r="BV34" s="260"/>
      <c r="BW34" s="260"/>
      <c r="BX34" s="260"/>
      <c r="BY34" s="260"/>
      <c r="BZ34" s="260"/>
      <c r="CA34" s="260"/>
      <c r="CB34" s="260"/>
      <c r="CC34" s="260"/>
      <c r="CD34" s="260"/>
      <c r="CE34" s="260"/>
      <c r="CF34" s="260"/>
      <c r="CG34" s="260"/>
      <c r="CH34" s="260"/>
      <c r="CI34" s="260"/>
      <c r="CJ34" s="260"/>
      <c r="CK34" s="260"/>
      <c r="CL34" s="260"/>
      <c r="CM34" s="260"/>
      <c r="CN34" s="260"/>
      <c r="CO34" s="260"/>
      <c r="CP34" s="260"/>
      <c r="CQ34" s="260"/>
      <c r="CR34" s="260"/>
      <c r="CS34" s="260"/>
      <c r="CT34" s="260"/>
      <c r="CU34" s="260"/>
      <c r="CV34" s="260"/>
      <c r="CW34" s="260"/>
      <c r="CX34" s="260"/>
      <c r="CY34" s="260"/>
      <c r="CZ34" s="260"/>
      <c r="DA34" s="260"/>
      <c r="DB34" s="260"/>
      <c r="DC34" s="260"/>
      <c r="DD34" s="260"/>
      <c r="DE34" s="260"/>
      <c r="DF34" s="260"/>
      <c r="DG34" s="260"/>
      <c r="DH34" s="260"/>
      <c r="DI34" s="260"/>
      <c r="DJ34" s="260"/>
      <c r="DK34" s="260"/>
      <c r="DL34" s="260"/>
      <c r="DM34" s="260"/>
      <c r="DN34" s="260"/>
      <c r="DO34" s="260"/>
      <c r="DP34" s="260"/>
      <c r="DQ34" s="260"/>
      <c r="DR34" s="260"/>
      <c r="DS34" s="260"/>
      <c r="DT34" s="260"/>
      <c r="DU34" s="260"/>
      <c r="DV34" s="260"/>
      <c r="DW34" s="260"/>
      <c r="DX34" s="260"/>
      <c r="DY34" s="260"/>
      <c r="DZ34" s="260"/>
      <c r="EA34" s="260"/>
      <c r="EB34" s="260"/>
      <c r="EC34" s="260"/>
      <c r="ED34" s="260"/>
      <c r="EE34" s="260"/>
      <c r="EF34" s="260"/>
      <c r="EG34" s="260"/>
      <c r="EH34" s="260"/>
      <c r="EI34" s="260"/>
      <c r="EJ34" s="260"/>
      <c r="EK34" s="260"/>
      <c r="EL34" s="260"/>
      <c r="EM34" s="260"/>
      <c r="EN34" s="260"/>
      <c r="EO34" s="260"/>
      <c r="EP34" s="260"/>
      <c r="EQ34" s="260"/>
      <c r="ER34" s="260"/>
      <c r="ES34" s="260"/>
      <c r="ET34" s="260"/>
      <c r="EU34" s="260"/>
      <c r="EV34" s="260"/>
      <c r="EW34" s="260"/>
      <c r="EX34" s="260"/>
      <c r="EY34" s="260"/>
      <c r="EZ34" s="260"/>
      <c r="FA34" s="260"/>
      <c r="FB34" s="260"/>
      <c r="FC34" s="260"/>
      <c r="FD34" s="260"/>
      <c r="FE34" s="260"/>
      <c r="FF34" s="260"/>
      <c r="FG34" s="260"/>
      <c r="FH34" s="260"/>
      <c r="FI34" s="260"/>
      <c r="FJ34" s="260"/>
      <c r="FK34" s="260"/>
      <c r="FL34" s="260"/>
      <c r="FM34" s="260"/>
      <c r="FN34" s="260"/>
      <c r="FO34" s="260"/>
      <c r="FP34" s="260"/>
      <c r="FQ34" s="260"/>
      <c r="FR34" s="260"/>
      <c r="FS34" s="260"/>
      <c r="FT34" s="260"/>
      <c r="FU34" s="260"/>
      <c r="FV34" s="260"/>
      <c r="FW34" s="260"/>
      <c r="FX34" s="260"/>
      <c r="FY34" s="260"/>
      <c r="FZ34" s="260"/>
      <c r="GA34" s="260"/>
      <c r="GB34" s="260"/>
      <c r="GC34" s="260"/>
      <c r="GD34" s="260"/>
      <c r="GE34" s="260"/>
      <c r="GF34" s="260"/>
      <c r="GG34" s="260"/>
      <c r="GH34" s="260"/>
      <c r="GI34" s="260"/>
      <c r="GJ34" s="260"/>
      <c r="GK34" s="260"/>
      <c r="GL34" s="260"/>
      <c r="GM34" s="260"/>
      <c r="GN34" s="260"/>
      <c r="GO34" s="260"/>
      <c r="GP34" s="260"/>
      <c r="GQ34" s="260"/>
      <c r="GR34" s="260"/>
      <c r="GS34" s="260"/>
      <c r="GT34" s="260"/>
      <c r="GU34" s="260"/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</row>
    <row r="35" spans="1:239" s="288" customFormat="1" ht="17.399999999999999" customHeight="1">
      <c r="A35" s="799" t="s">
        <v>1614</v>
      </c>
      <c r="B35" s="800" t="s">
        <v>285</v>
      </c>
      <c r="C35" s="800" t="s">
        <v>2732</v>
      </c>
      <c r="D35" s="801" t="s">
        <v>1613</v>
      </c>
      <c r="E35" s="801" t="s">
        <v>273</v>
      </c>
      <c r="F35" s="797">
        <f t="shared" si="2"/>
        <v>15.57</v>
      </c>
      <c r="G35" s="802">
        <v>0</v>
      </c>
      <c r="H35" s="802">
        <v>0</v>
      </c>
      <c r="I35" s="802">
        <v>0</v>
      </c>
      <c r="J35" s="802">
        <v>0</v>
      </c>
      <c r="K35" s="802">
        <v>0</v>
      </c>
      <c r="L35" s="802">
        <v>0</v>
      </c>
      <c r="M35" s="802">
        <v>0</v>
      </c>
      <c r="N35" s="802">
        <v>0</v>
      </c>
      <c r="O35" s="802">
        <v>15.57</v>
      </c>
      <c r="P35" s="802">
        <v>0</v>
      </c>
      <c r="Q35" s="802">
        <v>0</v>
      </c>
      <c r="R35" s="802">
        <v>0</v>
      </c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/>
      <c r="BM35" s="260"/>
      <c r="BN35" s="260"/>
      <c r="BO35" s="260"/>
      <c r="BP35" s="260"/>
      <c r="BQ35" s="260"/>
      <c r="BR35" s="260"/>
      <c r="BS35" s="260"/>
      <c r="BT35" s="260"/>
      <c r="BU35" s="260"/>
      <c r="BV35" s="260"/>
      <c r="BW35" s="260"/>
      <c r="BX35" s="260"/>
      <c r="BY35" s="260"/>
      <c r="BZ35" s="260"/>
      <c r="CA35" s="260"/>
      <c r="CB35" s="260"/>
      <c r="CC35" s="260"/>
      <c r="CD35" s="260"/>
      <c r="CE35" s="260"/>
      <c r="CF35" s="260"/>
      <c r="CG35" s="260"/>
      <c r="CH35" s="260"/>
      <c r="CI35" s="260"/>
      <c r="CJ35" s="260"/>
      <c r="CK35" s="260"/>
      <c r="CL35" s="260"/>
      <c r="CM35" s="260"/>
      <c r="CN35" s="260"/>
      <c r="CO35" s="260"/>
      <c r="CP35" s="260"/>
      <c r="CQ35" s="260"/>
      <c r="CR35" s="260"/>
      <c r="CS35" s="260"/>
      <c r="CT35" s="260"/>
      <c r="CU35" s="260"/>
      <c r="CV35" s="260"/>
      <c r="CW35" s="260"/>
      <c r="CX35" s="260"/>
      <c r="CY35" s="260"/>
      <c r="CZ35" s="260"/>
      <c r="DA35" s="260"/>
      <c r="DB35" s="260"/>
      <c r="DC35" s="260"/>
      <c r="DD35" s="260"/>
      <c r="DE35" s="260"/>
      <c r="DF35" s="260"/>
      <c r="DG35" s="260"/>
      <c r="DH35" s="260"/>
      <c r="DI35" s="260"/>
      <c r="DJ35" s="260"/>
      <c r="DK35" s="260"/>
      <c r="DL35" s="260"/>
      <c r="DM35" s="260"/>
      <c r="DN35" s="260"/>
      <c r="DO35" s="260"/>
      <c r="DP35" s="260"/>
      <c r="DQ35" s="260"/>
      <c r="DR35" s="260"/>
      <c r="DS35" s="260"/>
      <c r="DT35" s="260"/>
      <c r="DU35" s="260"/>
      <c r="DV35" s="260"/>
      <c r="DW35" s="260"/>
      <c r="DX35" s="260"/>
      <c r="DY35" s="260"/>
      <c r="DZ35" s="260"/>
      <c r="EA35" s="260"/>
      <c r="EB35" s="260"/>
      <c r="EC35" s="260"/>
      <c r="ED35" s="260"/>
      <c r="EE35" s="260"/>
      <c r="EF35" s="260"/>
      <c r="EG35" s="260"/>
      <c r="EH35" s="260"/>
      <c r="EI35" s="260"/>
      <c r="EJ35" s="260"/>
      <c r="EK35" s="260"/>
      <c r="EL35" s="260"/>
      <c r="EM35" s="260"/>
      <c r="EN35" s="260"/>
      <c r="EO35" s="260"/>
      <c r="EP35" s="260"/>
      <c r="EQ35" s="260"/>
      <c r="ER35" s="260"/>
      <c r="ES35" s="260"/>
      <c r="ET35" s="260"/>
      <c r="EU35" s="260"/>
      <c r="EV35" s="260"/>
      <c r="EW35" s="260"/>
      <c r="EX35" s="260"/>
      <c r="EY35" s="260"/>
      <c r="EZ35" s="260"/>
      <c r="FA35" s="260"/>
      <c r="FB35" s="260"/>
      <c r="FC35" s="260"/>
      <c r="FD35" s="260"/>
      <c r="FE35" s="260"/>
      <c r="FF35" s="260"/>
      <c r="FG35" s="260"/>
      <c r="FH35" s="260"/>
      <c r="FI35" s="260"/>
      <c r="FJ35" s="260"/>
      <c r="FK35" s="260"/>
      <c r="FL35" s="260"/>
      <c r="FM35" s="260"/>
      <c r="FN35" s="260"/>
      <c r="FO35" s="260"/>
      <c r="FP35" s="260"/>
      <c r="FQ35" s="260"/>
      <c r="FR35" s="260"/>
      <c r="FS35" s="260"/>
      <c r="FT35" s="260"/>
      <c r="FU35" s="260"/>
      <c r="FV35" s="260"/>
      <c r="FW35" s="260"/>
      <c r="FX35" s="260"/>
      <c r="FY35" s="260"/>
      <c r="FZ35" s="260"/>
      <c r="GA35" s="260"/>
      <c r="GB35" s="260"/>
      <c r="GC35" s="260"/>
      <c r="GD35" s="260"/>
      <c r="GE35" s="260"/>
      <c r="GF35" s="260"/>
      <c r="GG35" s="260"/>
      <c r="GH35" s="260"/>
      <c r="GI35" s="260"/>
      <c r="GJ35" s="260"/>
      <c r="GK35" s="260"/>
      <c r="GL35" s="260"/>
      <c r="GM35" s="260"/>
      <c r="GN35" s="260"/>
      <c r="GO35" s="260"/>
      <c r="GP35" s="260"/>
      <c r="GQ35" s="260"/>
      <c r="GR35" s="260"/>
      <c r="GS35" s="260"/>
      <c r="GT35" s="260"/>
      <c r="GU35" s="260"/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</row>
    <row r="36" spans="1:239" s="288" customFormat="1" ht="17.399999999999999" customHeight="1">
      <c r="A36" s="799"/>
      <c r="B36" s="800"/>
      <c r="C36" s="800" t="s">
        <v>2733</v>
      </c>
      <c r="D36" s="801"/>
      <c r="E36" s="801"/>
      <c r="F36" s="797">
        <f t="shared" si="2"/>
        <v>0</v>
      </c>
      <c r="G36" s="802">
        <v>0</v>
      </c>
      <c r="H36" s="802">
        <v>0</v>
      </c>
      <c r="I36" s="802">
        <v>0</v>
      </c>
      <c r="J36" s="802"/>
      <c r="K36" s="802">
        <v>0</v>
      </c>
      <c r="L36" s="802">
        <v>0</v>
      </c>
      <c r="M36" s="802">
        <v>0</v>
      </c>
      <c r="N36" s="802">
        <v>0</v>
      </c>
      <c r="O36" s="802">
        <v>0</v>
      </c>
      <c r="P36" s="802">
        <v>0</v>
      </c>
      <c r="Q36" s="803">
        <v>0</v>
      </c>
      <c r="R36" s="802">
        <v>0</v>
      </c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/>
      <c r="BM36" s="260"/>
      <c r="BN36" s="260"/>
      <c r="BO36" s="260"/>
      <c r="BP36" s="260"/>
      <c r="BQ36" s="260"/>
      <c r="BR36" s="260"/>
      <c r="BS36" s="260"/>
      <c r="BT36" s="260"/>
      <c r="BU36" s="260"/>
      <c r="BV36" s="260"/>
      <c r="BW36" s="260"/>
      <c r="BX36" s="260"/>
      <c r="BY36" s="260"/>
      <c r="BZ36" s="260"/>
      <c r="CA36" s="260"/>
      <c r="CB36" s="260"/>
      <c r="CC36" s="260"/>
      <c r="CD36" s="260"/>
      <c r="CE36" s="260"/>
      <c r="CF36" s="260"/>
      <c r="CG36" s="260"/>
      <c r="CH36" s="260"/>
      <c r="CI36" s="260"/>
      <c r="CJ36" s="260"/>
      <c r="CK36" s="260"/>
      <c r="CL36" s="260"/>
      <c r="CM36" s="260"/>
      <c r="CN36" s="260"/>
      <c r="CO36" s="260"/>
      <c r="CP36" s="260"/>
      <c r="CQ36" s="260"/>
      <c r="CR36" s="260"/>
      <c r="CS36" s="260"/>
      <c r="CT36" s="260"/>
      <c r="CU36" s="260"/>
      <c r="CV36" s="260"/>
      <c r="CW36" s="260"/>
      <c r="CX36" s="260"/>
      <c r="CY36" s="260"/>
      <c r="CZ36" s="260"/>
      <c r="DA36" s="260"/>
      <c r="DB36" s="260"/>
      <c r="DC36" s="260"/>
      <c r="DD36" s="260"/>
      <c r="DE36" s="260"/>
      <c r="DF36" s="260"/>
      <c r="DG36" s="260"/>
      <c r="DH36" s="260"/>
      <c r="DI36" s="260"/>
      <c r="DJ36" s="260"/>
      <c r="DK36" s="260"/>
      <c r="DL36" s="260"/>
      <c r="DM36" s="260"/>
      <c r="DN36" s="260"/>
      <c r="DO36" s="260"/>
      <c r="DP36" s="260"/>
      <c r="DQ36" s="260"/>
      <c r="DR36" s="260"/>
      <c r="DS36" s="260"/>
      <c r="DT36" s="260"/>
      <c r="DU36" s="260"/>
      <c r="DV36" s="260"/>
      <c r="DW36" s="260"/>
      <c r="DX36" s="260"/>
      <c r="DY36" s="260"/>
      <c r="DZ36" s="260"/>
      <c r="EA36" s="260"/>
      <c r="EB36" s="260"/>
      <c r="EC36" s="260"/>
      <c r="ED36" s="260"/>
      <c r="EE36" s="260"/>
      <c r="EF36" s="260"/>
      <c r="EG36" s="260"/>
      <c r="EH36" s="260"/>
      <c r="EI36" s="260"/>
      <c r="EJ36" s="260"/>
      <c r="EK36" s="260"/>
      <c r="EL36" s="260"/>
      <c r="EM36" s="260"/>
      <c r="EN36" s="260"/>
      <c r="EO36" s="260"/>
      <c r="EP36" s="260"/>
      <c r="EQ36" s="260"/>
      <c r="ER36" s="260"/>
      <c r="ES36" s="260"/>
      <c r="ET36" s="260"/>
      <c r="EU36" s="260"/>
      <c r="EV36" s="260"/>
      <c r="EW36" s="260"/>
      <c r="EX36" s="260"/>
      <c r="EY36" s="260"/>
      <c r="EZ36" s="260"/>
      <c r="FA36" s="260"/>
      <c r="FB36" s="260"/>
      <c r="FC36" s="260"/>
      <c r="FD36" s="260"/>
      <c r="FE36" s="260"/>
      <c r="FF36" s="260"/>
      <c r="FG36" s="260"/>
      <c r="FH36" s="260"/>
      <c r="FI36" s="260"/>
      <c r="FJ36" s="260"/>
      <c r="FK36" s="260"/>
      <c r="FL36" s="260"/>
      <c r="FM36" s="260"/>
      <c r="FN36" s="260"/>
      <c r="FO36" s="260"/>
      <c r="FP36" s="260"/>
      <c r="FQ36" s="260"/>
      <c r="FR36" s="260"/>
      <c r="FS36" s="260"/>
      <c r="FT36" s="260"/>
      <c r="FU36" s="260"/>
      <c r="FV36" s="260"/>
      <c r="FW36" s="260"/>
      <c r="FX36" s="260"/>
      <c r="FY36" s="260"/>
      <c r="FZ36" s="260"/>
      <c r="GA36" s="260"/>
      <c r="GB36" s="260"/>
      <c r="GC36" s="260"/>
      <c r="GD36" s="260"/>
      <c r="GE36" s="260"/>
      <c r="GF36" s="260"/>
      <c r="GG36" s="260"/>
      <c r="GH36" s="260"/>
      <c r="GI36" s="260"/>
      <c r="GJ36" s="260"/>
      <c r="GK36" s="260"/>
      <c r="GL36" s="260"/>
      <c r="GM36" s="260"/>
      <c r="GN36" s="260"/>
      <c r="GO36" s="260"/>
      <c r="GP36" s="260"/>
      <c r="GQ36" s="260"/>
      <c r="GR36" s="260"/>
      <c r="GS36" s="260"/>
      <c r="GT36" s="260"/>
      <c r="GU36" s="260"/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</row>
    <row r="37" spans="1:239" s="288" customFormat="1" ht="17.399999999999999" customHeight="1">
      <c r="A37" s="799" t="s">
        <v>1615</v>
      </c>
      <c r="B37" s="800" t="s">
        <v>285</v>
      </c>
      <c r="C37" s="800" t="s">
        <v>2732</v>
      </c>
      <c r="D37" s="801" t="s">
        <v>1613</v>
      </c>
      <c r="E37" s="801" t="s">
        <v>273</v>
      </c>
      <c r="F37" s="797">
        <f t="shared" si="2"/>
        <v>69.81</v>
      </c>
      <c r="G37" s="802">
        <v>69.81</v>
      </c>
      <c r="H37" s="802">
        <v>0</v>
      </c>
      <c r="I37" s="802">
        <v>0</v>
      </c>
      <c r="J37" s="802">
        <v>0</v>
      </c>
      <c r="K37" s="802">
        <v>0</v>
      </c>
      <c r="L37" s="802">
        <v>0</v>
      </c>
      <c r="M37" s="802">
        <v>0</v>
      </c>
      <c r="N37" s="802">
        <v>0</v>
      </c>
      <c r="O37" s="802">
        <v>0</v>
      </c>
      <c r="P37" s="802">
        <v>0</v>
      </c>
      <c r="Q37" s="802">
        <v>0</v>
      </c>
      <c r="R37" s="802">
        <v>0</v>
      </c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/>
      <c r="BM37" s="260"/>
      <c r="BN37" s="260"/>
      <c r="BO37" s="260"/>
      <c r="BP37" s="260"/>
      <c r="BQ37" s="260"/>
      <c r="BR37" s="260"/>
      <c r="BS37" s="260"/>
      <c r="BT37" s="260"/>
      <c r="BU37" s="260"/>
      <c r="BV37" s="260"/>
      <c r="BW37" s="260"/>
      <c r="BX37" s="260"/>
      <c r="BY37" s="260"/>
      <c r="BZ37" s="260"/>
      <c r="CA37" s="260"/>
      <c r="CB37" s="260"/>
      <c r="CC37" s="260"/>
      <c r="CD37" s="260"/>
      <c r="CE37" s="260"/>
      <c r="CF37" s="260"/>
      <c r="CG37" s="260"/>
      <c r="CH37" s="260"/>
      <c r="CI37" s="260"/>
      <c r="CJ37" s="260"/>
      <c r="CK37" s="260"/>
      <c r="CL37" s="260"/>
      <c r="CM37" s="260"/>
      <c r="CN37" s="260"/>
      <c r="CO37" s="260"/>
      <c r="CP37" s="260"/>
      <c r="CQ37" s="260"/>
      <c r="CR37" s="260"/>
      <c r="CS37" s="260"/>
      <c r="CT37" s="260"/>
      <c r="CU37" s="260"/>
      <c r="CV37" s="260"/>
      <c r="CW37" s="260"/>
      <c r="CX37" s="260"/>
      <c r="CY37" s="260"/>
      <c r="CZ37" s="260"/>
      <c r="DA37" s="260"/>
      <c r="DB37" s="260"/>
      <c r="DC37" s="260"/>
      <c r="DD37" s="260"/>
      <c r="DE37" s="260"/>
      <c r="DF37" s="260"/>
      <c r="DG37" s="260"/>
      <c r="DH37" s="260"/>
      <c r="DI37" s="260"/>
      <c r="DJ37" s="260"/>
      <c r="DK37" s="260"/>
      <c r="DL37" s="260"/>
      <c r="DM37" s="260"/>
      <c r="DN37" s="260"/>
      <c r="DO37" s="260"/>
      <c r="DP37" s="260"/>
      <c r="DQ37" s="260"/>
      <c r="DR37" s="260"/>
      <c r="DS37" s="260"/>
      <c r="DT37" s="260"/>
      <c r="DU37" s="260"/>
      <c r="DV37" s="260"/>
      <c r="DW37" s="260"/>
      <c r="DX37" s="260"/>
      <c r="DY37" s="260"/>
      <c r="DZ37" s="260"/>
      <c r="EA37" s="260"/>
      <c r="EB37" s="260"/>
      <c r="EC37" s="260"/>
      <c r="ED37" s="260"/>
      <c r="EE37" s="260"/>
      <c r="EF37" s="260"/>
      <c r="EG37" s="260"/>
      <c r="EH37" s="260"/>
      <c r="EI37" s="260"/>
      <c r="EJ37" s="260"/>
      <c r="EK37" s="260"/>
      <c r="EL37" s="260"/>
      <c r="EM37" s="260"/>
      <c r="EN37" s="260"/>
      <c r="EO37" s="260"/>
      <c r="EP37" s="260"/>
      <c r="EQ37" s="260"/>
      <c r="ER37" s="260"/>
      <c r="ES37" s="260"/>
      <c r="ET37" s="260"/>
      <c r="EU37" s="260"/>
      <c r="EV37" s="260"/>
      <c r="EW37" s="260"/>
      <c r="EX37" s="260"/>
      <c r="EY37" s="260"/>
      <c r="EZ37" s="260"/>
      <c r="FA37" s="260"/>
      <c r="FB37" s="260"/>
      <c r="FC37" s="260"/>
      <c r="FD37" s="260"/>
      <c r="FE37" s="260"/>
      <c r="FF37" s="260"/>
      <c r="FG37" s="260"/>
      <c r="FH37" s="260"/>
      <c r="FI37" s="260"/>
      <c r="FJ37" s="260"/>
      <c r="FK37" s="260"/>
      <c r="FL37" s="260"/>
      <c r="FM37" s="260"/>
      <c r="FN37" s="260"/>
      <c r="FO37" s="260"/>
      <c r="FP37" s="260"/>
      <c r="FQ37" s="260"/>
      <c r="FR37" s="260"/>
      <c r="FS37" s="260"/>
      <c r="FT37" s="260"/>
      <c r="FU37" s="260"/>
      <c r="FV37" s="260"/>
      <c r="FW37" s="260"/>
      <c r="FX37" s="260"/>
      <c r="FY37" s="260"/>
      <c r="FZ37" s="260"/>
      <c r="GA37" s="260"/>
      <c r="GB37" s="260"/>
      <c r="GC37" s="260"/>
      <c r="GD37" s="260"/>
      <c r="GE37" s="260"/>
      <c r="GF37" s="260"/>
      <c r="GG37" s="260"/>
      <c r="GH37" s="260"/>
      <c r="GI37" s="260"/>
      <c r="GJ37" s="260"/>
      <c r="GK37" s="260"/>
      <c r="GL37" s="260"/>
      <c r="GM37" s="260"/>
      <c r="GN37" s="260"/>
      <c r="GO37" s="260"/>
      <c r="GP37" s="260"/>
      <c r="GQ37" s="260"/>
      <c r="GR37" s="260"/>
      <c r="GS37" s="260"/>
      <c r="GT37" s="260"/>
      <c r="GU37" s="260"/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</row>
    <row r="38" spans="1:239" s="288" customFormat="1" ht="17.399999999999999" customHeight="1">
      <c r="A38" s="799"/>
      <c r="B38" s="800"/>
      <c r="C38" s="800" t="s">
        <v>2733</v>
      </c>
      <c r="D38" s="801"/>
      <c r="E38" s="801"/>
      <c r="F38" s="797">
        <f t="shared" si="2"/>
        <v>0</v>
      </c>
      <c r="G38" s="802">
        <v>0</v>
      </c>
      <c r="H38" s="802">
        <v>0</v>
      </c>
      <c r="I38" s="802">
        <v>0</v>
      </c>
      <c r="J38" s="802"/>
      <c r="K38" s="802">
        <v>0</v>
      </c>
      <c r="L38" s="802">
        <v>0</v>
      </c>
      <c r="M38" s="802">
        <v>0</v>
      </c>
      <c r="N38" s="802">
        <v>0</v>
      </c>
      <c r="O38" s="802">
        <v>0</v>
      </c>
      <c r="P38" s="802">
        <v>0</v>
      </c>
      <c r="Q38" s="803">
        <v>0</v>
      </c>
      <c r="R38" s="802">
        <v>0</v>
      </c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/>
      <c r="BM38" s="260"/>
      <c r="BN38" s="260"/>
      <c r="BO38" s="260"/>
      <c r="BP38" s="260"/>
      <c r="BQ38" s="260"/>
      <c r="BR38" s="260"/>
      <c r="BS38" s="260"/>
      <c r="BT38" s="260"/>
      <c r="BU38" s="260"/>
      <c r="BV38" s="260"/>
      <c r="BW38" s="260"/>
      <c r="BX38" s="260"/>
      <c r="BY38" s="260"/>
      <c r="BZ38" s="260"/>
      <c r="CA38" s="260"/>
      <c r="CB38" s="260"/>
      <c r="CC38" s="260"/>
      <c r="CD38" s="260"/>
      <c r="CE38" s="260"/>
      <c r="CF38" s="260"/>
      <c r="CG38" s="260"/>
      <c r="CH38" s="260"/>
      <c r="CI38" s="260"/>
      <c r="CJ38" s="260"/>
      <c r="CK38" s="260"/>
      <c r="CL38" s="260"/>
      <c r="CM38" s="260"/>
      <c r="CN38" s="260"/>
      <c r="CO38" s="260"/>
      <c r="CP38" s="260"/>
      <c r="CQ38" s="260"/>
      <c r="CR38" s="260"/>
      <c r="CS38" s="260"/>
      <c r="CT38" s="260"/>
      <c r="CU38" s="260"/>
      <c r="CV38" s="260"/>
      <c r="CW38" s="260"/>
      <c r="CX38" s="260"/>
      <c r="CY38" s="260"/>
      <c r="CZ38" s="260"/>
      <c r="DA38" s="260"/>
      <c r="DB38" s="260"/>
      <c r="DC38" s="260"/>
      <c r="DD38" s="260"/>
      <c r="DE38" s="260"/>
      <c r="DF38" s="260"/>
      <c r="DG38" s="260"/>
      <c r="DH38" s="260"/>
      <c r="DI38" s="260"/>
      <c r="DJ38" s="260"/>
      <c r="DK38" s="260"/>
      <c r="DL38" s="260"/>
      <c r="DM38" s="260"/>
      <c r="DN38" s="260"/>
      <c r="DO38" s="260"/>
      <c r="DP38" s="260"/>
      <c r="DQ38" s="260"/>
      <c r="DR38" s="260"/>
      <c r="DS38" s="260"/>
      <c r="DT38" s="260"/>
      <c r="DU38" s="260"/>
      <c r="DV38" s="260"/>
      <c r="DW38" s="260"/>
      <c r="DX38" s="260"/>
      <c r="DY38" s="260"/>
      <c r="DZ38" s="260"/>
      <c r="EA38" s="260"/>
      <c r="EB38" s="260"/>
      <c r="EC38" s="260"/>
      <c r="ED38" s="260"/>
      <c r="EE38" s="260"/>
      <c r="EF38" s="260"/>
      <c r="EG38" s="260"/>
      <c r="EH38" s="260"/>
      <c r="EI38" s="260"/>
      <c r="EJ38" s="260"/>
      <c r="EK38" s="260"/>
      <c r="EL38" s="260"/>
      <c r="EM38" s="260"/>
      <c r="EN38" s="260"/>
      <c r="EO38" s="260"/>
      <c r="EP38" s="260"/>
      <c r="EQ38" s="260"/>
      <c r="ER38" s="260"/>
      <c r="ES38" s="260"/>
      <c r="ET38" s="260"/>
      <c r="EU38" s="260"/>
      <c r="EV38" s="260"/>
      <c r="EW38" s="260"/>
      <c r="EX38" s="260"/>
      <c r="EY38" s="260"/>
      <c r="EZ38" s="260"/>
      <c r="FA38" s="260"/>
      <c r="FB38" s="260"/>
      <c r="FC38" s="260"/>
      <c r="FD38" s="260"/>
      <c r="FE38" s="260"/>
      <c r="FF38" s="260"/>
      <c r="FG38" s="260"/>
      <c r="FH38" s="260"/>
      <c r="FI38" s="260"/>
      <c r="FJ38" s="260"/>
      <c r="FK38" s="260"/>
      <c r="FL38" s="260"/>
      <c r="FM38" s="260"/>
      <c r="FN38" s="260"/>
      <c r="FO38" s="260"/>
      <c r="FP38" s="260"/>
      <c r="FQ38" s="260"/>
      <c r="FR38" s="260"/>
      <c r="FS38" s="260"/>
      <c r="FT38" s="260"/>
      <c r="FU38" s="260"/>
      <c r="FV38" s="260"/>
      <c r="FW38" s="260"/>
      <c r="FX38" s="260"/>
      <c r="FY38" s="260"/>
      <c r="FZ38" s="260"/>
      <c r="GA38" s="260"/>
      <c r="GB38" s="260"/>
      <c r="GC38" s="260"/>
      <c r="GD38" s="260"/>
      <c r="GE38" s="260"/>
      <c r="GF38" s="260"/>
      <c r="GG38" s="260"/>
      <c r="GH38" s="260"/>
      <c r="GI38" s="260"/>
      <c r="GJ38" s="260"/>
      <c r="GK38" s="260"/>
      <c r="GL38" s="260"/>
      <c r="GM38" s="260"/>
      <c r="GN38" s="260"/>
      <c r="GO38" s="260"/>
      <c r="GP38" s="260"/>
      <c r="GQ38" s="260"/>
      <c r="GR38" s="260"/>
      <c r="GS38" s="260"/>
      <c r="GT38" s="260"/>
      <c r="GU38" s="260"/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</row>
    <row r="39" spans="1:239" s="288" customFormat="1" ht="26.4" customHeight="1">
      <c r="A39" s="289" t="s">
        <v>2730</v>
      </c>
      <c r="B39" s="290" t="s">
        <v>285</v>
      </c>
      <c r="C39" s="290" t="s">
        <v>2732</v>
      </c>
      <c r="D39" s="291" t="s">
        <v>303</v>
      </c>
      <c r="E39" s="291" t="s">
        <v>296</v>
      </c>
      <c r="F39" s="797">
        <f t="shared" si="2"/>
        <v>1773.7699999999998</v>
      </c>
      <c r="G39" s="298">
        <v>150.94</v>
      </c>
      <c r="H39" s="298">
        <v>153.08000000000001</v>
      </c>
      <c r="I39" s="298">
        <v>160.77000000000001</v>
      </c>
      <c r="J39" s="299">
        <v>0</v>
      </c>
      <c r="K39" s="298">
        <v>172.31</v>
      </c>
      <c r="L39" s="298">
        <v>155.4</v>
      </c>
      <c r="M39" s="298">
        <v>165.37</v>
      </c>
      <c r="N39" s="298">
        <v>164.75</v>
      </c>
      <c r="O39" s="298">
        <v>323.35000000000002</v>
      </c>
      <c r="P39" s="299">
        <v>0</v>
      </c>
      <c r="Q39" s="300">
        <v>161.74</v>
      </c>
      <c r="R39" s="298">
        <v>166.06</v>
      </c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/>
      <c r="BM39" s="260"/>
      <c r="BN39" s="260"/>
      <c r="BO39" s="260"/>
      <c r="BP39" s="260"/>
      <c r="BQ39" s="260"/>
      <c r="BR39" s="260"/>
      <c r="BS39" s="260"/>
      <c r="BT39" s="260"/>
      <c r="BU39" s="260"/>
      <c r="BV39" s="260"/>
      <c r="BW39" s="260"/>
      <c r="BX39" s="260"/>
      <c r="BY39" s="260"/>
      <c r="BZ39" s="260"/>
      <c r="CA39" s="260"/>
      <c r="CB39" s="260"/>
      <c r="CC39" s="260"/>
      <c r="CD39" s="260"/>
      <c r="CE39" s="260"/>
      <c r="CF39" s="260"/>
      <c r="CG39" s="260"/>
      <c r="CH39" s="260"/>
      <c r="CI39" s="260"/>
      <c r="CJ39" s="260"/>
      <c r="CK39" s="260"/>
      <c r="CL39" s="260"/>
      <c r="CM39" s="260"/>
      <c r="CN39" s="260"/>
      <c r="CO39" s="260"/>
      <c r="CP39" s="260"/>
      <c r="CQ39" s="260"/>
      <c r="CR39" s="260"/>
      <c r="CS39" s="260"/>
      <c r="CT39" s="260"/>
      <c r="CU39" s="260"/>
      <c r="CV39" s="260"/>
      <c r="CW39" s="260"/>
      <c r="CX39" s="260"/>
      <c r="CY39" s="260"/>
      <c r="CZ39" s="260"/>
      <c r="DA39" s="260"/>
      <c r="DB39" s="260"/>
      <c r="DC39" s="260"/>
      <c r="DD39" s="260"/>
      <c r="DE39" s="260"/>
      <c r="DF39" s="260"/>
      <c r="DG39" s="260"/>
      <c r="DH39" s="260"/>
      <c r="DI39" s="260"/>
      <c r="DJ39" s="260"/>
      <c r="DK39" s="260"/>
      <c r="DL39" s="260"/>
      <c r="DM39" s="260"/>
      <c r="DN39" s="260"/>
      <c r="DO39" s="260"/>
      <c r="DP39" s="260"/>
      <c r="DQ39" s="260"/>
      <c r="DR39" s="260"/>
      <c r="DS39" s="260"/>
      <c r="DT39" s="260"/>
      <c r="DU39" s="260"/>
      <c r="DV39" s="260"/>
      <c r="DW39" s="260"/>
      <c r="DX39" s="260"/>
      <c r="DY39" s="260"/>
      <c r="DZ39" s="260"/>
      <c r="EA39" s="260"/>
      <c r="EB39" s="260"/>
      <c r="EC39" s="260"/>
      <c r="ED39" s="260"/>
      <c r="EE39" s="260"/>
      <c r="EF39" s="260"/>
      <c r="EG39" s="260"/>
      <c r="EH39" s="260"/>
      <c r="EI39" s="260"/>
      <c r="EJ39" s="260"/>
      <c r="EK39" s="260"/>
      <c r="EL39" s="260"/>
      <c r="EM39" s="260"/>
      <c r="EN39" s="260"/>
      <c r="EO39" s="260"/>
      <c r="EP39" s="260"/>
      <c r="EQ39" s="260"/>
      <c r="ER39" s="260"/>
      <c r="ES39" s="260"/>
      <c r="ET39" s="260"/>
      <c r="EU39" s="260"/>
      <c r="EV39" s="260"/>
      <c r="EW39" s="260"/>
      <c r="EX39" s="260"/>
      <c r="EY39" s="260"/>
      <c r="EZ39" s="260"/>
      <c r="FA39" s="260"/>
      <c r="FB39" s="260"/>
      <c r="FC39" s="260"/>
      <c r="FD39" s="260"/>
      <c r="FE39" s="260"/>
      <c r="FF39" s="260"/>
      <c r="FG39" s="260"/>
      <c r="FH39" s="260"/>
      <c r="FI39" s="260"/>
      <c r="FJ39" s="260"/>
      <c r="FK39" s="260"/>
      <c r="FL39" s="260"/>
      <c r="FM39" s="260"/>
      <c r="FN39" s="260"/>
      <c r="FO39" s="260"/>
      <c r="FP39" s="260"/>
      <c r="FQ39" s="260"/>
      <c r="FR39" s="260"/>
      <c r="FS39" s="260"/>
      <c r="FT39" s="260"/>
      <c r="FU39" s="260"/>
      <c r="FV39" s="260"/>
      <c r="FW39" s="260"/>
      <c r="FX39" s="260"/>
      <c r="FY39" s="260"/>
      <c r="FZ39" s="260"/>
      <c r="GA39" s="260"/>
      <c r="GB39" s="260"/>
      <c r="GC39" s="260"/>
      <c r="GD39" s="260"/>
      <c r="GE39" s="260"/>
      <c r="GF39" s="260"/>
      <c r="GG39" s="260"/>
      <c r="GH39" s="260"/>
      <c r="GI39" s="260"/>
      <c r="GJ39" s="260"/>
      <c r="GK39" s="260"/>
      <c r="GL39" s="260"/>
      <c r="GM39" s="260"/>
      <c r="GN39" s="260"/>
      <c r="GO39" s="260"/>
      <c r="GP39" s="260"/>
      <c r="GQ39" s="260"/>
      <c r="GR39" s="260"/>
      <c r="GS39" s="260"/>
      <c r="GT39" s="260"/>
      <c r="GU39" s="260"/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</row>
    <row r="40" spans="1:239" s="288" customFormat="1" ht="26.4" customHeight="1">
      <c r="A40" s="289"/>
      <c r="B40" s="290"/>
      <c r="C40" s="290" t="s">
        <v>2733</v>
      </c>
      <c r="D40" s="291"/>
      <c r="E40" s="291"/>
      <c r="F40" s="797">
        <f t="shared" si="2"/>
        <v>0</v>
      </c>
      <c r="G40" s="298">
        <v>0</v>
      </c>
      <c r="H40" s="298">
        <v>0</v>
      </c>
      <c r="I40" s="298">
        <v>0</v>
      </c>
      <c r="J40" s="299"/>
      <c r="K40" s="298">
        <v>0</v>
      </c>
      <c r="L40" s="298">
        <v>0</v>
      </c>
      <c r="M40" s="298">
        <v>0</v>
      </c>
      <c r="N40" s="298">
        <v>0</v>
      </c>
      <c r="O40" s="298">
        <v>0</v>
      </c>
      <c r="P40" s="293">
        <v>0</v>
      </c>
      <c r="Q40" s="294">
        <v>0</v>
      </c>
      <c r="R40" s="293">
        <v>0</v>
      </c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/>
      <c r="BM40" s="260"/>
      <c r="BN40" s="260"/>
      <c r="BO40" s="260"/>
      <c r="BP40" s="260"/>
      <c r="BQ40" s="260"/>
      <c r="BR40" s="260"/>
      <c r="BS40" s="260"/>
      <c r="BT40" s="260"/>
      <c r="BU40" s="260"/>
      <c r="BV40" s="260"/>
      <c r="BW40" s="260"/>
      <c r="BX40" s="260"/>
      <c r="BY40" s="260"/>
      <c r="BZ40" s="260"/>
      <c r="CA40" s="260"/>
      <c r="CB40" s="260"/>
      <c r="CC40" s="260"/>
      <c r="CD40" s="260"/>
      <c r="CE40" s="260"/>
      <c r="CF40" s="260"/>
      <c r="CG40" s="260"/>
      <c r="CH40" s="260"/>
      <c r="CI40" s="260"/>
      <c r="CJ40" s="260"/>
      <c r="CK40" s="260"/>
      <c r="CL40" s="260"/>
      <c r="CM40" s="260"/>
      <c r="CN40" s="260"/>
      <c r="CO40" s="260"/>
      <c r="CP40" s="260"/>
      <c r="CQ40" s="260"/>
      <c r="CR40" s="260"/>
      <c r="CS40" s="260"/>
      <c r="CT40" s="260"/>
      <c r="CU40" s="260"/>
      <c r="CV40" s="260"/>
      <c r="CW40" s="260"/>
      <c r="CX40" s="260"/>
      <c r="CY40" s="260"/>
      <c r="CZ40" s="260"/>
      <c r="DA40" s="260"/>
      <c r="DB40" s="260"/>
      <c r="DC40" s="260"/>
      <c r="DD40" s="260"/>
      <c r="DE40" s="260"/>
      <c r="DF40" s="260"/>
      <c r="DG40" s="260"/>
      <c r="DH40" s="260"/>
      <c r="DI40" s="260"/>
      <c r="DJ40" s="260"/>
      <c r="DK40" s="260"/>
      <c r="DL40" s="260"/>
      <c r="DM40" s="260"/>
      <c r="DN40" s="260"/>
      <c r="DO40" s="260"/>
      <c r="DP40" s="260"/>
      <c r="DQ40" s="260"/>
      <c r="DR40" s="260"/>
      <c r="DS40" s="260"/>
      <c r="DT40" s="260"/>
      <c r="DU40" s="260"/>
      <c r="DV40" s="260"/>
      <c r="DW40" s="260"/>
      <c r="DX40" s="260"/>
      <c r="DY40" s="260"/>
      <c r="DZ40" s="260"/>
      <c r="EA40" s="260"/>
      <c r="EB40" s="260"/>
      <c r="EC40" s="260"/>
      <c r="ED40" s="260"/>
      <c r="EE40" s="260"/>
      <c r="EF40" s="260"/>
      <c r="EG40" s="260"/>
      <c r="EH40" s="260"/>
      <c r="EI40" s="260"/>
      <c r="EJ40" s="260"/>
      <c r="EK40" s="260"/>
      <c r="EL40" s="260"/>
      <c r="EM40" s="260"/>
      <c r="EN40" s="260"/>
      <c r="EO40" s="260"/>
      <c r="EP40" s="260"/>
      <c r="EQ40" s="260"/>
      <c r="ER40" s="260"/>
      <c r="ES40" s="260"/>
      <c r="ET40" s="260"/>
      <c r="EU40" s="260"/>
      <c r="EV40" s="260"/>
      <c r="EW40" s="260"/>
      <c r="EX40" s="260"/>
      <c r="EY40" s="260"/>
      <c r="EZ40" s="260"/>
      <c r="FA40" s="260"/>
      <c r="FB40" s="260"/>
      <c r="FC40" s="260"/>
      <c r="FD40" s="260"/>
      <c r="FE40" s="260"/>
      <c r="FF40" s="260"/>
      <c r="FG40" s="260"/>
      <c r="FH40" s="260"/>
      <c r="FI40" s="260"/>
      <c r="FJ40" s="260"/>
      <c r="FK40" s="260"/>
      <c r="FL40" s="260"/>
      <c r="FM40" s="260"/>
      <c r="FN40" s="260"/>
      <c r="FO40" s="260"/>
      <c r="FP40" s="260"/>
      <c r="FQ40" s="260"/>
      <c r="FR40" s="260"/>
      <c r="FS40" s="260"/>
      <c r="FT40" s="260"/>
      <c r="FU40" s="260"/>
      <c r="FV40" s="260"/>
      <c r="FW40" s="260"/>
      <c r="FX40" s="260"/>
      <c r="FY40" s="260"/>
      <c r="FZ40" s="260"/>
      <c r="GA40" s="260"/>
      <c r="GB40" s="260"/>
      <c r="GC40" s="260"/>
      <c r="GD40" s="260"/>
      <c r="GE40" s="260"/>
      <c r="GF40" s="260"/>
      <c r="GG40" s="260"/>
      <c r="GH40" s="260"/>
      <c r="GI40" s="260"/>
      <c r="GJ40" s="260"/>
      <c r="GK40" s="260"/>
      <c r="GL40" s="260"/>
      <c r="GM40" s="260"/>
      <c r="GN40" s="260"/>
      <c r="GO40" s="260"/>
      <c r="GP40" s="260"/>
      <c r="GQ40" s="260"/>
      <c r="GR40" s="260"/>
      <c r="GS40" s="260"/>
      <c r="GT40" s="260"/>
      <c r="GU40" s="260"/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</row>
    <row r="41" spans="1:239" s="288" customFormat="1" ht="26.4" customHeight="1">
      <c r="A41" s="289" t="s">
        <v>2731</v>
      </c>
      <c r="B41" s="290" t="s">
        <v>285</v>
      </c>
      <c r="C41" s="290" t="s">
        <v>2732</v>
      </c>
      <c r="D41" s="291" t="s">
        <v>303</v>
      </c>
      <c r="E41" s="291" t="s">
        <v>296</v>
      </c>
      <c r="F41" s="797">
        <f t="shared" si="2"/>
        <v>3000.91</v>
      </c>
      <c r="G41" s="298">
        <v>144.18</v>
      </c>
      <c r="H41" s="298">
        <v>315.32</v>
      </c>
      <c r="I41" s="298">
        <v>294.42</v>
      </c>
      <c r="J41" s="298">
        <v>149.94999999999999</v>
      </c>
      <c r="K41" s="298">
        <v>294.18</v>
      </c>
      <c r="L41" s="298">
        <v>285.58</v>
      </c>
      <c r="M41" s="298">
        <v>308.31</v>
      </c>
      <c r="N41" s="298">
        <v>310.8</v>
      </c>
      <c r="O41" s="298">
        <v>298.04000000000002</v>
      </c>
      <c r="P41" s="298">
        <v>148.44999999999999</v>
      </c>
      <c r="Q41" s="300">
        <v>152.77000000000001</v>
      </c>
      <c r="R41" s="298">
        <v>298.91000000000003</v>
      </c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/>
      <c r="BL41" s="260"/>
      <c r="BM41" s="260"/>
      <c r="BN41" s="260"/>
      <c r="BO41" s="260"/>
      <c r="BP41" s="260"/>
      <c r="BQ41" s="260"/>
      <c r="BR41" s="260"/>
      <c r="BS41" s="260"/>
      <c r="BT41" s="260"/>
      <c r="BU41" s="260"/>
      <c r="BV41" s="260"/>
      <c r="BW41" s="260"/>
      <c r="BX41" s="260"/>
      <c r="BY41" s="260"/>
      <c r="BZ41" s="260"/>
      <c r="CA41" s="260"/>
      <c r="CB41" s="260"/>
      <c r="CC41" s="260"/>
      <c r="CD41" s="260"/>
      <c r="CE41" s="260"/>
      <c r="CF41" s="260"/>
      <c r="CG41" s="260"/>
      <c r="CH41" s="260"/>
      <c r="CI41" s="260"/>
      <c r="CJ41" s="260"/>
      <c r="CK41" s="260"/>
      <c r="CL41" s="260"/>
      <c r="CM41" s="260"/>
      <c r="CN41" s="260"/>
      <c r="CO41" s="260"/>
      <c r="CP41" s="260"/>
      <c r="CQ41" s="260"/>
      <c r="CR41" s="260"/>
      <c r="CS41" s="260"/>
      <c r="CT41" s="260"/>
      <c r="CU41" s="260"/>
      <c r="CV41" s="260"/>
      <c r="CW41" s="260"/>
      <c r="CX41" s="260"/>
      <c r="CY41" s="260"/>
      <c r="CZ41" s="260"/>
      <c r="DA41" s="260"/>
      <c r="DB41" s="260"/>
      <c r="DC41" s="260"/>
      <c r="DD41" s="260"/>
      <c r="DE41" s="260"/>
      <c r="DF41" s="260"/>
      <c r="DG41" s="260"/>
      <c r="DH41" s="260"/>
      <c r="DI41" s="260"/>
      <c r="DJ41" s="260"/>
      <c r="DK41" s="260"/>
      <c r="DL41" s="260"/>
      <c r="DM41" s="260"/>
      <c r="DN41" s="260"/>
      <c r="DO41" s="260"/>
      <c r="DP41" s="260"/>
      <c r="DQ41" s="260"/>
      <c r="DR41" s="260"/>
      <c r="DS41" s="260"/>
      <c r="DT41" s="260"/>
      <c r="DU41" s="260"/>
      <c r="DV41" s="260"/>
      <c r="DW41" s="260"/>
      <c r="DX41" s="260"/>
      <c r="DY41" s="260"/>
      <c r="DZ41" s="260"/>
      <c r="EA41" s="260"/>
      <c r="EB41" s="260"/>
      <c r="EC41" s="260"/>
      <c r="ED41" s="260"/>
      <c r="EE41" s="260"/>
      <c r="EF41" s="260"/>
      <c r="EG41" s="260"/>
      <c r="EH41" s="260"/>
      <c r="EI41" s="260"/>
      <c r="EJ41" s="260"/>
      <c r="EK41" s="260"/>
      <c r="EL41" s="260"/>
      <c r="EM41" s="260"/>
      <c r="EN41" s="260"/>
      <c r="EO41" s="260"/>
      <c r="EP41" s="260"/>
      <c r="EQ41" s="260"/>
      <c r="ER41" s="260"/>
      <c r="ES41" s="260"/>
      <c r="ET41" s="260"/>
      <c r="EU41" s="260"/>
      <c r="EV41" s="260"/>
      <c r="EW41" s="260"/>
      <c r="EX41" s="260"/>
      <c r="EY41" s="260"/>
      <c r="EZ41" s="260"/>
      <c r="FA41" s="260"/>
      <c r="FB41" s="260"/>
      <c r="FC41" s="260"/>
      <c r="FD41" s="260"/>
      <c r="FE41" s="260"/>
      <c r="FF41" s="260"/>
      <c r="FG41" s="260"/>
      <c r="FH41" s="260"/>
      <c r="FI41" s="260"/>
      <c r="FJ41" s="260"/>
      <c r="FK41" s="260"/>
      <c r="FL41" s="260"/>
      <c r="FM41" s="260"/>
      <c r="FN41" s="260"/>
      <c r="FO41" s="260"/>
      <c r="FP41" s="260"/>
      <c r="FQ41" s="260"/>
      <c r="FR41" s="260"/>
      <c r="FS41" s="260"/>
      <c r="FT41" s="260"/>
      <c r="FU41" s="260"/>
      <c r="FV41" s="260"/>
      <c r="FW41" s="260"/>
      <c r="FX41" s="260"/>
      <c r="FY41" s="260"/>
      <c r="FZ41" s="260"/>
      <c r="GA41" s="260"/>
      <c r="GB41" s="260"/>
      <c r="GC41" s="260"/>
      <c r="GD41" s="260"/>
      <c r="GE41" s="260"/>
      <c r="GF41" s="260"/>
      <c r="GG41" s="260"/>
      <c r="GH41" s="260"/>
      <c r="GI41" s="260"/>
      <c r="GJ41" s="260"/>
      <c r="GK41" s="260"/>
      <c r="GL41" s="260"/>
      <c r="GM41" s="260"/>
      <c r="GN41" s="260"/>
      <c r="GO41" s="260"/>
      <c r="GP41" s="260"/>
      <c r="GQ41" s="260"/>
      <c r="GR41" s="260"/>
      <c r="GS41" s="260"/>
      <c r="GT41" s="260"/>
      <c r="GU41" s="260"/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</row>
    <row r="42" spans="1:239" s="288" customFormat="1" ht="26.4" customHeight="1">
      <c r="A42" s="289"/>
      <c r="B42" s="290"/>
      <c r="C42" s="290" t="s">
        <v>2733</v>
      </c>
      <c r="D42" s="291"/>
      <c r="E42" s="291"/>
      <c r="F42" s="797">
        <f t="shared" si="2"/>
        <v>0</v>
      </c>
      <c r="G42" s="298">
        <v>0</v>
      </c>
      <c r="H42" s="298">
        <v>0</v>
      </c>
      <c r="I42" s="298">
        <v>0</v>
      </c>
      <c r="J42" s="298">
        <v>0</v>
      </c>
      <c r="K42" s="298">
        <v>0</v>
      </c>
      <c r="L42" s="298">
        <v>0</v>
      </c>
      <c r="M42" s="298">
        <v>0</v>
      </c>
      <c r="N42" s="298">
        <v>0</v>
      </c>
      <c r="O42" s="298">
        <v>0</v>
      </c>
      <c r="P42" s="293">
        <v>0</v>
      </c>
      <c r="Q42" s="294">
        <v>0</v>
      </c>
      <c r="R42" s="293">
        <v>0</v>
      </c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260"/>
      <c r="BZ42" s="260"/>
      <c r="CA42" s="260"/>
      <c r="CB42" s="260"/>
      <c r="CC42" s="260"/>
      <c r="CD42" s="260"/>
      <c r="CE42" s="260"/>
      <c r="CF42" s="260"/>
      <c r="CG42" s="260"/>
      <c r="CH42" s="260"/>
      <c r="CI42" s="260"/>
      <c r="CJ42" s="260"/>
      <c r="CK42" s="260"/>
      <c r="CL42" s="260"/>
      <c r="CM42" s="260"/>
      <c r="CN42" s="260"/>
      <c r="CO42" s="260"/>
      <c r="CP42" s="260"/>
      <c r="CQ42" s="260"/>
      <c r="CR42" s="260"/>
      <c r="CS42" s="260"/>
      <c r="CT42" s="260"/>
      <c r="CU42" s="260"/>
      <c r="CV42" s="260"/>
      <c r="CW42" s="260"/>
      <c r="CX42" s="260"/>
      <c r="CY42" s="260"/>
      <c r="CZ42" s="260"/>
      <c r="DA42" s="260"/>
      <c r="DB42" s="260"/>
      <c r="DC42" s="260"/>
      <c r="DD42" s="260"/>
      <c r="DE42" s="260"/>
      <c r="DF42" s="260"/>
      <c r="DG42" s="260"/>
      <c r="DH42" s="260"/>
      <c r="DI42" s="260"/>
      <c r="DJ42" s="260"/>
      <c r="DK42" s="260"/>
      <c r="DL42" s="260"/>
      <c r="DM42" s="260"/>
      <c r="DN42" s="260"/>
      <c r="DO42" s="260"/>
      <c r="DP42" s="260"/>
      <c r="DQ42" s="260"/>
      <c r="DR42" s="260"/>
      <c r="DS42" s="260"/>
      <c r="DT42" s="260"/>
      <c r="DU42" s="260"/>
      <c r="DV42" s="260"/>
      <c r="DW42" s="260"/>
      <c r="DX42" s="260"/>
      <c r="DY42" s="260"/>
      <c r="DZ42" s="260"/>
      <c r="EA42" s="260"/>
      <c r="EB42" s="260"/>
      <c r="EC42" s="260"/>
      <c r="ED42" s="260"/>
      <c r="EE42" s="260"/>
      <c r="EF42" s="260"/>
      <c r="EG42" s="260"/>
      <c r="EH42" s="260"/>
      <c r="EI42" s="260"/>
      <c r="EJ42" s="260"/>
      <c r="EK42" s="260"/>
      <c r="EL42" s="260"/>
      <c r="EM42" s="260"/>
      <c r="EN42" s="260"/>
      <c r="EO42" s="260"/>
      <c r="EP42" s="260"/>
      <c r="EQ42" s="260"/>
      <c r="ER42" s="260"/>
      <c r="ES42" s="260"/>
      <c r="ET42" s="260"/>
      <c r="EU42" s="260"/>
      <c r="EV42" s="260"/>
      <c r="EW42" s="260"/>
      <c r="EX42" s="260"/>
      <c r="EY42" s="260"/>
      <c r="EZ42" s="260"/>
      <c r="FA42" s="260"/>
      <c r="FB42" s="260"/>
      <c r="FC42" s="260"/>
      <c r="FD42" s="260"/>
      <c r="FE42" s="260"/>
      <c r="FF42" s="260"/>
      <c r="FG42" s="260"/>
      <c r="FH42" s="260"/>
      <c r="FI42" s="260"/>
      <c r="FJ42" s="260"/>
      <c r="FK42" s="260"/>
      <c r="FL42" s="260"/>
      <c r="FM42" s="260"/>
      <c r="FN42" s="260"/>
      <c r="FO42" s="260"/>
      <c r="FP42" s="260"/>
      <c r="FQ42" s="260"/>
      <c r="FR42" s="260"/>
      <c r="FS42" s="260"/>
      <c r="FT42" s="260"/>
      <c r="FU42" s="260"/>
      <c r="FV42" s="260"/>
      <c r="FW42" s="260"/>
      <c r="FX42" s="260"/>
      <c r="FY42" s="260"/>
      <c r="FZ42" s="260"/>
      <c r="GA42" s="260"/>
      <c r="GB42" s="260"/>
      <c r="GC42" s="260"/>
      <c r="GD42" s="260"/>
      <c r="GE42" s="260"/>
      <c r="GF42" s="260"/>
      <c r="GG42" s="260"/>
      <c r="GH42" s="260"/>
      <c r="GI42" s="260"/>
      <c r="GJ42" s="260"/>
      <c r="GK42" s="260"/>
      <c r="GL42" s="260"/>
      <c r="GM42" s="260"/>
      <c r="GN42" s="260"/>
      <c r="GO42" s="260"/>
      <c r="GP42" s="260"/>
      <c r="GQ42" s="260"/>
      <c r="GR42" s="260"/>
      <c r="GS42" s="260"/>
      <c r="GT42" s="260"/>
      <c r="GU42" s="260"/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</row>
    <row r="43" spans="1:239" s="288" customFormat="1" ht="23.4" customHeight="1">
      <c r="A43" s="539" t="s">
        <v>2751</v>
      </c>
      <c r="B43" s="540"/>
      <c r="C43" s="540"/>
      <c r="D43" s="541" t="s">
        <v>283</v>
      </c>
      <c r="E43" s="449" t="s">
        <v>296</v>
      </c>
      <c r="F43" s="542">
        <f>F45+F47+F49+F51+F53+F55</f>
        <v>4190.03</v>
      </c>
      <c r="G43" s="295"/>
      <c r="H43" s="295"/>
      <c r="I43" s="295"/>
      <c r="J43" s="295"/>
      <c r="K43" s="295"/>
      <c r="L43" s="295"/>
      <c r="M43" s="295"/>
      <c r="N43" s="295"/>
      <c r="O43" s="295"/>
      <c r="P43" s="293"/>
      <c r="Q43" s="294"/>
      <c r="R43" s="293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</row>
    <row r="44" spans="1:239" s="288" customFormat="1" ht="23.4" customHeight="1">
      <c r="A44" s="539" t="s">
        <v>2752</v>
      </c>
      <c r="B44" s="540"/>
      <c r="C44" s="540"/>
      <c r="D44" s="541" t="s">
        <v>283</v>
      </c>
      <c r="E44" s="449" t="s">
        <v>296</v>
      </c>
      <c r="F44" s="542">
        <f>F46+F48+F50+F52+F54+F56</f>
        <v>151.09</v>
      </c>
      <c r="G44" s="295"/>
      <c r="H44" s="295"/>
      <c r="I44" s="295"/>
      <c r="J44" s="295"/>
      <c r="K44" s="295"/>
      <c r="L44" s="295"/>
      <c r="M44" s="295"/>
      <c r="N44" s="295"/>
      <c r="O44" s="295"/>
      <c r="P44" s="293"/>
      <c r="Q44" s="294"/>
      <c r="R44" s="293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/>
      <c r="BM44" s="260"/>
      <c r="BN44" s="260"/>
      <c r="BO44" s="260"/>
      <c r="BP44" s="260"/>
      <c r="BQ44" s="260"/>
      <c r="BR44" s="260"/>
      <c r="BS44" s="260"/>
      <c r="BT44" s="260"/>
      <c r="BU44" s="260"/>
      <c r="BV44" s="260"/>
      <c r="BW44" s="260"/>
      <c r="BX44" s="260"/>
      <c r="BY44" s="260"/>
      <c r="BZ44" s="260"/>
      <c r="CA44" s="260"/>
      <c r="CB44" s="260"/>
      <c r="CC44" s="260"/>
      <c r="CD44" s="260"/>
      <c r="CE44" s="260"/>
      <c r="CF44" s="260"/>
      <c r="CG44" s="260"/>
      <c r="CH44" s="260"/>
      <c r="CI44" s="260"/>
      <c r="CJ44" s="260"/>
      <c r="CK44" s="260"/>
      <c r="CL44" s="260"/>
      <c r="CM44" s="260"/>
      <c r="CN44" s="260"/>
      <c r="CO44" s="260"/>
      <c r="CP44" s="260"/>
      <c r="CQ44" s="260"/>
      <c r="CR44" s="260"/>
      <c r="CS44" s="260"/>
      <c r="CT44" s="260"/>
      <c r="CU44" s="260"/>
      <c r="CV44" s="260"/>
      <c r="CW44" s="260"/>
      <c r="CX44" s="260"/>
      <c r="CY44" s="260"/>
      <c r="CZ44" s="260"/>
      <c r="DA44" s="260"/>
      <c r="DB44" s="260"/>
      <c r="DC44" s="260"/>
      <c r="DD44" s="260"/>
      <c r="DE44" s="260"/>
      <c r="DF44" s="260"/>
      <c r="DG44" s="260"/>
      <c r="DH44" s="260"/>
      <c r="DI44" s="260"/>
      <c r="DJ44" s="260"/>
      <c r="DK44" s="260"/>
      <c r="DL44" s="260"/>
      <c r="DM44" s="260"/>
      <c r="DN44" s="260"/>
      <c r="DO44" s="260"/>
      <c r="DP44" s="260"/>
      <c r="DQ44" s="260"/>
      <c r="DR44" s="260"/>
      <c r="DS44" s="260"/>
      <c r="DT44" s="260"/>
      <c r="DU44" s="260"/>
      <c r="DV44" s="260"/>
      <c r="DW44" s="260"/>
      <c r="DX44" s="260"/>
      <c r="DY44" s="260"/>
      <c r="DZ44" s="260"/>
      <c r="EA44" s="260"/>
      <c r="EB44" s="260"/>
      <c r="EC44" s="260"/>
      <c r="ED44" s="260"/>
      <c r="EE44" s="260"/>
      <c r="EF44" s="260"/>
      <c r="EG44" s="260"/>
      <c r="EH44" s="260"/>
      <c r="EI44" s="260"/>
      <c r="EJ44" s="260"/>
      <c r="EK44" s="260"/>
      <c r="EL44" s="260"/>
      <c r="EM44" s="260"/>
      <c r="EN44" s="260"/>
      <c r="EO44" s="260"/>
      <c r="EP44" s="260"/>
      <c r="EQ44" s="260"/>
      <c r="ER44" s="260"/>
      <c r="ES44" s="260"/>
      <c r="ET44" s="260"/>
      <c r="EU44" s="260"/>
      <c r="EV44" s="260"/>
      <c r="EW44" s="260"/>
      <c r="EX44" s="260"/>
      <c r="EY44" s="260"/>
      <c r="EZ44" s="260"/>
      <c r="FA44" s="260"/>
      <c r="FB44" s="260"/>
      <c r="FC44" s="260"/>
      <c r="FD44" s="260"/>
      <c r="FE44" s="260"/>
      <c r="FF44" s="260"/>
      <c r="FG44" s="260"/>
      <c r="FH44" s="260"/>
      <c r="FI44" s="260"/>
      <c r="FJ44" s="260"/>
      <c r="FK44" s="260"/>
      <c r="FL44" s="260"/>
      <c r="FM44" s="260"/>
      <c r="FN44" s="260"/>
      <c r="FO44" s="260"/>
      <c r="FP44" s="260"/>
      <c r="FQ44" s="260"/>
      <c r="FR44" s="260"/>
      <c r="FS44" s="260"/>
      <c r="FT44" s="260"/>
      <c r="FU44" s="260"/>
      <c r="FV44" s="260"/>
      <c r="FW44" s="260"/>
      <c r="FX44" s="260"/>
      <c r="FY44" s="260"/>
      <c r="FZ44" s="260"/>
      <c r="GA44" s="260"/>
      <c r="GB44" s="260"/>
      <c r="GC44" s="260"/>
      <c r="GD44" s="260"/>
      <c r="GE44" s="260"/>
      <c r="GF44" s="260"/>
      <c r="GG44" s="260"/>
      <c r="GH44" s="260"/>
      <c r="GI44" s="260"/>
      <c r="GJ44" s="260"/>
      <c r="GK44" s="260"/>
      <c r="GL44" s="260"/>
      <c r="GM44" s="260"/>
      <c r="GN44" s="260"/>
      <c r="GO44" s="260"/>
      <c r="GP44" s="260"/>
      <c r="GQ44" s="260"/>
      <c r="GR44" s="260"/>
      <c r="GS44" s="260"/>
      <c r="GT44" s="260"/>
      <c r="GU44" s="260"/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</row>
    <row r="45" spans="1:239" s="288" customFormat="1" ht="17.399999999999999" customHeight="1">
      <c r="A45" s="289" t="s">
        <v>297</v>
      </c>
      <c r="B45" s="290" t="s">
        <v>285</v>
      </c>
      <c r="C45" s="290" t="s">
        <v>2734</v>
      </c>
      <c r="D45" s="291" t="s">
        <v>286</v>
      </c>
      <c r="E45" s="291" t="s">
        <v>273</v>
      </c>
      <c r="F45" s="798">
        <f>SUM(G45:R45)</f>
        <v>723.95999999999992</v>
      </c>
      <c r="G45" s="293">
        <v>188.77</v>
      </c>
      <c r="H45" s="293">
        <v>270.87</v>
      </c>
      <c r="I45" s="293">
        <v>210.78</v>
      </c>
      <c r="J45" s="293">
        <v>53.54</v>
      </c>
      <c r="K45" s="293">
        <v>0</v>
      </c>
      <c r="L45" s="293">
        <v>0</v>
      </c>
      <c r="M45" s="293">
        <v>0</v>
      </c>
      <c r="N45" s="293">
        <v>0</v>
      </c>
      <c r="O45" s="293">
        <v>0</v>
      </c>
      <c r="P45" s="293">
        <v>0</v>
      </c>
      <c r="Q45" s="294">
        <v>0</v>
      </c>
      <c r="R45" s="293">
        <v>0</v>
      </c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260"/>
      <c r="CA45" s="260"/>
      <c r="CB45" s="260"/>
      <c r="CC45" s="260"/>
      <c r="CD45" s="260"/>
      <c r="CE45" s="260"/>
      <c r="CF45" s="260"/>
      <c r="CG45" s="260"/>
      <c r="CH45" s="260"/>
      <c r="CI45" s="260"/>
      <c r="CJ45" s="260"/>
      <c r="CK45" s="260"/>
      <c r="CL45" s="260"/>
      <c r="CM45" s="260"/>
      <c r="CN45" s="260"/>
      <c r="CO45" s="260"/>
      <c r="CP45" s="260"/>
      <c r="CQ45" s="260"/>
      <c r="CR45" s="260"/>
      <c r="CS45" s="260"/>
      <c r="CT45" s="260"/>
      <c r="CU45" s="260"/>
      <c r="CV45" s="260"/>
      <c r="CW45" s="260"/>
      <c r="CX45" s="260"/>
      <c r="CY45" s="260"/>
      <c r="CZ45" s="260"/>
      <c r="DA45" s="260"/>
      <c r="DB45" s="260"/>
      <c r="DC45" s="260"/>
      <c r="DD45" s="260"/>
      <c r="DE45" s="260"/>
      <c r="DF45" s="260"/>
      <c r="DG45" s="260"/>
      <c r="DH45" s="260"/>
      <c r="DI45" s="260"/>
      <c r="DJ45" s="260"/>
      <c r="DK45" s="260"/>
      <c r="DL45" s="260"/>
      <c r="DM45" s="260"/>
      <c r="DN45" s="260"/>
      <c r="DO45" s="260"/>
      <c r="DP45" s="260"/>
      <c r="DQ45" s="260"/>
      <c r="DR45" s="260"/>
      <c r="DS45" s="260"/>
      <c r="DT45" s="260"/>
      <c r="DU45" s="260"/>
      <c r="DV45" s="260"/>
      <c r="DW45" s="260"/>
      <c r="DX45" s="260"/>
      <c r="DY45" s="260"/>
      <c r="DZ45" s="260"/>
      <c r="EA45" s="260"/>
      <c r="EB45" s="260"/>
      <c r="EC45" s="260"/>
      <c r="ED45" s="260"/>
      <c r="EE45" s="260"/>
      <c r="EF45" s="260"/>
      <c r="EG45" s="260"/>
      <c r="EH45" s="260"/>
      <c r="EI45" s="260"/>
      <c r="EJ45" s="260"/>
      <c r="EK45" s="260"/>
      <c r="EL45" s="260"/>
      <c r="EM45" s="260"/>
      <c r="EN45" s="260"/>
      <c r="EO45" s="260"/>
      <c r="EP45" s="260"/>
      <c r="EQ45" s="260"/>
      <c r="ER45" s="260"/>
      <c r="ES45" s="260"/>
      <c r="ET45" s="260"/>
      <c r="EU45" s="260"/>
      <c r="EV45" s="260"/>
      <c r="EW45" s="260"/>
      <c r="EX45" s="260"/>
      <c r="EY45" s="260"/>
      <c r="EZ45" s="260"/>
      <c r="FA45" s="260"/>
      <c r="FB45" s="260"/>
      <c r="FC45" s="260"/>
      <c r="FD45" s="260"/>
      <c r="FE45" s="260"/>
      <c r="FF45" s="260"/>
      <c r="FG45" s="260"/>
      <c r="FH45" s="260"/>
      <c r="FI45" s="260"/>
      <c r="FJ45" s="260"/>
      <c r="FK45" s="260"/>
      <c r="FL45" s="260"/>
      <c r="FM45" s="260"/>
      <c r="FN45" s="260"/>
      <c r="FO45" s="260"/>
      <c r="FP45" s="260"/>
      <c r="FQ45" s="260"/>
      <c r="FR45" s="260"/>
      <c r="FS45" s="260"/>
      <c r="FT45" s="260"/>
      <c r="FU45" s="260"/>
      <c r="FV45" s="260"/>
      <c r="FW45" s="260"/>
      <c r="FX45" s="260"/>
      <c r="FY45" s="260"/>
      <c r="FZ45" s="260"/>
      <c r="GA45" s="260"/>
      <c r="GB45" s="260"/>
      <c r="GC45" s="260"/>
      <c r="GD45" s="260"/>
      <c r="GE45" s="260"/>
      <c r="GF45" s="260"/>
      <c r="GG45" s="260"/>
      <c r="GH45" s="260"/>
      <c r="GI45" s="260"/>
      <c r="GJ45" s="260"/>
      <c r="GK45" s="260"/>
      <c r="GL45" s="260"/>
      <c r="GM45" s="260"/>
      <c r="GN45" s="260"/>
      <c r="GO45" s="260"/>
      <c r="GP45" s="260"/>
      <c r="GQ45" s="260"/>
      <c r="GR45" s="260"/>
      <c r="GS45" s="260"/>
      <c r="GT45" s="260"/>
      <c r="GU45" s="260"/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</row>
    <row r="46" spans="1:239" s="288" customFormat="1" ht="17.399999999999999" customHeight="1">
      <c r="A46" s="289"/>
      <c r="B46" s="290"/>
      <c r="C46" s="290" t="s">
        <v>2735</v>
      </c>
      <c r="D46" s="291"/>
      <c r="E46" s="291"/>
      <c r="F46" s="798">
        <f t="shared" ref="F46:F58" si="3">SUM(G46:R46)</f>
        <v>151.09</v>
      </c>
      <c r="G46" s="293">
        <v>119.71</v>
      </c>
      <c r="H46" s="293">
        <v>31.38</v>
      </c>
      <c r="I46" s="293">
        <v>0</v>
      </c>
      <c r="J46" s="293">
        <v>0</v>
      </c>
      <c r="K46" s="293">
        <v>0</v>
      </c>
      <c r="L46" s="293">
        <v>0</v>
      </c>
      <c r="M46" s="293">
        <v>0</v>
      </c>
      <c r="N46" s="293"/>
      <c r="O46" s="293">
        <v>0</v>
      </c>
      <c r="P46" s="293">
        <v>0</v>
      </c>
      <c r="Q46" s="294">
        <v>0</v>
      </c>
      <c r="R46" s="293">
        <v>0</v>
      </c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260"/>
      <c r="CA46" s="260"/>
      <c r="CB46" s="260"/>
      <c r="CC46" s="260"/>
      <c r="CD46" s="260"/>
      <c r="CE46" s="260"/>
      <c r="CF46" s="260"/>
      <c r="CG46" s="260"/>
      <c r="CH46" s="260"/>
      <c r="CI46" s="260"/>
      <c r="CJ46" s="260"/>
      <c r="CK46" s="260"/>
      <c r="CL46" s="260"/>
      <c r="CM46" s="260"/>
      <c r="CN46" s="260"/>
      <c r="CO46" s="260"/>
      <c r="CP46" s="260"/>
      <c r="CQ46" s="260"/>
      <c r="CR46" s="260"/>
      <c r="CS46" s="260"/>
      <c r="CT46" s="260"/>
      <c r="CU46" s="260"/>
      <c r="CV46" s="260"/>
      <c r="CW46" s="260"/>
      <c r="CX46" s="260"/>
      <c r="CY46" s="260"/>
      <c r="CZ46" s="260"/>
      <c r="DA46" s="260"/>
      <c r="DB46" s="260"/>
      <c r="DC46" s="260"/>
      <c r="DD46" s="260"/>
      <c r="DE46" s="260"/>
      <c r="DF46" s="260"/>
      <c r="DG46" s="260"/>
      <c r="DH46" s="260"/>
      <c r="DI46" s="260"/>
      <c r="DJ46" s="260"/>
      <c r="DK46" s="260"/>
      <c r="DL46" s="260"/>
      <c r="DM46" s="260"/>
      <c r="DN46" s="260"/>
      <c r="DO46" s="260"/>
      <c r="DP46" s="260"/>
      <c r="DQ46" s="260"/>
      <c r="DR46" s="260"/>
      <c r="DS46" s="260"/>
      <c r="DT46" s="260"/>
      <c r="DU46" s="260"/>
      <c r="DV46" s="260"/>
      <c r="DW46" s="260"/>
      <c r="DX46" s="260"/>
      <c r="DY46" s="260"/>
      <c r="DZ46" s="260"/>
      <c r="EA46" s="260"/>
      <c r="EB46" s="260"/>
      <c r="EC46" s="260"/>
      <c r="ED46" s="260"/>
      <c r="EE46" s="260"/>
      <c r="EF46" s="260"/>
      <c r="EG46" s="260"/>
      <c r="EH46" s="260"/>
      <c r="EI46" s="260"/>
      <c r="EJ46" s="260"/>
      <c r="EK46" s="260"/>
      <c r="EL46" s="260"/>
      <c r="EM46" s="260"/>
      <c r="EN46" s="260"/>
      <c r="EO46" s="260"/>
      <c r="EP46" s="260"/>
      <c r="EQ46" s="260"/>
      <c r="ER46" s="260"/>
      <c r="ES46" s="260"/>
      <c r="ET46" s="260"/>
      <c r="EU46" s="260"/>
      <c r="EV46" s="260"/>
      <c r="EW46" s="260"/>
      <c r="EX46" s="260"/>
      <c r="EY46" s="260"/>
      <c r="EZ46" s="260"/>
      <c r="FA46" s="260"/>
      <c r="FB46" s="260"/>
      <c r="FC46" s="260"/>
      <c r="FD46" s="260"/>
      <c r="FE46" s="260"/>
      <c r="FF46" s="260"/>
      <c r="FG46" s="260"/>
      <c r="FH46" s="260"/>
      <c r="FI46" s="260"/>
      <c r="FJ46" s="260"/>
      <c r="FK46" s="260"/>
      <c r="FL46" s="260"/>
      <c r="FM46" s="260"/>
      <c r="FN46" s="260"/>
      <c r="FO46" s="260"/>
      <c r="FP46" s="260"/>
      <c r="FQ46" s="260"/>
      <c r="FR46" s="260"/>
      <c r="FS46" s="260"/>
      <c r="FT46" s="260"/>
      <c r="FU46" s="260"/>
      <c r="FV46" s="260"/>
      <c r="FW46" s="260"/>
      <c r="FX46" s="260"/>
      <c r="FY46" s="260"/>
      <c r="FZ46" s="260"/>
      <c r="GA46" s="260"/>
      <c r="GB46" s="260"/>
      <c r="GC46" s="260"/>
      <c r="GD46" s="260"/>
      <c r="GE46" s="260"/>
      <c r="GF46" s="260"/>
      <c r="GG46" s="260"/>
      <c r="GH46" s="260"/>
      <c r="GI46" s="260"/>
      <c r="GJ46" s="260"/>
      <c r="GK46" s="260"/>
      <c r="GL46" s="260"/>
      <c r="GM46" s="260"/>
      <c r="GN46" s="260"/>
      <c r="GO46" s="260"/>
      <c r="GP46" s="260"/>
      <c r="GQ46" s="260"/>
      <c r="GR46" s="260"/>
      <c r="GS46" s="260"/>
      <c r="GT46" s="260"/>
      <c r="GU46" s="260"/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</row>
    <row r="47" spans="1:239" s="288" customFormat="1" ht="17.399999999999999" customHeight="1">
      <c r="A47" s="289" t="s">
        <v>298</v>
      </c>
      <c r="B47" s="290" t="s">
        <v>285</v>
      </c>
      <c r="C47" s="290" t="s">
        <v>2734</v>
      </c>
      <c r="D47" s="291" t="s">
        <v>286</v>
      </c>
      <c r="E47" s="291" t="s">
        <v>273</v>
      </c>
      <c r="F47" s="798">
        <f t="shared" si="3"/>
        <v>741.11</v>
      </c>
      <c r="G47" s="293">
        <v>0</v>
      </c>
      <c r="H47" s="293">
        <v>108.4</v>
      </c>
      <c r="I47" s="293">
        <v>93.15</v>
      </c>
      <c r="J47" s="293">
        <v>67.459999999999994</v>
      </c>
      <c r="K47" s="293">
        <v>70.5</v>
      </c>
      <c r="L47" s="293">
        <v>63.12</v>
      </c>
      <c r="M47" s="293">
        <v>80.37</v>
      </c>
      <c r="N47" s="293">
        <v>52.49</v>
      </c>
      <c r="O47" s="293">
        <v>114.88</v>
      </c>
      <c r="P47" s="293">
        <v>26.11</v>
      </c>
      <c r="Q47" s="294">
        <v>64.63</v>
      </c>
      <c r="R47" s="293">
        <v>0</v>
      </c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60"/>
      <c r="BH47" s="260"/>
      <c r="BI47" s="260"/>
      <c r="BJ47" s="260"/>
      <c r="BK47" s="260"/>
      <c r="BL47" s="260"/>
      <c r="BM47" s="260"/>
      <c r="BN47" s="260"/>
      <c r="BO47" s="260"/>
      <c r="BP47" s="260"/>
      <c r="BQ47" s="260"/>
      <c r="BR47" s="260"/>
      <c r="BS47" s="260"/>
      <c r="BT47" s="260"/>
      <c r="BU47" s="260"/>
      <c r="BV47" s="260"/>
      <c r="BW47" s="260"/>
      <c r="BX47" s="260"/>
      <c r="BY47" s="260"/>
      <c r="BZ47" s="260"/>
      <c r="CA47" s="260"/>
      <c r="CB47" s="260"/>
      <c r="CC47" s="260"/>
      <c r="CD47" s="260"/>
      <c r="CE47" s="260"/>
      <c r="CF47" s="260"/>
      <c r="CG47" s="260"/>
      <c r="CH47" s="260"/>
      <c r="CI47" s="260"/>
      <c r="CJ47" s="260"/>
      <c r="CK47" s="260"/>
      <c r="CL47" s="260"/>
      <c r="CM47" s="260"/>
      <c r="CN47" s="260"/>
      <c r="CO47" s="260"/>
      <c r="CP47" s="260"/>
      <c r="CQ47" s="260"/>
      <c r="CR47" s="260"/>
      <c r="CS47" s="260"/>
      <c r="CT47" s="260"/>
      <c r="CU47" s="260"/>
      <c r="CV47" s="260"/>
      <c r="CW47" s="260"/>
      <c r="CX47" s="260"/>
      <c r="CY47" s="260"/>
      <c r="CZ47" s="260"/>
      <c r="DA47" s="260"/>
      <c r="DB47" s="260"/>
      <c r="DC47" s="260"/>
      <c r="DD47" s="260"/>
      <c r="DE47" s="260"/>
      <c r="DF47" s="260"/>
      <c r="DG47" s="260"/>
      <c r="DH47" s="260"/>
      <c r="DI47" s="260"/>
      <c r="DJ47" s="260"/>
      <c r="DK47" s="260"/>
      <c r="DL47" s="260"/>
      <c r="DM47" s="260"/>
      <c r="DN47" s="260"/>
      <c r="DO47" s="260"/>
      <c r="DP47" s="260"/>
      <c r="DQ47" s="260"/>
      <c r="DR47" s="260"/>
      <c r="DS47" s="260"/>
      <c r="DT47" s="260"/>
      <c r="DU47" s="260"/>
      <c r="DV47" s="260"/>
      <c r="DW47" s="260"/>
      <c r="DX47" s="260"/>
      <c r="DY47" s="260"/>
      <c r="DZ47" s="260"/>
      <c r="EA47" s="260"/>
      <c r="EB47" s="260"/>
      <c r="EC47" s="260"/>
      <c r="ED47" s="260"/>
      <c r="EE47" s="260"/>
      <c r="EF47" s="260"/>
      <c r="EG47" s="260"/>
      <c r="EH47" s="260"/>
      <c r="EI47" s="260"/>
      <c r="EJ47" s="260"/>
      <c r="EK47" s="260"/>
      <c r="EL47" s="260"/>
      <c r="EM47" s="260"/>
      <c r="EN47" s="260"/>
      <c r="EO47" s="260"/>
      <c r="EP47" s="260"/>
      <c r="EQ47" s="260"/>
      <c r="ER47" s="260"/>
      <c r="ES47" s="260"/>
      <c r="ET47" s="260"/>
      <c r="EU47" s="260"/>
      <c r="EV47" s="260"/>
      <c r="EW47" s="260"/>
      <c r="EX47" s="260"/>
      <c r="EY47" s="260"/>
      <c r="EZ47" s="260"/>
      <c r="FA47" s="260"/>
      <c r="FB47" s="260"/>
      <c r="FC47" s="260"/>
      <c r="FD47" s="260"/>
      <c r="FE47" s="260"/>
      <c r="FF47" s="260"/>
      <c r="FG47" s="260"/>
      <c r="FH47" s="260"/>
      <c r="FI47" s="260"/>
      <c r="FJ47" s="260"/>
      <c r="FK47" s="260"/>
      <c r="FL47" s="260"/>
      <c r="FM47" s="260"/>
      <c r="FN47" s="260"/>
      <c r="FO47" s="260"/>
      <c r="FP47" s="260"/>
      <c r="FQ47" s="260"/>
      <c r="FR47" s="260"/>
      <c r="FS47" s="260"/>
      <c r="FT47" s="260"/>
      <c r="FU47" s="260"/>
      <c r="FV47" s="260"/>
      <c r="FW47" s="260"/>
      <c r="FX47" s="260"/>
      <c r="FY47" s="260"/>
      <c r="FZ47" s="260"/>
      <c r="GA47" s="260"/>
      <c r="GB47" s="260"/>
      <c r="GC47" s="260"/>
      <c r="GD47" s="260"/>
      <c r="GE47" s="260"/>
      <c r="GF47" s="260"/>
      <c r="GG47" s="260"/>
      <c r="GH47" s="260"/>
      <c r="GI47" s="260"/>
      <c r="GJ47" s="260"/>
      <c r="GK47" s="260"/>
      <c r="GL47" s="260"/>
      <c r="GM47" s="260"/>
      <c r="GN47" s="260"/>
      <c r="GO47" s="260"/>
      <c r="GP47" s="260"/>
      <c r="GQ47" s="260"/>
      <c r="GR47" s="260"/>
      <c r="GS47" s="260"/>
      <c r="GT47" s="260"/>
      <c r="GU47" s="260"/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</row>
    <row r="48" spans="1:239" s="288" customFormat="1" ht="17.399999999999999" customHeight="1">
      <c r="A48" s="289"/>
      <c r="B48" s="290"/>
      <c r="C48" s="290" t="s">
        <v>2735</v>
      </c>
      <c r="D48" s="291"/>
      <c r="E48" s="291"/>
      <c r="F48" s="798">
        <f t="shared" si="3"/>
        <v>0</v>
      </c>
      <c r="G48" s="293">
        <v>0</v>
      </c>
      <c r="H48" s="293">
        <v>0</v>
      </c>
      <c r="I48" s="293">
        <v>0</v>
      </c>
      <c r="J48" s="293">
        <v>0</v>
      </c>
      <c r="K48" s="293">
        <v>0</v>
      </c>
      <c r="L48" s="293">
        <v>0</v>
      </c>
      <c r="M48" s="293">
        <v>0</v>
      </c>
      <c r="N48" s="293">
        <v>0</v>
      </c>
      <c r="O48" s="293">
        <v>0</v>
      </c>
      <c r="P48" s="293">
        <v>0</v>
      </c>
      <c r="Q48" s="294">
        <v>0</v>
      </c>
      <c r="R48" s="293">
        <v>0</v>
      </c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0"/>
      <c r="CG48" s="260"/>
      <c r="CH48" s="260"/>
      <c r="CI48" s="260"/>
      <c r="CJ48" s="260"/>
      <c r="CK48" s="260"/>
      <c r="CL48" s="260"/>
      <c r="CM48" s="260"/>
      <c r="CN48" s="260"/>
      <c r="CO48" s="260"/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0"/>
      <c r="DA48" s="260"/>
      <c r="DB48" s="260"/>
      <c r="DC48" s="260"/>
      <c r="DD48" s="260"/>
      <c r="DE48" s="260"/>
      <c r="DF48" s="260"/>
      <c r="DG48" s="260"/>
      <c r="DH48" s="260"/>
      <c r="DI48" s="260"/>
      <c r="DJ48" s="260"/>
      <c r="DK48" s="260"/>
      <c r="DL48" s="260"/>
      <c r="DM48" s="260"/>
      <c r="DN48" s="260"/>
      <c r="DO48" s="260"/>
      <c r="DP48" s="260"/>
      <c r="DQ48" s="260"/>
      <c r="DR48" s="260"/>
      <c r="DS48" s="260"/>
      <c r="DT48" s="260"/>
      <c r="DU48" s="260"/>
      <c r="DV48" s="260"/>
      <c r="DW48" s="260"/>
      <c r="DX48" s="260"/>
      <c r="DY48" s="260"/>
      <c r="DZ48" s="260"/>
      <c r="EA48" s="260"/>
      <c r="EB48" s="260"/>
      <c r="EC48" s="260"/>
      <c r="ED48" s="260"/>
      <c r="EE48" s="260"/>
      <c r="EF48" s="260"/>
      <c r="EG48" s="260"/>
      <c r="EH48" s="260"/>
      <c r="EI48" s="260"/>
      <c r="EJ48" s="260"/>
      <c r="EK48" s="260"/>
      <c r="EL48" s="260"/>
      <c r="EM48" s="260"/>
      <c r="EN48" s="260"/>
      <c r="EO48" s="260"/>
      <c r="EP48" s="260"/>
      <c r="EQ48" s="260"/>
      <c r="ER48" s="260"/>
      <c r="ES48" s="260"/>
      <c r="ET48" s="260"/>
      <c r="EU48" s="260"/>
      <c r="EV48" s="260"/>
      <c r="EW48" s="260"/>
      <c r="EX48" s="260"/>
      <c r="EY48" s="260"/>
      <c r="EZ48" s="260"/>
      <c r="FA48" s="260"/>
      <c r="FB48" s="260"/>
      <c r="FC48" s="260"/>
      <c r="FD48" s="260"/>
      <c r="FE48" s="260"/>
      <c r="FF48" s="260"/>
      <c r="FG48" s="260"/>
      <c r="FH48" s="260"/>
      <c r="FI48" s="260"/>
      <c r="FJ48" s="260"/>
      <c r="FK48" s="260"/>
      <c r="FL48" s="260"/>
      <c r="FM48" s="260"/>
      <c r="FN48" s="260"/>
      <c r="FO48" s="260"/>
      <c r="FP48" s="260"/>
      <c r="FQ48" s="260"/>
      <c r="FR48" s="260"/>
      <c r="FS48" s="260"/>
      <c r="FT48" s="260"/>
      <c r="FU48" s="260"/>
      <c r="FV48" s="260"/>
      <c r="FW48" s="260"/>
      <c r="FX48" s="260"/>
      <c r="FY48" s="260"/>
      <c r="FZ48" s="260"/>
      <c r="GA48" s="260"/>
      <c r="GB48" s="260"/>
      <c r="GC48" s="260"/>
      <c r="GD48" s="260"/>
      <c r="GE48" s="260"/>
      <c r="GF48" s="260"/>
      <c r="GG48" s="260"/>
      <c r="GH48" s="260"/>
      <c r="GI48" s="260"/>
      <c r="GJ48" s="260"/>
      <c r="GK48" s="260"/>
      <c r="GL48" s="260"/>
      <c r="GM48" s="260"/>
      <c r="GN48" s="260"/>
      <c r="GO48" s="260"/>
      <c r="GP48" s="260"/>
      <c r="GQ48" s="260"/>
      <c r="GR48" s="260"/>
      <c r="GS48" s="260"/>
      <c r="GT48" s="260"/>
      <c r="GU48" s="260"/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</row>
    <row r="49" spans="1:239" s="288" customFormat="1" ht="17.399999999999999" customHeight="1">
      <c r="A49" s="289" t="s">
        <v>299</v>
      </c>
      <c r="B49" s="290" t="s">
        <v>292</v>
      </c>
      <c r="C49" s="290" t="s">
        <v>2734</v>
      </c>
      <c r="D49" s="291" t="s">
        <v>286</v>
      </c>
      <c r="E49" s="291" t="s">
        <v>273</v>
      </c>
      <c r="F49" s="798">
        <f t="shared" si="3"/>
        <v>277.24</v>
      </c>
      <c r="G49" s="293">
        <v>112.94</v>
      </c>
      <c r="H49" s="293">
        <v>47.24</v>
      </c>
      <c r="I49" s="293">
        <v>93.05</v>
      </c>
      <c r="J49" s="293">
        <v>24.01</v>
      </c>
      <c r="K49" s="293">
        <v>0</v>
      </c>
      <c r="L49" s="293">
        <v>0</v>
      </c>
      <c r="M49" s="293">
        <v>0</v>
      </c>
      <c r="N49" s="293">
        <v>0</v>
      </c>
      <c r="O49" s="293">
        <v>0</v>
      </c>
      <c r="P49" s="293">
        <v>0</v>
      </c>
      <c r="Q49" s="294">
        <v>0</v>
      </c>
      <c r="R49" s="293">
        <v>0</v>
      </c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0"/>
      <c r="CG49" s="260"/>
      <c r="CH49" s="260"/>
      <c r="CI49" s="260"/>
      <c r="CJ49" s="260"/>
      <c r="CK49" s="260"/>
      <c r="CL49" s="260"/>
      <c r="CM49" s="260"/>
      <c r="CN49" s="260"/>
      <c r="CO49" s="260"/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0"/>
      <c r="DA49" s="260"/>
      <c r="DB49" s="260"/>
      <c r="DC49" s="260"/>
      <c r="DD49" s="260"/>
      <c r="DE49" s="260"/>
      <c r="DF49" s="260"/>
      <c r="DG49" s="260"/>
      <c r="DH49" s="260"/>
      <c r="DI49" s="260"/>
      <c r="DJ49" s="260"/>
      <c r="DK49" s="260"/>
      <c r="DL49" s="260"/>
      <c r="DM49" s="260"/>
      <c r="DN49" s="260"/>
      <c r="DO49" s="260"/>
      <c r="DP49" s="260"/>
      <c r="DQ49" s="260"/>
      <c r="DR49" s="260"/>
      <c r="DS49" s="260"/>
      <c r="DT49" s="260"/>
      <c r="DU49" s="260"/>
      <c r="DV49" s="260"/>
      <c r="DW49" s="260"/>
      <c r="DX49" s="260"/>
      <c r="DY49" s="260"/>
      <c r="DZ49" s="260"/>
      <c r="EA49" s="260"/>
      <c r="EB49" s="260"/>
      <c r="EC49" s="260"/>
      <c r="ED49" s="260"/>
      <c r="EE49" s="260"/>
      <c r="EF49" s="260"/>
      <c r="EG49" s="260"/>
      <c r="EH49" s="260"/>
      <c r="EI49" s="260"/>
      <c r="EJ49" s="260"/>
      <c r="EK49" s="260"/>
      <c r="EL49" s="260"/>
      <c r="EM49" s="260"/>
      <c r="EN49" s="260"/>
      <c r="EO49" s="260"/>
      <c r="EP49" s="260"/>
      <c r="EQ49" s="260"/>
      <c r="ER49" s="260"/>
      <c r="ES49" s="260"/>
      <c r="ET49" s="260"/>
      <c r="EU49" s="260"/>
      <c r="EV49" s="260"/>
      <c r="EW49" s="260"/>
      <c r="EX49" s="260"/>
      <c r="EY49" s="260"/>
      <c r="EZ49" s="260"/>
      <c r="FA49" s="260"/>
      <c r="FB49" s="260"/>
      <c r="FC49" s="260"/>
      <c r="FD49" s="260"/>
      <c r="FE49" s="260"/>
      <c r="FF49" s="260"/>
      <c r="FG49" s="260"/>
      <c r="FH49" s="260"/>
      <c r="FI49" s="260"/>
      <c r="FJ49" s="260"/>
      <c r="FK49" s="260"/>
      <c r="FL49" s="260"/>
      <c r="FM49" s="260"/>
      <c r="FN49" s="260"/>
      <c r="FO49" s="260"/>
      <c r="FP49" s="260"/>
      <c r="FQ49" s="260"/>
      <c r="FR49" s="260"/>
      <c r="FS49" s="260"/>
      <c r="FT49" s="260"/>
      <c r="FU49" s="260"/>
      <c r="FV49" s="260"/>
      <c r="FW49" s="260"/>
      <c r="FX49" s="260"/>
      <c r="FY49" s="260"/>
      <c r="FZ49" s="260"/>
      <c r="GA49" s="260"/>
      <c r="GB49" s="260"/>
      <c r="GC49" s="260"/>
      <c r="GD49" s="260"/>
      <c r="GE49" s="260"/>
      <c r="GF49" s="260"/>
      <c r="GG49" s="260"/>
      <c r="GH49" s="260"/>
      <c r="GI49" s="260"/>
      <c r="GJ49" s="260"/>
      <c r="GK49" s="260"/>
      <c r="GL49" s="260"/>
      <c r="GM49" s="260"/>
      <c r="GN49" s="260"/>
      <c r="GO49" s="260"/>
      <c r="GP49" s="260"/>
      <c r="GQ49" s="260"/>
      <c r="GR49" s="260"/>
      <c r="GS49" s="260"/>
      <c r="GT49" s="260"/>
      <c r="GU49" s="260"/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</row>
    <row r="50" spans="1:239" s="288" customFormat="1" ht="17.399999999999999" customHeight="1">
      <c r="A50" s="289"/>
      <c r="B50" s="290"/>
      <c r="C50" s="290" t="s">
        <v>2735</v>
      </c>
      <c r="D50" s="291"/>
      <c r="E50" s="291"/>
      <c r="F50" s="798">
        <f t="shared" si="3"/>
        <v>0</v>
      </c>
      <c r="G50" s="293">
        <v>0</v>
      </c>
      <c r="H50" s="293">
        <v>0</v>
      </c>
      <c r="I50" s="293">
        <v>0</v>
      </c>
      <c r="J50" s="293">
        <v>0</v>
      </c>
      <c r="K50" s="293">
        <v>0</v>
      </c>
      <c r="L50" s="293">
        <v>0</v>
      </c>
      <c r="M50" s="293">
        <v>0</v>
      </c>
      <c r="N50" s="293"/>
      <c r="O50" s="293">
        <v>0</v>
      </c>
      <c r="P50" s="293">
        <v>0</v>
      </c>
      <c r="Q50" s="294">
        <v>0</v>
      </c>
      <c r="R50" s="293">
        <v>0</v>
      </c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</row>
    <row r="51" spans="1:239" s="288" customFormat="1" ht="17.399999999999999" customHeight="1">
      <c r="A51" s="289" t="s">
        <v>300</v>
      </c>
      <c r="B51" s="290" t="s">
        <v>292</v>
      </c>
      <c r="C51" s="290" t="s">
        <v>2734</v>
      </c>
      <c r="D51" s="291" t="s">
        <v>286</v>
      </c>
      <c r="E51" s="291" t="s">
        <v>273</v>
      </c>
      <c r="F51" s="798">
        <f t="shared" si="3"/>
        <v>1211.67</v>
      </c>
      <c r="G51" s="293">
        <v>79.2</v>
      </c>
      <c r="H51" s="293">
        <v>141.26</v>
      </c>
      <c r="I51" s="293">
        <v>104.74</v>
      </c>
      <c r="J51" s="293">
        <v>60.07</v>
      </c>
      <c r="K51" s="293">
        <v>89.99</v>
      </c>
      <c r="L51" s="293">
        <v>95.23</v>
      </c>
      <c r="M51" s="293">
        <v>138.12</v>
      </c>
      <c r="N51" s="293">
        <v>51.64</v>
      </c>
      <c r="O51" s="293">
        <v>79.06</v>
      </c>
      <c r="P51" s="293">
        <v>132.35</v>
      </c>
      <c r="Q51" s="294">
        <v>149.24</v>
      </c>
      <c r="R51" s="293">
        <v>90.77</v>
      </c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260"/>
      <c r="CA51" s="260"/>
      <c r="CB51" s="260"/>
      <c r="CC51" s="260"/>
      <c r="CD51" s="260"/>
      <c r="CE51" s="260"/>
      <c r="CF51" s="260"/>
      <c r="CG51" s="260"/>
      <c r="CH51" s="260"/>
      <c r="CI51" s="260"/>
      <c r="CJ51" s="260"/>
      <c r="CK51" s="260"/>
      <c r="CL51" s="260"/>
      <c r="CM51" s="260"/>
      <c r="CN51" s="260"/>
      <c r="CO51" s="260"/>
      <c r="CP51" s="260"/>
      <c r="CQ51" s="260"/>
      <c r="CR51" s="260"/>
      <c r="CS51" s="260"/>
      <c r="CT51" s="260"/>
      <c r="CU51" s="260"/>
      <c r="CV51" s="260"/>
      <c r="CW51" s="260"/>
      <c r="CX51" s="260"/>
      <c r="CY51" s="260"/>
      <c r="CZ51" s="260"/>
      <c r="DA51" s="260"/>
      <c r="DB51" s="260"/>
      <c r="DC51" s="260"/>
      <c r="DD51" s="260"/>
      <c r="DE51" s="260"/>
      <c r="DF51" s="260"/>
      <c r="DG51" s="260"/>
      <c r="DH51" s="260"/>
      <c r="DI51" s="260"/>
      <c r="DJ51" s="260"/>
      <c r="DK51" s="260"/>
      <c r="DL51" s="260"/>
      <c r="DM51" s="260"/>
      <c r="DN51" s="260"/>
      <c r="DO51" s="260"/>
      <c r="DP51" s="260"/>
      <c r="DQ51" s="260"/>
      <c r="DR51" s="260"/>
      <c r="DS51" s="260"/>
      <c r="DT51" s="260"/>
      <c r="DU51" s="260"/>
      <c r="DV51" s="260"/>
      <c r="DW51" s="260"/>
      <c r="DX51" s="260"/>
      <c r="DY51" s="260"/>
      <c r="DZ51" s="260"/>
      <c r="EA51" s="260"/>
      <c r="EB51" s="260"/>
      <c r="EC51" s="260"/>
      <c r="ED51" s="260"/>
      <c r="EE51" s="260"/>
      <c r="EF51" s="260"/>
      <c r="EG51" s="260"/>
      <c r="EH51" s="260"/>
      <c r="EI51" s="260"/>
      <c r="EJ51" s="260"/>
      <c r="EK51" s="260"/>
      <c r="EL51" s="260"/>
      <c r="EM51" s="260"/>
      <c r="EN51" s="260"/>
      <c r="EO51" s="260"/>
      <c r="EP51" s="260"/>
      <c r="EQ51" s="260"/>
      <c r="ER51" s="260"/>
      <c r="ES51" s="260"/>
      <c r="ET51" s="260"/>
      <c r="EU51" s="260"/>
      <c r="EV51" s="260"/>
      <c r="EW51" s="260"/>
      <c r="EX51" s="260"/>
      <c r="EY51" s="260"/>
      <c r="EZ51" s="260"/>
      <c r="FA51" s="260"/>
      <c r="FB51" s="260"/>
      <c r="FC51" s="260"/>
      <c r="FD51" s="260"/>
      <c r="FE51" s="260"/>
      <c r="FF51" s="260"/>
      <c r="FG51" s="260"/>
      <c r="FH51" s="260"/>
      <c r="FI51" s="260"/>
      <c r="FJ51" s="260"/>
      <c r="FK51" s="260"/>
      <c r="FL51" s="260"/>
      <c r="FM51" s="260"/>
      <c r="FN51" s="260"/>
      <c r="FO51" s="260"/>
      <c r="FP51" s="260"/>
      <c r="FQ51" s="260"/>
      <c r="FR51" s="260"/>
      <c r="FS51" s="260"/>
      <c r="FT51" s="260"/>
      <c r="FU51" s="260"/>
      <c r="FV51" s="260"/>
      <c r="FW51" s="260"/>
      <c r="FX51" s="260"/>
      <c r="FY51" s="260"/>
      <c r="FZ51" s="260"/>
      <c r="GA51" s="260"/>
      <c r="GB51" s="260"/>
      <c r="GC51" s="260"/>
      <c r="GD51" s="260"/>
      <c r="GE51" s="260"/>
      <c r="GF51" s="260"/>
      <c r="GG51" s="260"/>
      <c r="GH51" s="260"/>
      <c r="GI51" s="260"/>
      <c r="GJ51" s="260"/>
      <c r="GK51" s="260"/>
      <c r="GL51" s="260"/>
      <c r="GM51" s="260"/>
      <c r="GN51" s="260"/>
      <c r="GO51" s="260"/>
      <c r="GP51" s="260"/>
      <c r="GQ51" s="260"/>
      <c r="GR51" s="260"/>
      <c r="GS51" s="260"/>
      <c r="GT51" s="260"/>
      <c r="GU51" s="260"/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</row>
    <row r="52" spans="1:239" s="288" customFormat="1" ht="17.399999999999999" customHeight="1">
      <c r="A52" s="289"/>
      <c r="B52" s="290"/>
      <c r="C52" s="290" t="s">
        <v>2735</v>
      </c>
      <c r="D52" s="291"/>
      <c r="E52" s="291"/>
      <c r="F52" s="798">
        <f t="shared" si="3"/>
        <v>0</v>
      </c>
      <c r="G52" s="293">
        <v>0</v>
      </c>
      <c r="H52" s="293">
        <v>0</v>
      </c>
      <c r="I52" s="293">
        <v>0</v>
      </c>
      <c r="J52" s="293">
        <v>0</v>
      </c>
      <c r="K52" s="293">
        <v>0</v>
      </c>
      <c r="L52" s="293">
        <v>0</v>
      </c>
      <c r="M52" s="293">
        <v>0</v>
      </c>
      <c r="N52" s="293">
        <v>0</v>
      </c>
      <c r="O52" s="293">
        <v>0</v>
      </c>
      <c r="P52" s="293">
        <v>0</v>
      </c>
      <c r="Q52" s="294">
        <v>0</v>
      </c>
      <c r="R52" s="293">
        <v>0</v>
      </c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260"/>
      <c r="CA52" s="260"/>
      <c r="CB52" s="260"/>
      <c r="CC52" s="260"/>
      <c r="CD52" s="260"/>
      <c r="CE52" s="260"/>
      <c r="CF52" s="260"/>
      <c r="CG52" s="260"/>
      <c r="CH52" s="260"/>
      <c r="CI52" s="260"/>
      <c r="CJ52" s="260"/>
      <c r="CK52" s="260"/>
      <c r="CL52" s="260"/>
      <c r="CM52" s="260"/>
      <c r="CN52" s="260"/>
      <c r="CO52" s="260"/>
      <c r="CP52" s="260"/>
      <c r="CQ52" s="260"/>
      <c r="CR52" s="260"/>
      <c r="CS52" s="260"/>
      <c r="CT52" s="260"/>
      <c r="CU52" s="260"/>
      <c r="CV52" s="260"/>
      <c r="CW52" s="260"/>
      <c r="CX52" s="260"/>
      <c r="CY52" s="260"/>
      <c r="CZ52" s="260"/>
      <c r="DA52" s="260"/>
      <c r="DB52" s="260"/>
      <c r="DC52" s="260"/>
      <c r="DD52" s="260"/>
      <c r="DE52" s="260"/>
      <c r="DF52" s="260"/>
      <c r="DG52" s="260"/>
      <c r="DH52" s="260"/>
      <c r="DI52" s="260"/>
      <c r="DJ52" s="260"/>
      <c r="DK52" s="260"/>
      <c r="DL52" s="260"/>
      <c r="DM52" s="260"/>
      <c r="DN52" s="260"/>
      <c r="DO52" s="260"/>
      <c r="DP52" s="260"/>
      <c r="DQ52" s="260"/>
      <c r="DR52" s="260"/>
      <c r="DS52" s="260"/>
      <c r="DT52" s="260"/>
      <c r="DU52" s="260"/>
      <c r="DV52" s="260"/>
      <c r="DW52" s="260"/>
      <c r="DX52" s="260"/>
      <c r="DY52" s="260"/>
      <c r="DZ52" s="260"/>
      <c r="EA52" s="260"/>
      <c r="EB52" s="260"/>
      <c r="EC52" s="260"/>
      <c r="ED52" s="260"/>
      <c r="EE52" s="260"/>
      <c r="EF52" s="260"/>
      <c r="EG52" s="260"/>
      <c r="EH52" s="260"/>
      <c r="EI52" s="260"/>
      <c r="EJ52" s="260"/>
      <c r="EK52" s="260"/>
      <c r="EL52" s="260"/>
      <c r="EM52" s="260"/>
      <c r="EN52" s="260"/>
      <c r="EO52" s="260"/>
      <c r="EP52" s="260"/>
      <c r="EQ52" s="260"/>
      <c r="ER52" s="260"/>
      <c r="ES52" s="260"/>
      <c r="ET52" s="260"/>
      <c r="EU52" s="260"/>
      <c r="EV52" s="260"/>
      <c r="EW52" s="260"/>
      <c r="EX52" s="260"/>
      <c r="EY52" s="260"/>
      <c r="EZ52" s="260"/>
      <c r="FA52" s="260"/>
      <c r="FB52" s="260"/>
      <c r="FC52" s="260"/>
      <c r="FD52" s="260"/>
      <c r="FE52" s="260"/>
      <c r="FF52" s="260"/>
      <c r="FG52" s="260"/>
      <c r="FH52" s="260"/>
      <c r="FI52" s="260"/>
      <c r="FJ52" s="260"/>
      <c r="FK52" s="260"/>
      <c r="FL52" s="260"/>
      <c r="FM52" s="260"/>
      <c r="FN52" s="260"/>
      <c r="FO52" s="260"/>
      <c r="FP52" s="260"/>
      <c r="FQ52" s="260"/>
      <c r="FR52" s="260"/>
      <c r="FS52" s="260"/>
      <c r="FT52" s="260"/>
      <c r="FU52" s="260"/>
      <c r="FV52" s="260"/>
      <c r="FW52" s="260"/>
      <c r="FX52" s="260"/>
      <c r="FY52" s="260"/>
      <c r="FZ52" s="260"/>
      <c r="GA52" s="260"/>
      <c r="GB52" s="260"/>
      <c r="GC52" s="260"/>
      <c r="GD52" s="260"/>
      <c r="GE52" s="260"/>
      <c r="GF52" s="260"/>
      <c r="GG52" s="260"/>
      <c r="GH52" s="260"/>
      <c r="GI52" s="260"/>
      <c r="GJ52" s="260"/>
      <c r="GK52" s="260"/>
      <c r="GL52" s="260"/>
      <c r="GM52" s="260"/>
      <c r="GN52" s="260"/>
      <c r="GO52" s="260"/>
      <c r="GP52" s="260"/>
      <c r="GQ52" s="260"/>
      <c r="GR52" s="260"/>
      <c r="GS52" s="260"/>
      <c r="GT52" s="260"/>
      <c r="GU52" s="260"/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</row>
    <row r="53" spans="1:239" s="288" customFormat="1" ht="17.399999999999999" customHeight="1">
      <c r="A53" s="289" t="s">
        <v>301</v>
      </c>
      <c r="B53" s="290" t="s">
        <v>292</v>
      </c>
      <c r="C53" s="290" t="s">
        <v>2734</v>
      </c>
      <c r="D53" s="291" t="s">
        <v>286</v>
      </c>
      <c r="E53" s="291" t="s">
        <v>273</v>
      </c>
      <c r="F53" s="798">
        <f t="shared" si="3"/>
        <v>824.35</v>
      </c>
      <c r="G53" s="293">
        <v>306.98</v>
      </c>
      <c r="H53" s="293">
        <v>0</v>
      </c>
      <c r="I53" s="293">
        <v>48.9</v>
      </c>
      <c r="J53" s="293">
        <v>46.06</v>
      </c>
      <c r="K53" s="293">
        <v>39.880000000000003</v>
      </c>
      <c r="L53" s="293">
        <v>131.12</v>
      </c>
      <c r="M53" s="293">
        <v>38.520000000000003</v>
      </c>
      <c r="N53" s="293">
        <v>80.16</v>
      </c>
      <c r="O53" s="293">
        <v>66.09</v>
      </c>
      <c r="P53" s="293">
        <v>0</v>
      </c>
      <c r="Q53" s="294">
        <v>66.64</v>
      </c>
      <c r="R53" s="293">
        <v>0</v>
      </c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0"/>
      <c r="CN53" s="260"/>
      <c r="CO53" s="260"/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0"/>
      <c r="EG53" s="260"/>
      <c r="EH53" s="260"/>
      <c r="EI53" s="260"/>
      <c r="EJ53" s="260"/>
      <c r="EK53" s="260"/>
      <c r="EL53" s="260"/>
      <c r="EM53" s="260"/>
      <c r="EN53" s="260"/>
      <c r="EO53" s="260"/>
      <c r="EP53" s="260"/>
      <c r="EQ53" s="260"/>
      <c r="ER53" s="260"/>
      <c r="ES53" s="260"/>
      <c r="ET53" s="260"/>
      <c r="EU53" s="260"/>
      <c r="EV53" s="260"/>
      <c r="EW53" s="260"/>
      <c r="EX53" s="260"/>
      <c r="EY53" s="260"/>
      <c r="EZ53" s="260"/>
      <c r="FA53" s="260"/>
      <c r="FB53" s="260"/>
      <c r="FC53" s="260"/>
      <c r="FD53" s="260"/>
      <c r="FE53" s="260"/>
      <c r="FF53" s="260"/>
      <c r="FG53" s="260"/>
      <c r="FH53" s="260"/>
      <c r="FI53" s="260"/>
      <c r="FJ53" s="260"/>
      <c r="FK53" s="260"/>
      <c r="FL53" s="260"/>
      <c r="FM53" s="260"/>
      <c r="FN53" s="260"/>
      <c r="FO53" s="260"/>
      <c r="FP53" s="260"/>
      <c r="FQ53" s="260"/>
      <c r="FR53" s="260"/>
      <c r="FS53" s="260"/>
      <c r="FT53" s="260"/>
      <c r="FU53" s="260"/>
      <c r="FV53" s="260"/>
      <c r="FW53" s="260"/>
      <c r="FX53" s="260"/>
      <c r="FY53" s="260"/>
      <c r="FZ53" s="260"/>
      <c r="GA53" s="260"/>
      <c r="GB53" s="260"/>
      <c r="GC53" s="260"/>
      <c r="GD53" s="260"/>
      <c r="GE53" s="260"/>
      <c r="GF53" s="260"/>
      <c r="GG53" s="260"/>
      <c r="GH53" s="260"/>
      <c r="GI53" s="260"/>
      <c r="GJ53" s="260"/>
      <c r="GK53" s="260"/>
      <c r="GL53" s="260"/>
      <c r="GM53" s="260"/>
      <c r="GN53" s="260"/>
      <c r="GO53" s="260"/>
      <c r="GP53" s="260"/>
      <c r="GQ53" s="260"/>
      <c r="GR53" s="260"/>
      <c r="GS53" s="260"/>
      <c r="GT53" s="260"/>
      <c r="GU53" s="260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</row>
    <row r="54" spans="1:239" s="288" customFormat="1" ht="17.399999999999999" customHeight="1">
      <c r="A54" s="289"/>
      <c r="B54" s="290"/>
      <c r="C54" s="290" t="s">
        <v>2735</v>
      </c>
      <c r="D54" s="291"/>
      <c r="E54" s="291"/>
      <c r="F54" s="798">
        <f t="shared" si="3"/>
        <v>0</v>
      </c>
      <c r="G54" s="293">
        <v>0</v>
      </c>
      <c r="H54" s="293">
        <v>0</v>
      </c>
      <c r="I54" s="293">
        <v>0</v>
      </c>
      <c r="J54" s="293">
        <v>0</v>
      </c>
      <c r="K54" s="293">
        <v>0</v>
      </c>
      <c r="L54" s="293">
        <v>0</v>
      </c>
      <c r="M54" s="293">
        <v>0</v>
      </c>
      <c r="N54" s="293">
        <v>0</v>
      </c>
      <c r="O54" s="293">
        <v>0</v>
      </c>
      <c r="P54" s="293">
        <v>0</v>
      </c>
      <c r="Q54" s="294">
        <v>0</v>
      </c>
      <c r="R54" s="293">
        <v>0</v>
      </c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260"/>
      <c r="CA54" s="260"/>
      <c r="CB54" s="260"/>
      <c r="CC54" s="260"/>
      <c r="CD54" s="260"/>
      <c r="CE54" s="260"/>
      <c r="CF54" s="260"/>
      <c r="CG54" s="260"/>
      <c r="CH54" s="260"/>
      <c r="CI54" s="260"/>
      <c r="CJ54" s="260"/>
      <c r="CK54" s="260"/>
      <c r="CL54" s="260"/>
      <c r="CM54" s="260"/>
      <c r="CN54" s="260"/>
      <c r="CO54" s="260"/>
      <c r="CP54" s="260"/>
      <c r="CQ54" s="260"/>
      <c r="CR54" s="260"/>
      <c r="CS54" s="260"/>
      <c r="CT54" s="260"/>
      <c r="CU54" s="260"/>
      <c r="CV54" s="260"/>
      <c r="CW54" s="260"/>
      <c r="CX54" s="260"/>
      <c r="CY54" s="260"/>
      <c r="CZ54" s="260"/>
      <c r="DA54" s="260"/>
      <c r="DB54" s="260"/>
      <c r="DC54" s="260"/>
      <c r="DD54" s="260"/>
      <c r="DE54" s="260"/>
      <c r="DF54" s="260"/>
      <c r="DG54" s="260"/>
      <c r="DH54" s="260"/>
      <c r="DI54" s="260"/>
      <c r="DJ54" s="260"/>
      <c r="DK54" s="260"/>
      <c r="DL54" s="260"/>
      <c r="DM54" s="260"/>
      <c r="DN54" s="260"/>
      <c r="DO54" s="260"/>
      <c r="DP54" s="260"/>
      <c r="DQ54" s="260"/>
      <c r="DR54" s="260"/>
      <c r="DS54" s="260"/>
      <c r="DT54" s="260"/>
      <c r="DU54" s="260"/>
      <c r="DV54" s="260"/>
      <c r="DW54" s="260"/>
      <c r="DX54" s="260"/>
      <c r="DY54" s="260"/>
      <c r="DZ54" s="260"/>
      <c r="EA54" s="260"/>
      <c r="EB54" s="260"/>
      <c r="EC54" s="260"/>
      <c r="ED54" s="260"/>
      <c r="EE54" s="260"/>
      <c r="EF54" s="260"/>
      <c r="EG54" s="260"/>
      <c r="EH54" s="260"/>
      <c r="EI54" s="260"/>
      <c r="EJ54" s="260"/>
      <c r="EK54" s="260"/>
      <c r="EL54" s="260"/>
      <c r="EM54" s="260"/>
      <c r="EN54" s="260"/>
      <c r="EO54" s="260"/>
      <c r="EP54" s="260"/>
      <c r="EQ54" s="260"/>
      <c r="ER54" s="260"/>
      <c r="ES54" s="260"/>
      <c r="ET54" s="260"/>
      <c r="EU54" s="260"/>
      <c r="EV54" s="260"/>
      <c r="EW54" s="260"/>
      <c r="EX54" s="260"/>
      <c r="EY54" s="260"/>
      <c r="EZ54" s="260"/>
      <c r="FA54" s="260"/>
      <c r="FB54" s="260"/>
      <c r="FC54" s="260"/>
      <c r="FD54" s="260"/>
      <c r="FE54" s="260"/>
      <c r="FF54" s="260"/>
      <c r="FG54" s="260"/>
      <c r="FH54" s="260"/>
      <c r="FI54" s="260"/>
      <c r="FJ54" s="260"/>
      <c r="FK54" s="260"/>
      <c r="FL54" s="260"/>
      <c r="FM54" s="260"/>
      <c r="FN54" s="260"/>
      <c r="FO54" s="260"/>
      <c r="FP54" s="260"/>
      <c r="FQ54" s="260"/>
      <c r="FR54" s="260"/>
      <c r="FS54" s="260"/>
      <c r="FT54" s="260"/>
      <c r="FU54" s="260"/>
      <c r="FV54" s="260"/>
      <c r="FW54" s="260"/>
      <c r="FX54" s="260"/>
      <c r="FY54" s="260"/>
      <c r="FZ54" s="260"/>
      <c r="GA54" s="260"/>
      <c r="GB54" s="260"/>
      <c r="GC54" s="260"/>
      <c r="GD54" s="260"/>
      <c r="GE54" s="260"/>
      <c r="GF54" s="260"/>
      <c r="GG54" s="260"/>
      <c r="GH54" s="260"/>
      <c r="GI54" s="260"/>
      <c r="GJ54" s="260"/>
      <c r="GK54" s="260"/>
      <c r="GL54" s="260"/>
      <c r="GM54" s="260"/>
      <c r="GN54" s="260"/>
      <c r="GO54" s="260"/>
      <c r="GP54" s="260"/>
      <c r="GQ54" s="260"/>
      <c r="GR54" s="260"/>
      <c r="GS54" s="260"/>
      <c r="GT54" s="260"/>
      <c r="GU54" s="260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</row>
    <row r="55" spans="1:239" s="288" customFormat="1" ht="17.399999999999999" customHeight="1">
      <c r="A55" s="289" t="s">
        <v>302</v>
      </c>
      <c r="B55" s="290" t="s">
        <v>292</v>
      </c>
      <c r="C55" s="290" t="s">
        <v>2734</v>
      </c>
      <c r="D55" s="291" t="s">
        <v>286</v>
      </c>
      <c r="E55" s="291" t="s">
        <v>273</v>
      </c>
      <c r="F55" s="798">
        <f t="shared" si="3"/>
        <v>411.70000000000005</v>
      </c>
      <c r="G55" s="293">
        <v>175.81</v>
      </c>
      <c r="H55" s="293">
        <v>154.16999999999999</v>
      </c>
      <c r="I55" s="293">
        <v>81.72</v>
      </c>
      <c r="J55" s="293">
        <v>0</v>
      </c>
      <c r="K55" s="293">
        <v>0</v>
      </c>
      <c r="L55" s="293">
        <v>0</v>
      </c>
      <c r="M55" s="293">
        <v>0</v>
      </c>
      <c r="N55" s="293">
        <v>0</v>
      </c>
      <c r="O55" s="293">
        <v>0</v>
      </c>
      <c r="P55" s="293">
        <v>0</v>
      </c>
      <c r="Q55" s="294">
        <v>0</v>
      </c>
      <c r="R55" s="293">
        <v>0</v>
      </c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  <c r="AW55" s="260"/>
      <c r="AX55" s="260"/>
      <c r="AY55" s="260"/>
      <c r="AZ55" s="260"/>
      <c r="BA55" s="260"/>
      <c r="BB55" s="260"/>
      <c r="BC55" s="260"/>
      <c r="BD55" s="260"/>
      <c r="BE55" s="260"/>
      <c r="BF55" s="260"/>
      <c r="BG55" s="260"/>
      <c r="BH55" s="260"/>
      <c r="BI55" s="260"/>
      <c r="BJ55" s="260"/>
      <c r="BK55" s="260"/>
      <c r="BL55" s="260"/>
      <c r="BM55" s="260"/>
      <c r="BN55" s="260"/>
      <c r="BO55" s="260"/>
      <c r="BP55" s="260"/>
      <c r="BQ55" s="260"/>
      <c r="BR55" s="260"/>
      <c r="BS55" s="260"/>
      <c r="BT55" s="260"/>
      <c r="BU55" s="260"/>
      <c r="BV55" s="260"/>
      <c r="BW55" s="260"/>
      <c r="BX55" s="260"/>
      <c r="BY55" s="260"/>
      <c r="BZ55" s="260"/>
      <c r="CA55" s="260"/>
      <c r="CB55" s="260"/>
      <c r="CC55" s="260"/>
      <c r="CD55" s="260"/>
      <c r="CE55" s="260"/>
      <c r="CF55" s="260"/>
      <c r="CG55" s="260"/>
      <c r="CH55" s="260"/>
      <c r="CI55" s="260"/>
      <c r="CJ55" s="260"/>
      <c r="CK55" s="260"/>
      <c r="CL55" s="260"/>
      <c r="CM55" s="260"/>
      <c r="CN55" s="260"/>
      <c r="CO55" s="260"/>
      <c r="CP55" s="260"/>
      <c r="CQ55" s="260"/>
      <c r="CR55" s="260"/>
      <c r="CS55" s="260"/>
      <c r="CT55" s="260"/>
      <c r="CU55" s="260"/>
      <c r="CV55" s="260"/>
      <c r="CW55" s="260"/>
      <c r="CX55" s="260"/>
      <c r="CY55" s="260"/>
      <c r="CZ55" s="260"/>
      <c r="DA55" s="260"/>
      <c r="DB55" s="260"/>
      <c r="DC55" s="260"/>
      <c r="DD55" s="260"/>
      <c r="DE55" s="260"/>
      <c r="DF55" s="260"/>
      <c r="DG55" s="260"/>
      <c r="DH55" s="260"/>
      <c r="DI55" s="260"/>
      <c r="DJ55" s="260"/>
      <c r="DK55" s="260"/>
      <c r="DL55" s="260"/>
      <c r="DM55" s="260"/>
      <c r="DN55" s="260"/>
      <c r="DO55" s="260"/>
      <c r="DP55" s="260"/>
      <c r="DQ55" s="260"/>
      <c r="DR55" s="260"/>
      <c r="DS55" s="260"/>
      <c r="DT55" s="260"/>
      <c r="DU55" s="260"/>
      <c r="DV55" s="260"/>
      <c r="DW55" s="260"/>
      <c r="DX55" s="260"/>
      <c r="DY55" s="260"/>
      <c r="DZ55" s="260"/>
      <c r="EA55" s="260"/>
      <c r="EB55" s="260"/>
      <c r="EC55" s="260"/>
      <c r="ED55" s="260"/>
      <c r="EE55" s="260"/>
      <c r="EF55" s="260"/>
      <c r="EG55" s="260"/>
      <c r="EH55" s="260"/>
      <c r="EI55" s="260"/>
      <c r="EJ55" s="260"/>
      <c r="EK55" s="260"/>
      <c r="EL55" s="260"/>
      <c r="EM55" s="260"/>
      <c r="EN55" s="260"/>
      <c r="EO55" s="260"/>
      <c r="EP55" s="260"/>
      <c r="EQ55" s="260"/>
      <c r="ER55" s="260"/>
      <c r="ES55" s="260"/>
      <c r="ET55" s="260"/>
      <c r="EU55" s="260"/>
      <c r="EV55" s="260"/>
      <c r="EW55" s="260"/>
      <c r="EX55" s="260"/>
      <c r="EY55" s="260"/>
      <c r="EZ55" s="260"/>
      <c r="FA55" s="260"/>
      <c r="FB55" s="260"/>
      <c r="FC55" s="260"/>
      <c r="FD55" s="260"/>
      <c r="FE55" s="260"/>
      <c r="FF55" s="260"/>
      <c r="FG55" s="260"/>
      <c r="FH55" s="260"/>
      <c r="FI55" s="260"/>
      <c r="FJ55" s="260"/>
      <c r="FK55" s="260"/>
      <c r="FL55" s="260"/>
      <c r="FM55" s="260"/>
      <c r="FN55" s="260"/>
      <c r="FO55" s="260"/>
      <c r="FP55" s="260"/>
      <c r="FQ55" s="260"/>
      <c r="FR55" s="260"/>
      <c r="FS55" s="260"/>
      <c r="FT55" s="260"/>
      <c r="FU55" s="260"/>
      <c r="FV55" s="260"/>
      <c r="FW55" s="260"/>
      <c r="FX55" s="260"/>
      <c r="FY55" s="260"/>
      <c r="FZ55" s="260"/>
      <c r="GA55" s="260"/>
      <c r="GB55" s="260"/>
      <c r="GC55" s="260"/>
      <c r="GD55" s="260"/>
      <c r="GE55" s="260"/>
      <c r="GF55" s="260"/>
      <c r="GG55" s="260"/>
      <c r="GH55" s="260"/>
      <c r="GI55" s="260"/>
      <c r="GJ55" s="260"/>
      <c r="GK55" s="260"/>
      <c r="GL55" s="260"/>
      <c r="GM55" s="260"/>
      <c r="GN55" s="260"/>
      <c r="GO55" s="260"/>
      <c r="GP55" s="260"/>
      <c r="GQ55" s="260"/>
      <c r="GR55" s="260"/>
      <c r="GS55" s="260"/>
      <c r="GT55" s="260"/>
      <c r="GU55" s="260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</row>
    <row r="56" spans="1:239" s="288" customFormat="1" ht="17.399999999999999" customHeight="1">
      <c r="A56" s="289"/>
      <c r="B56" s="290"/>
      <c r="C56" s="290" t="s">
        <v>2735</v>
      </c>
      <c r="D56" s="291"/>
      <c r="E56" s="291"/>
      <c r="F56" s="798">
        <f t="shared" si="3"/>
        <v>0</v>
      </c>
      <c r="G56" s="293">
        <v>0</v>
      </c>
      <c r="H56" s="293">
        <v>0</v>
      </c>
      <c r="I56" s="293">
        <v>0</v>
      </c>
      <c r="J56" s="293"/>
      <c r="K56" s="293">
        <v>0</v>
      </c>
      <c r="L56" s="293">
        <v>0</v>
      </c>
      <c r="M56" s="293">
        <v>0</v>
      </c>
      <c r="N56" s="293"/>
      <c r="O56" s="293">
        <v>0</v>
      </c>
      <c r="P56" s="293">
        <v>0</v>
      </c>
      <c r="Q56" s="294">
        <v>0</v>
      </c>
      <c r="R56" s="293">
        <v>0</v>
      </c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260"/>
      <c r="AX56" s="260"/>
      <c r="AY56" s="260"/>
      <c r="AZ56" s="260"/>
      <c r="BA56" s="260"/>
      <c r="BB56" s="260"/>
      <c r="BC56" s="260"/>
      <c r="BD56" s="260"/>
      <c r="BE56" s="260"/>
      <c r="BF56" s="260"/>
      <c r="BG56" s="260"/>
      <c r="BH56" s="260"/>
      <c r="BI56" s="260"/>
      <c r="BJ56" s="260"/>
      <c r="BK56" s="260"/>
      <c r="BL56" s="260"/>
      <c r="BM56" s="260"/>
      <c r="BN56" s="260"/>
      <c r="BO56" s="260"/>
      <c r="BP56" s="260"/>
      <c r="BQ56" s="260"/>
      <c r="BR56" s="260"/>
      <c r="BS56" s="260"/>
      <c r="BT56" s="260"/>
      <c r="BU56" s="260"/>
      <c r="BV56" s="260"/>
      <c r="BW56" s="260"/>
      <c r="BX56" s="260"/>
      <c r="BY56" s="260"/>
      <c r="BZ56" s="260"/>
      <c r="CA56" s="260"/>
      <c r="CB56" s="260"/>
      <c r="CC56" s="260"/>
      <c r="CD56" s="260"/>
      <c r="CE56" s="260"/>
      <c r="CF56" s="260"/>
      <c r="CG56" s="260"/>
      <c r="CH56" s="260"/>
      <c r="CI56" s="260"/>
      <c r="CJ56" s="260"/>
      <c r="CK56" s="260"/>
      <c r="CL56" s="260"/>
      <c r="CM56" s="260"/>
      <c r="CN56" s="260"/>
      <c r="CO56" s="260"/>
      <c r="CP56" s="260"/>
      <c r="CQ56" s="260"/>
      <c r="CR56" s="260"/>
      <c r="CS56" s="260"/>
      <c r="CT56" s="260"/>
      <c r="CU56" s="260"/>
      <c r="CV56" s="260"/>
      <c r="CW56" s="260"/>
      <c r="CX56" s="260"/>
      <c r="CY56" s="260"/>
      <c r="CZ56" s="260"/>
      <c r="DA56" s="260"/>
      <c r="DB56" s="260"/>
      <c r="DC56" s="260"/>
      <c r="DD56" s="260"/>
      <c r="DE56" s="260"/>
      <c r="DF56" s="260"/>
      <c r="DG56" s="260"/>
      <c r="DH56" s="260"/>
      <c r="DI56" s="260"/>
      <c r="DJ56" s="260"/>
      <c r="DK56" s="260"/>
      <c r="DL56" s="260"/>
      <c r="DM56" s="260"/>
      <c r="DN56" s="260"/>
      <c r="DO56" s="260"/>
      <c r="DP56" s="260"/>
      <c r="DQ56" s="260"/>
      <c r="DR56" s="260"/>
      <c r="DS56" s="260"/>
      <c r="DT56" s="260"/>
      <c r="DU56" s="260"/>
      <c r="DV56" s="260"/>
      <c r="DW56" s="260"/>
      <c r="DX56" s="260"/>
      <c r="DY56" s="260"/>
      <c r="DZ56" s="260"/>
      <c r="EA56" s="260"/>
      <c r="EB56" s="260"/>
      <c r="EC56" s="260"/>
      <c r="ED56" s="260"/>
      <c r="EE56" s="260"/>
      <c r="EF56" s="260"/>
      <c r="EG56" s="260"/>
      <c r="EH56" s="260"/>
      <c r="EI56" s="260"/>
      <c r="EJ56" s="260"/>
      <c r="EK56" s="260"/>
      <c r="EL56" s="260"/>
      <c r="EM56" s="260"/>
      <c r="EN56" s="260"/>
      <c r="EO56" s="260"/>
      <c r="EP56" s="260"/>
      <c r="EQ56" s="260"/>
      <c r="ER56" s="260"/>
      <c r="ES56" s="260"/>
      <c r="ET56" s="260"/>
      <c r="EU56" s="260"/>
      <c r="EV56" s="260"/>
      <c r="EW56" s="260"/>
      <c r="EX56" s="260"/>
      <c r="EY56" s="260"/>
      <c r="EZ56" s="260"/>
      <c r="FA56" s="260"/>
      <c r="FB56" s="260"/>
      <c r="FC56" s="260"/>
      <c r="FD56" s="260"/>
      <c r="FE56" s="260"/>
      <c r="FF56" s="260"/>
      <c r="FG56" s="260"/>
      <c r="FH56" s="260"/>
      <c r="FI56" s="260"/>
      <c r="FJ56" s="260"/>
      <c r="FK56" s="260"/>
      <c r="FL56" s="260"/>
      <c r="FM56" s="260"/>
      <c r="FN56" s="260"/>
      <c r="FO56" s="260"/>
      <c r="FP56" s="260"/>
      <c r="FQ56" s="260"/>
      <c r="FR56" s="260"/>
      <c r="FS56" s="260"/>
      <c r="FT56" s="260"/>
      <c r="FU56" s="260"/>
      <c r="FV56" s="260"/>
      <c r="FW56" s="260"/>
      <c r="FX56" s="260"/>
      <c r="FY56" s="260"/>
      <c r="FZ56" s="260"/>
      <c r="GA56" s="260"/>
      <c r="GB56" s="260"/>
      <c r="GC56" s="260"/>
      <c r="GD56" s="260"/>
      <c r="GE56" s="260"/>
      <c r="GF56" s="260"/>
      <c r="GG56" s="260"/>
      <c r="GH56" s="260"/>
      <c r="GI56" s="260"/>
      <c r="GJ56" s="260"/>
      <c r="GK56" s="260"/>
      <c r="GL56" s="260"/>
      <c r="GM56" s="260"/>
      <c r="GN56" s="260"/>
      <c r="GO56" s="260"/>
      <c r="GP56" s="260"/>
      <c r="GQ56" s="260"/>
      <c r="GR56" s="260"/>
      <c r="GS56" s="260"/>
      <c r="GT56" s="260"/>
      <c r="GU56" s="260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</row>
    <row r="57" spans="1:239" s="288" customFormat="1" ht="23.4" customHeight="1">
      <c r="A57" s="282" t="s">
        <v>2740</v>
      </c>
      <c r="B57" s="282"/>
      <c r="C57" s="282"/>
      <c r="D57" s="284" t="s">
        <v>2778</v>
      </c>
      <c r="E57" s="296" t="s">
        <v>296</v>
      </c>
      <c r="F57" s="285">
        <f>SUM(F58)</f>
        <v>4650</v>
      </c>
      <c r="Q57" s="297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  <c r="AW57" s="260"/>
      <c r="AX57" s="260"/>
      <c r="AY57" s="260"/>
      <c r="AZ57" s="260"/>
      <c r="BA57" s="260"/>
      <c r="BB57" s="260"/>
      <c r="BC57" s="260"/>
      <c r="BD57" s="260"/>
      <c r="BE57" s="260"/>
      <c r="BF57" s="260"/>
      <c r="BG57" s="260"/>
      <c r="BH57" s="260"/>
      <c r="BI57" s="260"/>
      <c r="BJ57" s="260"/>
      <c r="BK57" s="260"/>
      <c r="BL57" s="260"/>
      <c r="BM57" s="260"/>
      <c r="BN57" s="260"/>
      <c r="BO57" s="260"/>
      <c r="BP57" s="260"/>
      <c r="BQ57" s="260"/>
      <c r="BR57" s="260"/>
      <c r="BS57" s="260"/>
      <c r="BT57" s="260"/>
      <c r="BU57" s="260"/>
      <c r="BV57" s="260"/>
      <c r="BW57" s="260"/>
      <c r="BX57" s="260"/>
      <c r="BY57" s="260"/>
      <c r="BZ57" s="260"/>
      <c r="CA57" s="260"/>
      <c r="CB57" s="260"/>
      <c r="CC57" s="260"/>
      <c r="CD57" s="260"/>
      <c r="CE57" s="260"/>
      <c r="CF57" s="260"/>
      <c r="CG57" s="260"/>
      <c r="CH57" s="260"/>
      <c r="CI57" s="260"/>
      <c r="CJ57" s="260"/>
      <c r="CK57" s="260"/>
      <c r="CL57" s="260"/>
      <c r="CM57" s="260"/>
      <c r="CN57" s="260"/>
      <c r="CO57" s="260"/>
      <c r="CP57" s="260"/>
      <c r="CQ57" s="260"/>
      <c r="CR57" s="260"/>
      <c r="CS57" s="260"/>
      <c r="CT57" s="260"/>
      <c r="CU57" s="260"/>
      <c r="CV57" s="260"/>
      <c r="CW57" s="260"/>
      <c r="CX57" s="260"/>
      <c r="CY57" s="260"/>
      <c r="CZ57" s="260"/>
      <c r="DA57" s="260"/>
      <c r="DB57" s="260"/>
      <c r="DC57" s="260"/>
      <c r="DD57" s="260"/>
      <c r="DE57" s="260"/>
      <c r="DF57" s="260"/>
      <c r="DG57" s="260"/>
      <c r="DH57" s="260"/>
      <c r="DI57" s="260"/>
      <c r="DJ57" s="260"/>
      <c r="DK57" s="260"/>
      <c r="DL57" s="260"/>
      <c r="DM57" s="260"/>
      <c r="DN57" s="260"/>
      <c r="DO57" s="260"/>
      <c r="DP57" s="260"/>
      <c r="DQ57" s="260"/>
      <c r="DR57" s="260"/>
      <c r="DS57" s="260"/>
      <c r="DT57" s="260"/>
      <c r="DU57" s="260"/>
      <c r="DV57" s="260"/>
      <c r="DW57" s="260"/>
      <c r="DX57" s="260"/>
      <c r="DY57" s="260"/>
      <c r="DZ57" s="260"/>
      <c r="EA57" s="260"/>
      <c r="EB57" s="260"/>
      <c r="EC57" s="260"/>
      <c r="ED57" s="260"/>
      <c r="EE57" s="260"/>
      <c r="EF57" s="260"/>
      <c r="EG57" s="260"/>
      <c r="EH57" s="260"/>
      <c r="EI57" s="260"/>
      <c r="EJ57" s="260"/>
      <c r="EK57" s="260"/>
      <c r="EL57" s="260"/>
      <c r="EM57" s="260"/>
      <c r="EN57" s="260"/>
      <c r="EO57" s="260"/>
      <c r="EP57" s="260"/>
      <c r="EQ57" s="260"/>
      <c r="ER57" s="260"/>
      <c r="ES57" s="260"/>
      <c r="ET57" s="260"/>
      <c r="EU57" s="260"/>
      <c r="EV57" s="260"/>
      <c r="EW57" s="260"/>
      <c r="EX57" s="260"/>
      <c r="EY57" s="260"/>
      <c r="EZ57" s="260"/>
      <c r="FA57" s="260"/>
      <c r="FB57" s="260"/>
      <c r="FC57" s="260"/>
      <c r="FD57" s="260"/>
      <c r="FE57" s="260"/>
      <c r="FF57" s="260"/>
      <c r="FG57" s="260"/>
      <c r="FH57" s="260"/>
      <c r="FI57" s="260"/>
      <c r="FJ57" s="260"/>
      <c r="FK57" s="260"/>
      <c r="FL57" s="260"/>
      <c r="FM57" s="260"/>
      <c r="FN57" s="260"/>
      <c r="FO57" s="260"/>
      <c r="FP57" s="260"/>
      <c r="FQ57" s="260"/>
      <c r="FR57" s="260"/>
      <c r="FS57" s="260"/>
      <c r="FT57" s="260"/>
      <c r="FU57" s="260"/>
      <c r="FV57" s="260"/>
      <c r="FW57" s="260"/>
      <c r="FX57" s="260"/>
      <c r="FY57" s="260"/>
      <c r="FZ57" s="260"/>
      <c r="GA57" s="260"/>
      <c r="GB57" s="260"/>
      <c r="GC57" s="260"/>
      <c r="GD57" s="260"/>
      <c r="GE57" s="260"/>
      <c r="GF57" s="260"/>
      <c r="GG57" s="260"/>
      <c r="GH57" s="260"/>
      <c r="GI57" s="260"/>
      <c r="GJ57" s="260"/>
      <c r="GK57" s="260"/>
      <c r="GL57" s="260"/>
      <c r="GM57" s="260"/>
      <c r="GN57" s="260"/>
      <c r="GO57" s="260"/>
      <c r="GP57" s="260"/>
      <c r="GQ57" s="260"/>
      <c r="GR57" s="260"/>
      <c r="GS57" s="260"/>
      <c r="GT57" s="260"/>
      <c r="GU57" s="260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</row>
    <row r="58" spans="1:239" s="288" customFormat="1" ht="17.399999999999999" customHeight="1">
      <c r="A58" s="288" t="s">
        <v>304</v>
      </c>
      <c r="B58" s="291" t="s">
        <v>285</v>
      </c>
      <c r="C58" s="291" t="s">
        <v>2732</v>
      </c>
      <c r="D58" s="291" t="s">
        <v>2778</v>
      </c>
      <c r="E58" s="291" t="s">
        <v>296</v>
      </c>
      <c r="F58" s="292">
        <f t="shared" si="3"/>
        <v>4650</v>
      </c>
      <c r="G58" s="298">
        <v>360</v>
      </c>
      <c r="H58" s="298">
        <v>360</v>
      </c>
      <c r="I58" s="298">
        <v>540</v>
      </c>
      <c r="J58" s="298">
        <v>180</v>
      </c>
      <c r="K58" s="298">
        <v>540</v>
      </c>
      <c r="L58" s="298">
        <v>360</v>
      </c>
      <c r="M58" s="298">
        <v>540</v>
      </c>
      <c r="N58" s="298">
        <v>330</v>
      </c>
      <c r="O58" s="298">
        <v>360</v>
      </c>
      <c r="P58" s="298">
        <v>360</v>
      </c>
      <c r="Q58" s="300">
        <v>360</v>
      </c>
      <c r="R58" s="298">
        <v>360</v>
      </c>
      <c r="S58" s="260"/>
      <c r="T58" s="301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  <c r="AW58" s="260"/>
      <c r="AX58" s="260"/>
      <c r="AY58" s="260"/>
      <c r="AZ58" s="260"/>
      <c r="BA58" s="260"/>
      <c r="BB58" s="260"/>
      <c r="BC58" s="260"/>
      <c r="BD58" s="260"/>
      <c r="BE58" s="260"/>
      <c r="BF58" s="260"/>
      <c r="BG58" s="260"/>
      <c r="BH58" s="260"/>
      <c r="BI58" s="260"/>
      <c r="BJ58" s="260"/>
      <c r="BK58" s="260"/>
      <c r="BL58" s="260"/>
      <c r="BM58" s="260"/>
      <c r="BN58" s="260"/>
      <c r="BO58" s="260"/>
      <c r="BP58" s="260"/>
      <c r="BQ58" s="260"/>
      <c r="BR58" s="260"/>
      <c r="BS58" s="260"/>
      <c r="BT58" s="260"/>
      <c r="BU58" s="260"/>
      <c r="BV58" s="260"/>
      <c r="BW58" s="260"/>
      <c r="BX58" s="260"/>
      <c r="BY58" s="260"/>
      <c r="BZ58" s="260"/>
      <c r="CA58" s="260"/>
      <c r="CB58" s="260"/>
      <c r="CC58" s="260"/>
      <c r="CD58" s="260"/>
      <c r="CE58" s="260"/>
      <c r="CF58" s="260"/>
      <c r="CG58" s="260"/>
      <c r="CH58" s="260"/>
      <c r="CI58" s="260"/>
      <c r="CJ58" s="260"/>
      <c r="CK58" s="260"/>
      <c r="CL58" s="260"/>
      <c r="CM58" s="260"/>
      <c r="CN58" s="260"/>
      <c r="CO58" s="260"/>
      <c r="CP58" s="260"/>
      <c r="CQ58" s="260"/>
      <c r="CR58" s="260"/>
      <c r="CS58" s="260"/>
      <c r="CT58" s="260"/>
      <c r="CU58" s="260"/>
      <c r="CV58" s="260"/>
      <c r="CW58" s="260"/>
      <c r="CX58" s="260"/>
      <c r="CY58" s="260"/>
      <c r="CZ58" s="260"/>
      <c r="DA58" s="260"/>
      <c r="DB58" s="260"/>
      <c r="DC58" s="260"/>
      <c r="DD58" s="260"/>
      <c r="DE58" s="260"/>
      <c r="DF58" s="260"/>
      <c r="DG58" s="260"/>
      <c r="DH58" s="260"/>
      <c r="DI58" s="260"/>
      <c r="DJ58" s="260"/>
      <c r="DK58" s="260"/>
      <c r="DL58" s="260"/>
      <c r="DM58" s="260"/>
      <c r="DN58" s="260"/>
      <c r="DO58" s="260"/>
      <c r="DP58" s="260"/>
      <c r="DQ58" s="260"/>
      <c r="DR58" s="260"/>
      <c r="DS58" s="260"/>
      <c r="DT58" s="260"/>
      <c r="DU58" s="260"/>
      <c r="DV58" s="260"/>
      <c r="DW58" s="260"/>
      <c r="DX58" s="260"/>
      <c r="DY58" s="260"/>
      <c r="DZ58" s="260"/>
      <c r="EA58" s="260"/>
      <c r="EB58" s="260"/>
      <c r="EC58" s="260"/>
      <c r="ED58" s="260"/>
      <c r="EE58" s="260"/>
      <c r="EF58" s="260"/>
      <c r="EG58" s="260"/>
      <c r="EH58" s="260"/>
      <c r="EI58" s="260"/>
      <c r="EJ58" s="260"/>
      <c r="EK58" s="260"/>
      <c r="EL58" s="260"/>
      <c r="EM58" s="260"/>
      <c r="EN58" s="260"/>
      <c r="EO58" s="260"/>
      <c r="EP58" s="260"/>
      <c r="EQ58" s="260"/>
      <c r="ER58" s="260"/>
      <c r="ES58" s="260"/>
      <c r="ET58" s="260"/>
      <c r="EU58" s="260"/>
      <c r="EV58" s="260"/>
      <c r="EW58" s="260"/>
      <c r="EX58" s="260"/>
      <c r="EY58" s="260"/>
      <c r="EZ58" s="260"/>
      <c r="FA58" s="260"/>
      <c r="FB58" s="260"/>
      <c r="FC58" s="260"/>
      <c r="FD58" s="260"/>
      <c r="FE58" s="260"/>
      <c r="FF58" s="260"/>
      <c r="FG58" s="260"/>
      <c r="FH58" s="260"/>
      <c r="FI58" s="260"/>
      <c r="FJ58" s="260"/>
      <c r="FK58" s="260"/>
      <c r="FL58" s="260"/>
      <c r="FM58" s="260"/>
      <c r="FN58" s="260"/>
      <c r="FO58" s="260"/>
      <c r="FP58" s="260"/>
      <c r="FQ58" s="260"/>
      <c r="FR58" s="260"/>
      <c r="FS58" s="260"/>
      <c r="FT58" s="260"/>
      <c r="FU58" s="260"/>
      <c r="FV58" s="260"/>
      <c r="FW58" s="260"/>
      <c r="FX58" s="260"/>
      <c r="FY58" s="260"/>
      <c r="FZ58" s="260"/>
      <c r="GA58" s="260"/>
      <c r="GB58" s="260"/>
      <c r="GC58" s="260"/>
      <c r="GD58" s="260"/>
      <c r="GE58" s="260"/>
      <c r="GF58" s="260"/>
      <c r="GG58" s="260"/>
      <c r="GH58" s="260"/>
      <c r="GI58" s="260"/>
      <c r="GJ58" s="260"/>
      <c r="GK58" s="260"/>
      <c r="GL58" s="260"/>
      <c r="GM58" s="260"/>
      <c r="GN58" s="260"/>
      <c r="GO58" s="260"/>
      <c r="GP58" s="260"/>
      <c r="GQ58" s="260"/>
      <c r="GR58" s="260"/>
      <c r="GS58" s="260"/>
      <c r="GT58" s="260"/>
      <c r="GU58" s="260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</row>
    <row r="59" spans="1:239" ht="21" customHeight="1"/>
    <row r="60" spans="1:239" ht="21" customHeight="1">
      <c r="A60" s="302"/>
      <c r="B60" s="302"/>
      <c r="C60" s="302"/>
    </row>
    <row r="61" spans="1:239" ht="21" customHeight="1">
      <c r="A61"/>
      <c r="B61"/>
      <c r="C61"/>
      <c r="D61"/>
      <c r="E61"/>
      <c r="F61"/>
      <c r="G61"/>
      <c r="H61"/>
      <c r="I61"/>
      <c r="J61"/>
      <c r="K61"/>
      <c r="L61"/>
      <c r="M61"/>
    </row>
    <row r="62" spans="1:239" ht="21" customHeight="1">
      <c r="A62"/>
      <c r="B62"/>
      <c r="C62"/>
      <c r="D62"/>
      <c r="E62"/>
      <c r="F62"/>
      <c r="G62"/>
      <c r="H62"/>
      <c r="I62"/>
      <c r="J62"/>
      <c r="K62"/>
      <c r="L62"/>
      <c r="M62"/>
    </row>
    <row r="63" spans="1:239" ht="21" customHeight="1">
      <c r="A63"/>
      <c r="B63"/>
      <c r="C63"/>
      <c r="D63"/>
      <c r="E63"/>
      <c r="F63"/>
      <c r="G63"/>
      <c r="H63"/>
      <c r="I63"/>
      <c r="J63"/>
      <c r="K63"/>
      <c r="L63"/>
      <c r="M63"/>
    </row>
    <row r="64" spans="1:239" ht="21" customHeight="1">
      <c r="A64"/>
      <c r="B64"/>
      <c r="C64"/>
      <c r="D64"/>
      <c r="E64"/>
      <c r="F64"/>
      <c r="G64"/>
      <c r="H64"/>
      <c r="I64"/>
      <c r="J64"/>
      <c r="K64"/>
      <c r="L64"/>
      <c r="M64"/>
    </row>
    <row r="65" spans="1:13" ht="21" customHeight="1">
      <c r="A65"/>
      <c r="B65"/>
      <c r="C65"/>
      <c r="D65"/>
      <c r="E65"/>
      <c r="F65"/>
      <c r="G65"/>
      <c r="H65"/>
      <c r="I65"/>
      <c r="J65"/>
      <c r="K65"/>
      <c r="L65"/>
      <c r="M65"/>
    </row>
    <row r="66" spans="1:13" ht="21" customHeight="1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21" customHeight="1">
      <c r="A67"/>
      <c r="B67"/>
      <c r="C67"/>
      <c r="D67"/>
      <c r="E67"/>
      <c r="F67"/>
      <c r="G67"/>
      <c r="H67"/>
      <c r="I67"/>
      <c r="J67"/>
      <c r="K67"/>
      <c r="L67"/>
      <c r="M67"/>
    </row>
    <row r="68" spans="1:13" ht="21" customHeight="1">
      <c r="A68"/>
      <c r="B68"/>
      <c r="C68"/>
      <c r="D68"/>
      <c r="E68"/>
      <c r="F68"/>
      <c r="G68"/>
      <c r="H68"/>
      <c r="I68"/>
      <c r="J68"/>
      <c r="K68"/>
      <c r="L68"/>
      <c r="M68"/>
    </row>
    <row r="69" spans="1:13" ht="21" customHeight="1">
      <c r="A69"/>
      <c r="B69"/>
      <c r="C69"/>
      <c r="D69"/>
      <c r="E69"/>
      <c r="F69"/>
      <c r="G69"/>
      <c r="H69"/>
      <c r="I69"/>
      <c r="J69"/>
      <c r="K69"/>
      <c r="L69"/>
      <c r="M69"/>
    </row>
    <row r="70" spans="1:13" ht="21" customHeight="1">
      <c r="A70"/>
      <c r="B70"/>
      <c r="C70"/>
      <c r="D70"/>
      <c r="E70"/>
      <c r="F70"/>
      <c r="G70"/>
      <c r="H70"/>
      <c r="I70"/>
      <c r="J70"/>
      <c r="K70"/>
      <c r="L70"/>
      <c r="M70"/>
    </row>
    <row r="71" spans="1:13" ht="21" customHeight="1">
      <c r="A71"/>
      <c r="B71"/>
      <c r="C71"/>
      <c r="D71"/>
      <c r="E71"/>
      <c r="F71"/>
      <c r="G71"/>
      <c r="H71"/>
      <c r="I71"/>
      <c r="J71"/>
      <c r="K71"/>
      <c r="L71"/>
      <c r="M71"/>
    </row>
    <row r="72" spans="1:13" ht="21" customHeight="1">
      <c r="A72"/>
      <c r="B72"/>
      <c r="C72"/>
      <c r="D72"/>
      <c r="E72"/>
      <c r="F72"/>
      <c r="G72"/>
      <c r="H72"/>
      <c r="I72"/>
      <c r="J72"/>
      <c r="K72"/>
      <c r="L72"/>
      <c r="M72"/>
    </row>
    <row r="73" spans="1:13" ht="21" customHeight="1">
      <c r="A73"/>
      <c r="B73"/>
      <c r="C73"/>
      <c r="D73"/>
      <c r="E73"/>
      <c r="F73"/>
      <c r="G73"/>
      <c r="H73"/>
      <c r="I73"/>
      <c r="J73"/>
      <c r="K73"/>
      <c r="L73"/>
      <c r="M73"/>
    </row>
    <row r="74" spans="1:13" ht="21" customHeight="1">
      <c r="A74"/>
      <c r="B74"/>
      <c r="C74"/>
      <c r="D74"/>
      <c r="E74"/>
      <c r="F74"/>
      <c r="G74"/>
      <c r="H74"/>
      <c r="I74"/>
      <c r="J74"/>
      <c r="K74"/>
      <c r="L74"/>
      <c r="M74"/>
    </row>
    <row r="75" spans="1:13" ht="21" customHeight="1">
      <c r="A75"/>
      <c r="B75"/>
      <c r="C75"/>
      <c r="D75"/>
      <c r="E75"/>
      <c r="F75"/>
      <c r="G75"/>
      <c r="H75"/>
      <c r="I75"/>
      <c r="J75"/>
      <c r="K75"/>
      <c r="L75"/>
      <c r="M75"/>
    </row>
    <row r="76" spans="1:13" ht="21" customHeight="1">
      <c r="A76"/>
      <c r="B76"/>
      <c r="C76"/>
      <c r="D76"/>
      <c r="E76"/>
      <c r="F76"/>
      <c r="G76"/>
      <c r="H76"/>
      <c r="I76"/>
      <c r="J76"/>
      <c r="K76"/>
      <c r="L76"/>
      <c r="M76"/>
    </row>
    <row r="77" spans="1:13" ht="21" customHeight="1">
      <c r="A77"/>
      <c r="B77"/>
      <c r="C77"/>
      <c r="D77"/>
      <c r="E77"/>
      <c r="F77"/>
      <c r="G77"/>
      <c r="H77"/>
      <c r="I77"/>
      <c r="J77"/>
      <c r="K77"/>
      <c r="L77"/>
      <c r="M77"/>
    </row>
    <row r="78" spans="1:13" ht="21" customHeight="1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21" customHeight="1">
      <c r="A79"/>
      <c r="B79"/>
      <c r="C79"/>
      <c r="D79"/>
      <c r="E79"/>
      <c r="F79"/>
      <c r="G79"/>
      <c r="H79"/>
      <c r="I79"/>
      <c r="J79"/>
      <c r="K79"/>
      <c r="L79"/>
      <c r="M79"/>
    </row>
    <row r="80" spans="1:13" ht="21" customHeight="1">
      <c r="A80"/>
      <c r="B80"/>
      <c r="C80"/>
      <c r="D80"/>
      <c r="E80"/>
      <c r="F80"/>
      <c r="G80"/>
      <c r="H80"/>
      <c r="I80"/>
      <c r="J80"/>
      <c r="K80"/>
      <c r="L80"/>
      <c r="M80"/>
    </row>
    <row r="81" spans="1:13" ht="21" customHeight="1">
      <c r="A81"/>
      <c r="B81"/>
      <c r="C81"/>
      <c r="D81"/>
      <c r="E81"/>
      <c r="F81"/>
      <c r="G81"/>
      <c r="H81"/>
      <c r="I81"/>
      <c r="J81"/>
      <c r="K81"/>
      <c r="L81"/>
      <c r="M81"/>
    </row>
    <row r="82" spans="1:13" ht="21" customHeight="1">
      <c r="A82"/>
      <c r="B82"/>
      <c r="C82"/>
      <c r="D82"/>
      <c r="E82"/>
      <c r="F82"/>
      <c r="G82"/>
      <c r="H82"/>
      <c r="I82"/>
      <c r="J82"/>
      <c r="K82"/>
      <c r="L82"/>
      <c r="M82"/>
    </row>
    <row r="83" spans="1:13" ht="21" customHeight="1">
      <c r="A83"/>
      <c r="B83"/>
      <c r="C83"/>
      <c r="D83"/>
      <c r="E83"/>
      <c r="F83"/>
      <c r="G83"/>
      <c r="H83"/>
      <c r="I83"/>
      <c r="J83"/>
      <c r="K83"/>
      <c r="L83"/>
      <c r="M83"/>
    </row>
    <row r="84" spans="1:13" ht="21" customHeight="1">
      <c r="A84"/>
      <c r="B84"/>
      <c r="C84"/>
      <c r="D84"/>
      <c r="E84"/>
      <c r="F84"/>
      <c r="G84"/>
      <c r="H84"/>
      <c r="I84"/>
      <c r="J84"/>
      <c r="K84"/>
      <c r="L84"/>
      <c r="M84"/>
    </row>
    <row r="85" spans="1:13" ht="21" customHeight="1">
      <c r="A85"/>
      <c r="B85"/>
      <c r="C85"/>
      <c r="D85"/>
      <c r="E85"/>
      <c r="F85"/>
      <c r="G85"/>
      <c r="H85"/>
      <c r="I85"/>
      <c r="J85"/>
      <c r="K85"/>
      <c r="L85"/>
      <c r="M85"/>
    </row>
    <row r="86" spans="1:13" ht="21" customHeight="1">
      <c r="A86"/>
      <c r="B86"/>
      <c r="C86"/>
      <c r="D86"/>
      <c r="E86"/>
      <c r="F86"/>
      <c r="G86"/>
      <c r="H86"/>
      <c r="I86"/>
      <c r="J86"/>
      <c r="K86"/>
      <c r="L86"/>
      <c r="M86"/>
    </row>
    <row r="87" spans="1:13" ht="21" customHeight="1">
      <c r="A87"/>
      <c r="B87"/>
      <c r="C87"/>
      <c r="D87"/>
      <c r="E87"/>
      <c r="F87"/>
      <c r="G87"/>
      <c r="H87"/>
      <c r="I87"/>
      <c r="J87"/>
      <c r="K87"/>
      <c r="L87"/>
      <c r="M87"/>
    </row>
    <row r="88" spans="1:13" ht="21" customHeight="1">
      <c r="A88"/>
      <c r="B88"/>
      <c r="C88"/>
      <c r="D88"/>
      <c r="E88"/>
      <c r="F88"/>
      <c r="G88"/>
      <c r="H88"/>
      <c r="I88"/>
      <c r="J88"/>
      <c r="K88"/>
      <c r="L88"/>
      <c r="M88"/>
    </row>
    <row r="89" spans="1:13" ht="21" customHeight="1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3" ht="21" customHeight="1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21" customHeight="1">
      <c r="A91"/>
      <c r="B91"/>
      <c r="C91"/>
      <c r="D91"/>
      <c r="E91"/>
      <c r="F91"/>
      <c r="G91"/>
      <c r="H91"/>
      <c r="I91"/>
      <c r="J91"/>
      <c r="K91"/>
      <c r="L91"/>
      <c r="M91"/>
    </row>
    <row r="92" spans="1:13" ht="21" customHeight="1">
      <c r="A92"/>
      <c r="B92"/>
      <c r="C92"/>
      <c r="D92"/>
      <c r="E92"/>
      <c r="F92"/>
      <c r="G92"/>
      <c r="H92"/>
      <c r="I92"/>
      <c r="J92"/>
      <c r="K92"/>
      <c r="L92"/>
      <c r="M92"/>
    </row>
    <row r="93" spans="1:13" ht="21" customHeight="1">
      <c r="A93"/>
      <c r="B93"/>
      <c r="C93"/>
      <c r="D93"/>
      <c r="E93"/>
      <c r="F93"/>
      <c r="G93"/>
      <c r="H93"/>
      <c r="I93"/>
      <c r="J93"/>
      <c r="K93"/>
      <c r="L93"/>
      <c r="M93"/>
    </row>
    <row r="94" spans="1:13" ht="21" customHeight="1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3" ht="21" customHeight="1">
      <c r="A95"/>
      <c r="B95"/>
      <c r="C95"/>
      <c r="D95"/>
      <c r="E95"/>
      <c r="F95"/>
      <c r="G95"/>
      <c r="H95"/>
      <c r="I95"/>
      <c r="J95"/>
      <c r="K95"/>
      <c r="L95"/>
      <c r="M95"/>
    </row>
    <row r="96" spans="1:13" ht="21" customHeight="1">
      <c r="A96"/>
      <c r="B96"/>
      <c r="C96"/>
      <c r="D96"/>
      <c r="E96"/>
      <c r="F96"/>
      <c r="G96"/>
      <c r="H96"/>
      <c r="I96"/>
      <c r="J96"/>
      <c r="K96"/>
      <c r="L96"/>
      <c r="M96"/>
    </row>
    <row r="97" spans="1:13" ht="21" customHeight="1">
      <c r="A97"/>
      <c r="B97"/>
      <c r="C97"/>
      <c r="D97"/>
      <c r="E97"/>
      <c r="F97"/>
      <c r="G97"/>
      <c r="H97"/>
      <c r="I97"/>
      <c r="J97"/>
      <c r="K97"/>
      <c r="L97"/>
      <c r="M97"/>
    </row>
    <row r="98" spans="1:13" ht="21" customHeight="1">
      <c r="A98"/>
      <c r="B98"/>
      <c r="C98"/>
      <c r="D98"/>
      <c r="E98"/>
      <c r="F98"/>
      <c r="G98"/>
      <c r="H98"/>
      <c r="I98"/>
      <c r="J98"/>
      <c r="K98"/>
      <c r="L98"/>
      <c r="M98"/>
    </row>
    <row r="99" spans="1:13" ht="21" customHeight="1">
      <c r="A99"/>
      <c r="B99"/>
      <c r="C99"/>
      <c r="D99"/>
      <c r="E99"/>
      <c r="F99"/>
      <c r="G99"/>
      <c r="H99"/>
      <c r="I99"/>
      <c r="J99"/>
      <c r="K99"/>
      <c r="L99"/>
      <c r="M99"/>
    </row>
    <row r="100" spans="1:13" ht="2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</row>
    <row r="101" spans="1:13" ht="2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</row>
    <row r="102" spans="1:13" ht="2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</row>
    <row r="103" spans="1:13" ht="2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</row>
    <row r="104" spans="1:13" ht="2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</row>
    <row r="105" spans="1:13" ht="2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</row>
    <row r="106" spans="1:13" ht="2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</row>
    <row r="107" spans="1:13" ht="2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</row>
    <row r="108" spans="1:13" ht="2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</row>
    <row r="109" spans="1:13" ht="2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</row>
    <row r="110" spans="1:13" ht="2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</row>
    <row r="111" spans="1:13" ht="21" customHeight="1"/>
    <row r="112" spans="1:13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</sheetData>
  <mergeCells count="19">
    <mergeCell ref="F3:F4"/>
    <mergeCell ref="H3:I3"/>
    <mergeCell ref="K3:L3"/>
    <mergeCell ref="A9:B9"/>
    <mergeCell ref="A3:B4"/>
    <mergeCell ref="C3:C4"/>
    <mergeCell ref="D3:D4"/>
    <mergeCell ref="E3:E4"/>
    <mergeCell ref="A5:B5"/>
    <mergeCell ref="A6:B6"/>
    <mergeCell ref="A7:B7"/>
    <mergeCell ref="A8:B8"/>
    <mergeCell ref="G11:R11"/>
    <mergeCell ref="A11:A12"/>
    <mergeCell ref="B11:B12"/>
    <mergeCell ref="D11:D12"/>
    <mergeCell ref="E11:E12"/>
    <mergeCell ref="F11:F12"/>
    <mergeCell ref="C11:C12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0AE5-A066-457F-A8B9-D9415FC787E8}">
  <sheetPr>
    <tabColor rgb="FFFFFF00"/>
  </sheetPr>
  <dimension ref="A1"/>
  <sheetViews>
    <sheetView workbookViewId="0">
      <selection activeCell="K10" sqref="K10"/>
    </sheetView>
  </sheetViews>
  <sheetFormatPr defaultRowHeight="13.8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7106-6EA0-45F5-B23D-163E31603A97}">
  <sheetPr>
    <tabColor rgb="FFFFFF00"/>
  </sheetPr>
  <dimension ref="A2:R33"/>
  <sheetViews>
    <sheetView workbookViewId="0">
      <selection activeCell="A21" sqref="A21"/>
    </sheetView>
  </sheetViews>
  <sheetFormatPr defaultRowHeight="13.8"/>
  <cols>
    <col min="1" max="1" width="53.796875" customWidth="1"/>
    <col min="2" max="2" width="15.59765625" customWidth="1"/>
    <col min="3" max="3" width="18.69921875" customWidth="1"/>
    <col min="5" max="5" width="17.8984375" customWidth="1"/>
  </cols>
  <sheetData>
    <row r="2" spans="1:18" ht="15">
      <c r="A2" s="311" t="s">
        <v>1627</v>
      </c>
      <c r="B2" s="311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</row>
    <row r="3" spans="1:18">
      <c r="A3" s="1291" t="s">
        <v>1628</v>
      </c>
      <c r="B3" s="1321" t="s">
        <v>311</v>
      </c>
      <c r="C3" s="1321" t="s">
        <v>268</v>
      </c>
      <c r="D3" s="1291" t="s">
        <v>269</v>
      </c>
      <c r="E3" s="1321" t="s">
        <v>270</v>
      </c>
      <c r="F3" s="1291" t="s">
        <v>271</v>
      </c>
      <c r="G3" s="1291"/>
      <c r="H3" s="1291"/>
      <c r="I3" s="1291"/>
      <c r="J3" s="1291"/>
      <c r="K3" s="1291"/>
      <c r="L3" s="1291"/>
      <c r="M3" s="1291"/>
      <c r="N3" s="1291"/>
      <c r="O3" s="1291"/>
      <c r="P3" s="1291"/>
      <c r="Q3" s="1291"/>
      <c r="R3" s="228"/>
    </row>
    <row r="4" spans="1:18">
      <c r="A4" s="1291"/>
      <c r="B4" s="1322"/>
      <c r="C4" s="1322"/>
      <c r="D4" s="1291"/>
      <c r="E4" s="1322"/>
      <c r="F4" s="370">
        <v>1</v>
      </c>
      <c r="G4" s="370">
        <v>2</v>
      </c>
      <c r="H4" s="370">
        <v>3</v>
      </c>
      <c r="I4" s="370">
        <v>4</v>
      </c>
      <c r="J4" s="370">
        <v>5</v>
      </c>
      <c r="K4" s="370">
        <v>6</v>
      </c>
      <c r="L4" s="370">
        <v>7</v>
      </c>
      <c r="M4" s="370">
        <v>8</v>
      </c>
      <c r="N4" s="370">
        <v>9</v>
      </c>
      <c r="O4" s="370">
        <v>10</v>
      </c>
      <c r="P4" s="370">
        <v>11</v>
      </c>
      <c r="Q4" s="370">
        <v>12</v>
      </c>
      <c r="R4" s="228"/>
    </row>
    <row r="5" spans="1:18" ht="16.8">
      <c r="A5" s="288" t="s">
        <v>2794</v>
      </c>
      <c r="B5" s="291" t="s">
        <v>285</v>
      </c>
      <c r="C5" s="452" t="s">
        <v>2797</v>
      </c>
      <c r="D5" s="291" t="s">
        <v>61</v>
      </c>
      <c r="E5" s="463">
        <f>SUM(F5:Q5)</f>
        <v>102.6</v>
      </c>
      <c r="F5" s="323">
        <f>F6*13.6</f>
        <v>27.2</v>
      </c>
      <c r="G5" s="323">
        <v>0</v>
      </c>
      <c r="H5" s="323">
        <v>0</v>
      </c>
      <c r="I5" s="323">
        <v>0</v>
      </c>
      <c r="J5" s="323">
        <v>0</v>
      </c>
      <c r="K5" s="323">
        <v>0</v>
      </c>
      <c r="L5" s="323">
        <v>0</v>
      </c>
      <c r="M5" s="323">
        <f>M6*13.6</f>
        <v>27.2</v>
      </c>
      <c r="N5" s="323">
        <f>N6*13.6</f>
        <v>27.2</v>
      </c>
      <c r="O5" s="323">
        <v>0</v>
      </c>
      <c r="P5" s="323">
        <f>8+13</f>
        <v>21</v>
      </c>
      <c r="Q5" s="323">
        <v>0</v>
      </c>
      <c r="R5" s="228"/>
    </row>
    <row r="6" spans="1:18" ht="16.8">
      <c r="A6" s="288"/>
      <c r="B6" s="291"/>
      <c r="C6" s="452"/>
      <c r="D6" s="291" t="s">
        <v>278</v>
      </c>
      <c r="E6" s="478">
        <f>SUM(F6:Q6)</f>
        <v>6</v>
      </c>
      <c r="F6" s="323">
        <v>2</v>
      </c>
      <c r="G6" s="323">
        <v>0</v>
      </c>
      <c r="H6" s="323">
        <v>0</v>
      </c>
      <c r="I6" s="323">
        <v>0</v>
      </c>
      <c r="J6" s="323">
        <v>0</v>
      </c>
      <c r="K6" s="323">
        <v>0</v>
      </c>
      <c r="L6" s="323">
        <v>0</v>
      </c>
      <c r="M6" s="323">
        <v>2</v>
      </c>
      <c r="N6" s="323">
        <v>2</v>
      </c>
      <c r="O6" s="323">
        <v>0</v>
      </c>
      <c r="P6" s="323">
        <v>0</v>
      </c>
      <c r="Q6" s="323">
        <v>0</v>
      </c>
      <c r="R6" s="228"/>
    </row>
    <row r="7" spans="1:18" ht="16.8">
      <c r="A7" s="288" t="s">
        <v>1629</v>
      </c>
      <c r="B7" s="291" t="s">
        <v>1630</v>
      </c>
      <c r="C7" s="452" t="s">
        <v>2793</v>
      </c>
      <c r="D7" s="291" t="s">
        <v>61</v>
      </c>
      <c r="E7" s="463">
        <f>SUM(F7:Q7)</f>
        <v>2.7390000000000008</v>
      </c>
      <c r="F7" s="323">
        <v>0</v>
      </c>
      <c r="G7" s="323">
        <v>0</v>
      </c>
      <c r="H7" s="323">
        <f>(1.6*0.03)+(1.6*0.8)+(0.85*0.03)+(0.85*0.8)</f>
        <v>2.0335000000000005</v>
      </c>
      <c r="I7" s="323">
        <v>0</v>
      </c>
      <c r="J7" s="323">
        <v>0</v>
      </c>
      <c r="K7" s="323">
        <v>0</v>
      </c>
      <c r="L7" s="323">
        <v>0</v>
      </c>
      <c r="M7" s="323">
        <f>(0.85*0.03)+(0.85*0.8)</f>
        <v>0.70550000000000002</v>
      </c>
      <c r="N7" s="323"/>
      <c r="O7" s="323">
        <v>0</v>
      </c>
      <c r="P7" s="323">
        <v>0</v>
      </c>
      <c r="Q7" s="323">
        <v>0</v>
      </c>
      <c r="R7" s="228"/>
    </row>
    <row r="8" spans="1:18" ht="16.8">
      <c r="A8" s="846" t="s">
        <v>2799</v>
      </c>
      <c r="B8" s="291" t="s">
        <v>1630</v>
      </c>
      <c r="C8" s="452" t="s">
        <v>2793</v>
      </c>
      <c r="D8" s="291" t="s">
        <v>61</v>
      </c>
      <c r="E8" s="463">
        <f t="shared" ref="E8:E10" si="0">SUM(F8:Q8)</f>
        <v>0</v>
      </c>
      <c r="F8" s="323">
        <v>0</v>
      </c>
      <c r="G8" s="323">
        <v>0</v>
      </c>
      <c r="H8" s="323">
        <v>0</v>
      </c>
      <c r="I8" s="323">
        <v>0</v>
      </c>
      <c r="J8" s="323">
        <v>0</v>
      </c>
      <c r="K8" s="323">
        <v>0</v>
      </c>
      <c r="L8" s="323">
        <v>0</v>
      </c>
      <c r="M8" s="323">
        <v>0</v>
      </c>
      <c r="N8" s="323">
        <v>0</v>
      </c>
      <c r="O8" s="323">
        <v>0</v>
      </c>
      <c r="P8" s="323">
        <v>0</v>
      </c>
      <c r="Q8" s="839">
        <v>0</v>
      </c>
      <c r="R8" s="464"/>
    </row>
    <row r="9" spans="1:18" ht="16.8">
      <c r="A9" s="846" t="s">
        <v>2800</v>
      </c>
      <c r="B9" s="291" t="s">
        <v>285</v>
      </c>
      <c r="C9" s="452" t="s">
        <v>2793</v>
      </c>
      <c r="D9" s="291" t="s">
        <v>61</v>
      </c>
      <c r="E9" s="463">
        <f t="shared" si="0"/>
        <v>0</v>
      </c>
      <c r="F9" s="323">
        <v>0</v>
      </c>
      <c r="G9" s="323">
        <v>0</v>
      </c>
      <c r="H9" s="323">
        <v>0</v>
      </c>
      <c r="I9" s="323">
        <v>0</v>
      </c>
      <c r="J9" s="323">
        <v>0</v>
      </c>
      <c r="K9" s="323">
        <v>0</v>
      </c>
      <c r="L9" s="323">
        <v>0</v>
      </c>
      <c r="M9" s="323">
        <v>0</v>
      </c>
      <c r="N9" s="323">
        <v>0</v>
      </c>
      <c r="O9" s="323">
        <v>0</v>
      </c>
      <c r="P9" s="323">
        <v>0</v>
      </c>
      <c r="Q9" s="839">
        <v>0</v>
      </c>
      <c r="R9" s="228"/>
    </row>
    <row r="10" spans="1:18" ht="16.8">
      <c r="A10" s="846" t="s">
        <v>2805</v>
      </c>
      <c r="B10" s="291" t="s">
        <v>285</v>
      </c>
      <c r="C10" s="452" t="s">
        <v>2793</v>
      </c>
      <c r="D10" s="291" t="s">
        <v>61</v>
      </c>
      <c r="E10" s="463">
        <f t="shared" si="0"/>
        <v>0</v>
      </c>
      <c r="F10" s="323">
        <v>0</v>
      </c>
      <c r="G10" s="323">
        <v>0</v>
      </c>
      <c r="H10" s="323">
        <v>0</v>
      </c>
      <c r="I10" s="323">
        <v>0</v>
      </c>
      <c r="J10" s="323">
        <v>0</v>
      </c>
      <c r="K10" s="323">
        <v>0</v>
      </c>
      <c r="L10" s="323">
        <v>0</v>
      </c>
      <c r="M10" s="323">
        <v>0</v>
      </c>
      <c r="N10" s="323">
        <v>0</v>
      </c>
      <c r="O10" s="323">
        <v>0</v>
      </c>
      <c r="P10" s="323">
        <v>0</v>
      </c>
      <c r="Q10" s="323">
        <v>0</v>
      </c>
      <c r="R10" s="228"/>
    </row>
    <row r="13" spans="1:18">
      <c r="A13" s="225" t="s">
        <v>1768</v>
      </c>
    </row>
    <row r="14" spans="1:18">
      <c r="A14" s="225" t="s">
        <v>1770</v>
      </c>
    </row>
    <row r="15" spans="1:18">
      <c r="A15" s="225" t="s">
        <v>2795</v>
      </c>
    </row>
    <row r="16" spans="1:18">
      <c r="A16" s="225" t="s">
        <v>2796</v>
      </c>
    </row>
    <row r="17" spans="1:1">
      <c r="A17" s="225" t="s">
        <v>2798</v>
      </c>
    </row>
    <row r="18" spans="1:1">
      <c r="A18" s="225" t="s">
        <v>2801</v>
      </c>
    </row>
    <row r="33" spans="1:1">
      <c r="A33" t="s">
        <v>1769</v>
      </c>
    </row>
  </sheetData>
  <mergeCells count="6">
    <mergeCell ref="A3:A4"/>
    <mergeCell ref="C3:C4"/>
    <mergeCell ref="D3:D4"/>
    <mergeCell ref="E3:E4"/>
    <mergeCell ref="F3:Q3"/>
    <mergeCell ref="B3:B4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1732-6324-4688-8F4F-5D466C075691}">
  <sheetPr>
    <tabColor rgb="FFFFFF00"/>
  </sheetPr>
  <dimension ref="A2:Q7"/>
  <sheetViews>
    <sheetView workbookViewId="0">
      <selection activeCell="E18" sqref="E18"/>
    </sheetView>
  </sheetViews>
  <sheetFormatPr defaultRowHeight="13.8"/>
  <cols>
    <col min="1" max="1" width="24.8984375" customWidth="1"/>
    <col min="2" max="2" width="18.296875" customWidth="1"/>
    <col min="3" max="3" width="17.8984375" customWidth="1"/>
    <col min="5" max="5" width="17.19921875" customWidth="1"/>
  </cols>
  <sheetData>
    <row r="2" spans="1:17" ht="19.2" customHeight="1">
      <c r="A2" s="1323" t="s">
        <v>1618</v>
      </c>
      <c r="B2" s="1323" t="s">
        <v>282</v>
      </c>
      <c r="C2" s="1323" t="s">
        <v>268</v>
      </c>
      <c r="D2" s="1291" t="s">
        <v>269</v>
      </c>
      <c r="E2" s="370"/>
      <c r="F2" s="1291" t="s">
        <v>271</v>
      </c>
      <c r="G2" s="1291"/>
      <c r="H2" s="1291"/>
      <c r="I2" s="1291"/>
      <c r="J2" s="1291"/>
      <c r="K2" s="1291"/>
      <c r="L2" s="1291"/>
      <c r="M2" s="1291"/>
      <c r="N2" s="1291"/>
      <c r="O2" s="1291"/>
      <c r="P2" s="1291"/>
      <c r="Q2" s="1291"/>
    </row>
    <row r="3" spans="1:17" ht="19.2" customHeight="1">
      <c r="A3" s="1324"/>
      <c r="B3" s="1324"/>
      <c r="C3" s="1324"/>
      <c r="D3" s="1291"/>
      <c r="E3" s="370" t="s">
        <v>270</v>
      </c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7" ht="33.6" customHeight="1">
      <c r="A4" s="456" t="s">
        <v>1725</v>
      </c>
      <c r="B4" s="838" t="s">
        <v>2792</v>
      </c>
      <c r="C4" s="456" t="s">
        <v>1619</v>
      </c>
      <c r="D4" s="457" t="s">
        <v>1620</v>
      </c>
      <c r="E4" s="458">
        <f>SUM(E5,E7,E9)</f>
        <v>0</v>
      </c>
      <c r="F4" s="459">
        <v>0</v>
      </c>
      <c r="G4" s="459">
        <v>0</v>
      </c>
      <c r="H4" s="459">
        <v>0</v>
      </c>
      <c r="I4" s="459">
        <v>0</v>
      </c>
      <c r="J4" s="459">
        <v>0</v>
      </c>
      <c r="K4" s="459">
        <v>0</v>
      </c>
      <c r="L4" s="459">
        <v>0</v>
      </c>
      <c r="M4" s="459">
        <v>0</v>
      </c>
      <c r="N4" s="459">
        <v>0</v>
      </c>
      <c r="O4" s="459">
        <v>0</v>
      </c>
      <c r="P4" s="459">
        <v>0</v>
      </c>
      <c r="Q4" s="459">
        <v>0</v>
      </c>
    </row>
    <row r="5" spans="1:17" ht="26.4">
      <c r="A5" s="847" t="s">
        <v>2806</v>
      </c>
      <c r="B5" s="849" t="s">
        <v>2810</v>
      </c>
      <c r="C5" s="456" t="s">
        <v>1619</v>
      </c>
      <c r="D5" s="457" t="s">
        <v>1620</v>
      </c>
      <c r="E5" s="458">
        <f>SUM(E6,E8,E10)</f>
        <v>0</v>
      </c>
      <c r="F5" s="459">
        <v>0</v>
      </c>
      <c r="G5" s="459">
        <v>0</v>
      </c>
      <c r="H5" s="459">
        <v>0</v>
      </c>
      <c r="I5" s="459">
        <v>0</v>
      </c>
      <c r="J5" s="459">
        <v>0</v>
      </c>
      <c r="K5" s="459">
        <v>0</v>
      </c>
      <c r="L5" s="459">
        <v>0</v>
      </c>
      <c r="M5" s="459">
        <v>0</v>
      </c>
      <c r="N5" s="459">
        <v>0</v>
      </c>
      <c r="O5" s="459">
        <v>0</v>
      </c>
      <c r="P5" s="459">
        <v>0</v>
      </c>
      <c r="Q5" s="459">
        <v>0</v>
      </c>
    </row>
    <row r="7" spans="1:17" ht="17.399999999999999">
      <c r="A7" s="840"/>
    </row>
  </sheetData>
  <mergeCells count="5">
    <mergeCell ref="A2:A3"/>
    <mergeCell ref="D2:D3"/>
    <mergeCell ref="F2:Q2"/>
    <mergeCell ref="C2:C3"/>
    <mergeCell ref="B2:B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407D-BB71-43E8-9C94-FF9142BDC4CE}">
  <sheetPr>
    <tabColor rgb="FFFFFF00"/>
  </sheetPr>
  <dimension ref="A1:I1001"/>
  <sheetViews>
    <sheetView workbookViewId="0">
      <selection activeCell="B2" sqref="B2:G2"/>
    </sheetView>
  </sheetViews>
  <sheetFormatPr defaultColWidth="14.3984375" defaultRowHeight="15" customHeight="1"/>
  <cols>
    <col min="1" max="7" width="19.59765625" style="228" customWidth="1"/>
    <col min="8" max="10" width="13.3984375" style="228" customWidth="1"/>
    <col min="11" max="26" width="8.796875" style="228" customWidth="1"/>
    <col min="27" max="16384" width="14.3984375" style="228"/>
  </cols>
  <sheetData>
    <row r="1" spans="1:9" ht="24" customHeight="1">
      <c r="A1" s="311" t="s">
        <v>312</v>
      </c>
    </row>
    <row r="2" spans="1:9" ht="21" customHeight="1">
      <c r="A2" s="312"/>
      <c r="B2" s="1325" t="s">
        <v>313</v>
      </c>
      <c r="C2" s="1326"/>
      <c r="D2" s="1326"/>
      <c r="E2" s="1326"/>
      <c r="F2" s="1326"/>
      <c r="G2" s="1326"/>
      <c r="H2" s="1327" t="s">
        <v>314</v>
      </c>
      <c r="I2" s="1328" t="s">
        <v>315</v>
      </c>
    </row>
    <row r="3" spans="1:9" ht="27" customHeight="1">
      <c r="A3" s="313" t="s">
        <v>316</v>
      </c>
      <c r="B3" s="314" t="s">
        <v>317</v>
      </c>
      <c r="C3" s="315" t="s">
        <v>318</v>
      </c>
      <c r="D3" s="315" t="s">
        <v>319</v>
      </c>
      <c r="E3" s="315" t="s">
        <v>320</v>
      </c>
      <c r="F3" s="315" t="s">
        <v>321</v>
      </c>
      <c r="G3" s="316" t="s">
        <v>322</v>
      </c>
      <c r="H3" s="1327"/>
      <c r="I3" s="1328"/>
    </row>
    <row r="4" spans="1:9" ht="21" customHeight="1">
      <c r="A4" s="317" t="s">
        <v>323</v>
      </c>
      <c r="B4" s="318">
        <v>939</v>
      </c>
      <c r="C4" s="318">
        <v>31</v>
      </c>
      <c r="D4" s="318">
        <v>2</v>
      </c>
      <c r="E4" s="318">
        <v>5</v>
      </c>
      <c r="F4" s="318">
        <f t="shared" ref="F4:F15" si="0">C4-D4-E4</f>
        <v>24</v>
      </c>
      <c r="G4" s="319">
        <f t="shared" ref="G4:G15" si="1">B4*F4</f>
        <v>22536</v>
      </c>
      <c r="H4" s="320">
        <f>G4*0.001*$B$80*$B$82</f>
        <v>901.44</v>
      </c>
      <c r="I4" s="320">
        <f>($B$72*$B$74*$B$75)*(H4-$B$76-$B$77)</f>
        <v>270.43200000000002</v>
      </c>
    </row>
    <row r="5" spans="1:9" ht="21" customHeight="1">
      <c r="A5" s="317" t="s">
        <v>324</v>
      </c>
      <c r="B5" s="310">
        <v>928</v>
      </c>
      <c r="C5" s="310">
        <v>28</v>
      </c>
      <c r="D5" s="310">
        <v>0</v>
      </c>
      <c r="E5" s="310">
        <v>4</v>
      </c>
      <c r="F5" s="321">
        <f t="shared" si="0"/>
        <v>24</v>
      </c>
      <c r="G5" s="322">
        <f t="shared" si="1"/>
        <v>22272</v>
      </c>
      <c r="H5" s="323">
        <f t="shared" ref="H5:H15" si="2">G5*0.001*$B$80*$B$82</f>
        <v>890.88000000000011</v>
      </c>
      <c r="I5" s="323">
        <f t="shared" ref="I5:I15" si="3">($B$72*$B$74*$B$75)*(H5-$B$76-$B$77)</f>
        <v>267.26400000000001</v>
      </c>
    </row>
    <row r="6" spans="1:9" ht="21" customHeight="1">
      <c r="A6" s="317" t="s">
        <v>325</v>
      </c>
      <c r="B6" s="318">
        <v>894</v>
      </c>
      <c r="C6" s="318">
        <v>31</v>
      </c>
      <c r="D6" s="318">
        <v>0</v>
      </c>
      <c r="E6" s="318">
        <v>4</v>
      </c>
      <c r="F6" s="318">
        <f t="shared" si="0"/>
        <v>27</v>
      </c>
      <c r="G6" s="319">
        <f t="shared" si="1"/>
        <v>24138</v>
      </c>
      <c r="H6" s="320">
        <f t="shared" si="2"/>
        <v>965.5200000000001</v>
      </c>
      <c r="I6" s="320">
        <f t="shared" si="3"/>
        <v>289.65600000000001</v>
      </c>
    </row>
    <row r="7" spans="1:9" ht="21" customHeight="1">
      <c r="A7" s="317" t="s">
        <v>326</v>
      </c>
      <c r="B7" s="310">
        <v>853</v>
      </c>
      <c r="C7" s="310">
        <v>30</v>
      </c>
      <c r="D7" s="310">
        <v>5</v>
      </c>
      <c r="E7" s="310">
        <v>5</v>
      </c>
      <c r="F7" s="321">
        <f t="shared" si="0"/>
        <v>20</v>
      </c>
      <c r="G7" s="322">
        <f t="shared" si="1"/>
        <v>17060</v>
      </c>
      <c r="H7" s="323">
        <f t="shared" si="2"/>
        <v>682.4</v>
      </c>
      <c r="I7" s="323">
        <f t="shared" si="3"/>
        <v>204.72</v>
      </c>
    </row>
    <row r="8" spans="1:9" ht="21" customHeight="1">
      <c r="A8" s="317" t="s">
        <v>327</v>
      </c>
      <c r="B8" s="318">
        <v>765</v>
      </c>
      <c r="C8" s="318">
        <v>31</v>
      </c>
      <c r="D8" s="318">
        <v>1</v>
      </c>
      <c r="E8" s="318">
        <v>4</v>
      </c>
      <c r="F8" s="318">
        <f t="shared" si="0"/>
        <v>26</v>
      </c>
      <c r="G8" s="319">
        <f t="shared" si="1"/>
        <v>19890</v>
      </c>
      <c r="H8" s="320">
        <f t="shared" si="2"/>
        <v>795.6</v>
      </c>
      <c r="I8" s="320">
        <f t="shared" si="3"/>
        <v>238.68</v>
      </c>
    </row>
    <row r="9" spans="1:9" ht="21" customHeight="1">
      <c r="A9" s="317" t="s">
        <v>328</v>
      </c>
      <c r="B9" s="310">
        <v>736</v>
      </c>
      <c r="C9" s="310">
        <v>30</v>
      </c>
      <c r="D9" s="310">
        <v>0</v>
      </c>
      <c r="E9" s="310">
        <v>4</v>
      </c>
      <c r="F9" s="321">
        <f t="shared" si="0"/>
        <v>26</v>
      </c>
      <c r="G9" s="322">
        <f t="shared" si="1"/>
        <v>19136</v>
      </c>
      <c r="H9" s="323">
        <f t="shared" si="2"/>
        <v>765.43999999999994</v>
      </c>
      <c r="I9" s="323">
        <f t="shared" si="3"/>
        <v>229.63199999999998</v>
      </c>
    </row>
    <row r="10" spans="1:9" ht="21" customHeight="1">
      <c r="A10" s="317" t="s">
        <v>329</v>
      </c>
      <c r="B10" s="318">
        <v>741</v>
      </c>
      <c r="C10" s="318">
        <v>31</v>
      </c>
      <c r="D10" s="318">
        <v>1</v>
      </c>
      <c r="E10" s="318">
        <v>5</v>
      </c>
      <c r="F10" s="318">
        <f t="shared" si="0"/>
        <v>25</v>
      </c>
      <c r="G10" s="319">
        <f t="shared" si="1"/>
        <v>18525</v>
      </c>
      <c r="H10" s="320">
        <f t="shared" si="2"/>
        <v>741.00000000000011</v>
      </c>
      <c r="I10" s="320">
        <f t="shared" si="3"/>
        <v>222.30000000000004</v>
      </c>
    </row>
    <row r="11" spans="1:9" ht="21" customHeight="1">
      <c r="A11" s="317" t="s">
        <v>330</v>
      </c>
      <c r="B11" s="310">
        <v>730</v>
      </c>
      <c r="C11" s="310">
        <v>31</v>
      </c>
      <c r="D11" s="310">
        <v>0</v>
      </c>
      <c r="E11" s="310">
        <v>4</v>
      </c>
      <c r="F11" s="321">
        <f t="shared" si="0"/>
        <v>27</v>
      </c>
      <c r="G11" s="322">
        <f t="shared" si="1"/>
        <v>19710</v>
      </c>
      <c r="H11" s="323">
        <f t="shared" si="2"/>
        <v>788.40000000000009</v>
      </c>
      <c r="I11" s="323">
        <f t="shared" si="3"/>
        <v>236.52</v>
      </c>
    </row>
    <row r="12" spans="1:9" ht="21" customHeight="1">
      <c r="A12" s="317" t="s">
        <v>331</v>
      </c>
      <c r="B12" s="318">
        <v>713</v>
      </c>
      <c r="C12" s="318">
        <v>30</v>
      </c>
      <c r="D12" s="318">
        <v>0</v>
      </c>
      <c r="E12" s="318">
        <v>4</v>
      </c>
      <c r="F12" s="318">
        <f t="shared" si="0"/>
        <v>26</v>
      </c>
      <c r="G12" s="319">
        <f t="shared" si="1"/>
        <v>18538</v>
      </c>
      <c r="H12" s="320">
        <f t="shared" si="2"/>
        <v>741.52</v>
      </c>
      <c r="I12" s="320">
        <f t="shared" si="3"/>
        <v>222.45599999999999</v>
      </c>
    </row>
    <row r="13" spans="1:9" ht="21" customHeight="1">
      <c r="A13" s="317" t="s">
        <v>332</v>
      </c>
      <c r="B13" s="310">
        <v>702</v>
      </c>
      <c r="C13" s="310">
        <v>31</v>
      </c>
      <c r="D13" s="310">
        <v>1</v>
      </c>
      <c r="E13" s="310">
        <v>5</v>
      </c>
      <c r="F13" s="321">
        <f t="shared" si="0"/>
        <v>25</v>
      </c>
      <c r="G13" s="322">
        <f t="shared" si="1"/>
        <v>17550</v>
      </c>
      <c r="H13" s="323">
        <f t="shared" si="2"/>
        <v>702</v>
      </c>
      <c r="I13" s="323">
        <f t="shared" si="3"/>
        <v>210.6</v>
      </c>
    </row>
    <row r="14" spans="1:9" ht="21" customHeight="1">
      <c r="A14" s="317" t="s">
        <v>333</v>
      </c>
      <c r="B14" s="318">
        <v>693</v>
      </c>
      <c r="C14" s="318">
        <v>30</v>
      </c>
      <c r="D14" s="318">
        <v>0</v>
      </c>
      <c r="E14" s="318">
        <v>4</v>
      </c>
      <c r="F14" s="318">
        <f t="shared" si="0"/>
        <v>26</v>
      </c>
      <c r="G14" s="319">
        <f t="shared" si="1"/>
        <v>18018</v>
      </c>
      <c r="H14" s="320">
        <f t="shared" si="2"/>
        <v>720.72</v>
      </c>
      <c r="I14" s="320">
        <f t="shared" si="3"/>
        <v>216.21600000000001</v>
      </c>
    </row>
    <row r="15" spans="1:9" ht="21" customHeight="1">
      <c r="A15" s="317" t="s">
        <v>334</v>
      </c>
      <c r="B15" s="310">
        <v>692</v>
      </c>
      <c r="C15" s="310">
        <v>31</v>
      </c>
      <c r="D15" s="310">
        <v>3</v>
      </c>
      <c r="E15" s="310">
        <v>5</v>
      </c>
      <c r="F15" s="321">
        <f t="shared" si="0"/>
        <v>23</v>
      </c>
      <c r="G15" s="322">
        <f t="shared" si="1"/>
        <v>15916</v>
      </c>
      <c r="H15" s="323">
        <f t="shared" si="2"/>
        <v>636.64</v>
      </c>
      <c r="I15" s="323">
        <f t="shared" si="3"/>
        <v>190.99199999999999</v>
      </c>
    </row>
    <row r="16" spans="1:9" ht="21" customHeight="1">
      <c r="A16" s="324"/>
      <c r="B16" s="324"/>
      <c r="C16" s="324"/>
      <c r="D16" s="324"/>
      <c r="F16" s="325">
        <f>SUM(F4:F15)</f>
        <v>299</v>
      </c>
      <c r="G16" s="326">
        <f>SUM(G4:G15)</f>
        <v>233289</v>
      </c>
      <c r="I16" s="327">
        <f>SUM(I4:I15)</f>
        <v>2799.4680000000003</v>
      </c>
    </row>
    <row r="17" spans="1:9" ht="21" customHeight="1"/>
    <row r="18" spans="1:9" ht="21" customHeight="1"/>
    <row r="19" spans="1:9" ht="21" customHeight="1">
      <c r="A19" s="311" t="s">
        <v>335</v>
      </c>
    </row>
    <row r="20" spans="1:9" ht="21" customHeight="1">
      <c r="A20" s="312"/>
      <c r="B20" s="1325" t="s">
        <v>336</v>
      </c>
      <c r="C20" s="1326"/>
      <c r="D20" s="1326"/>
      <c r="E20" s="1326"/>
      <c r="F20" s="1326"/>
      <c r="G20" s="1326"/>
      <c r="H20" s="1327" t="s">
        <v>314</v>
      </c>
      <c r="I20" s="1328" t="s">
        <v>315</v>
      </c>
    </row>
    <row r="21" spans="1:9" ht="25.2" customHeight="1">
      <c r="A21" s="313" t="s">
        <v>316</v>
      </c>
      <c r="B21" s="314" t="s">
        <v>317</v>
      </c>
      <c r="C21" s="315" t="s">
        <v>318</v>
      </c>
      <c r="D21" s="315" t="s">
        <v>337</v>
      </c>
      <c r="E21" s="315" t="s">
        <v>320</v>
      </c>
      <c r="F21" s="315" t="s">
        <v>321</v>
      </c>
      <c r="G21" s="315" t="s">
        <v>322</v>
      </c>
      <c r="H21" s="1327"/>
      <c r="I21" s="1328"/>
    </row>
    <row r="22" spans="1:9" ht="21" customHeight="1">
      <c r="A22" s="317" t="s">
        <v>323</v>
      </c>
      <c r="B22" s="318">
        <v>29</v>
      </c>
      <c r="C22" s="318">
        <v>31</v>
      </c>
      <c r="D22" s="318">
        <v>2</v>
      </c>
      <c r="E22" s="318">
        <v>9</v>
      </c>
      <c r="F22" s="318">
        <f>C22-D22-E22</f>
        <v>20</v>
      </c>
      <c r="G22" s="328">
        <f>B22*F22</f>
        <v>580</v>
      </c>
      <c r="H22" s="320">
        <f>G22*0.001*$B$80*$B$82</f>
        <v>23.2</v>
      </c>
      <c r="I22" s="320">
        <f>($B$72*$B$74*$B$75)*(H22-$B$76-$B$77)</f>
        <v>6.96</v>
      </c>
    </row>
    <row r="23" spans="1:9" ht="21" customHeight="1">
      <c r="A23" s="317" t="s">
        <v>324</v>
      </c>
      <c r="B23" s="310">
        <v>29</v>
      </c>
      <c r="C23" s="310">
        <v>28</v>
      </c>
      <c r="D23" s="310">
        <v>0</v>
      </c>
      <c r="E23" s="310">
        <v>8</v>
      </c>
      <c r="F23" s="321">
        <f t="shared" ref="F23:F33" si="4">C23-D23-E23</f>
        <v>20</v>
      </c>
      <c r="G23" s="329">
        <f t="shared" ref="G23:G33" si="5">B23*F23</f>
        <v>580</v>
      </c>
      <c r="H23" s="323">
        <f>G23*0.001*$B$80*$B$82</f>
        <v>23.2</v>
      </c>
      <c r="I23" s="323">
        <f t="shared" ref="I23:I33" si="6">($B$72*$B$74*$B$75)*(H23-$B$76-$B$77)</f>
        <v>6.96</v>
      </c>
    </row>
    <row r="24" spans="1:9" ht="21" customHeight="1">
      <c r="A24" s="317" t="s">
        <v>325</v>
      </c>
      <c r="B24" s="318">
        <v>28</v>
      </c>
      <c r="C24" s="318">
        <v>31</v>
      </c>
      <c r="D24" s="318">
        <v>0</v>
      </c>
      <c r="E24" s="318">
        <v>8</v>
      </c>
      <c r="F24" s="318">
        <f t="shared" si="4"/>
        <v>23</v>
      </c>
      <c r="G24" s="328">
        <f t="shared" si="5"/>
        <v>644</v>
      </c>
      <c r="H24" s="320">
        <f t="shared" ref="H24:H33" si="7">G24*0.001*$B$80*$B$82</f>
        <v>25.76</v>
      </c>
      <c r="I24" s="320">
        <f t="shared" si="6"/>
        <v>7.7279999999999998</v>
      </c>
    </row>
    <row r="25" spans="1:9" ht="21" customHeight="1">
      <c r="A25" s="317" t="s">
        <v>326</v>
      </c>
      <c r="B25" s="310">
        <v>29</v>
      </c>
      <c r="C25" s="310">
        <v>30</v>
      </c>
      <c r="D25" s="310">
        <v>4</v>
      </c>
      <c r="E25" s="310">
        <v>10</v>
      </c>
      <c r="F25" s="321">
        <f t="shared" si="4"/>
        <v>16</v>
      </c>
      <c r="G25" s="329">
        <f t="shared" si="5"/>
        <v>464</v>
      </c>
      <c r="H25" s="323">
        <f t="shared" si="7"/>
        <v>18.560000000000002</v>
      </c>
      <c r="I25" s="323">
        <f t="shared" si="6"/>
        <v>5.5680000000000005</v>
      </c>
    </row>
    <row r="26" spans="1:9" ht="21" customHeight="1">
      <c r="A26" s="317" t="s">
        <v>327</v>
      </c>
      <c r="B26" s="318">
        <v>29</v>
      </c>
      <c r="C26" s="318">
        <v>31</v>
      </c>
      <c r="D26" s="318">
        <v>1</v>
      </c>
      <c r="E26" s="318">
        <v>8</v>
      </c>
      <c r="F26" s="318">
        <f t="shared" si="4"/>
        <v>22</v>
      </c>
      <c r="G26" s="328">
        <f t="shared" si="5"/>
        <v>638</v>
      </c>
      <c r="H26" s="320">
        <f t="shared" si="7"/>
        <v>25.52</v>
      </c>
      <c r="I26" s="320">
        <f t="shared" si="6"/>
        <v>7.6559999999999997</v>
      </c>
    </row>
    <row r="27" spans="1:9" ht="21" customHeight="1">
      <c r="A27" s="317" t="s">
        <v>328</v>
      </c>
      <c r="B27" s="310">
        <v>29</v>
      </c>
      <c r="C27" s="310">
        <v>30</v>
      </c>
      <c r="D27" s="310">
        <v>0</v>
      </c>
      <c r="E27" s="310">
        <v>8</v>
      </c>
      <c r="F27" s="321">
        <f t="shared" si="4"/>
        <v>22</v>
      </c>
      <c r="G27" s="329">
        <f t="shared" si="5"/>
        <v>638</v>
      </c>
      <c r="H27" s="323">
        <f t="shared" si="7"/>
        <v>25.52</v>
      </c>
      <c r="I27" s="323">
        <f t="shared" si="6"/>
        <v>7.6559999999999997</v>
      </c>
    </row>
    <row r="28" spans="1:9" ht="21" customHeight="1">
      <c r="A28" s="317" t="s">
        <v>329</v>
      </c>
      <c r="B28" s="318">
        <v>29</v>
      </c>
      <c r="C28" s="318">
        <v>31</v>
      </c>
      <c r="D28" s="318">
        <v>1</v>
      </c>
      <c r="E28" s="318">
        <v>10</v>
      </c>
      <c r="F28" s="318">
        <f t="shared" si="4"/>
        <v>20</v>
      </c>
      <c r="G28" s="328">
        <f t="shared" si="5"/>
        <v>580</v>
      </c>
      <c r="H28" s="320">
        <f t="shared" si="7"/>
        <v>23.2</v>
      </c>
      <c r="I28" s="320">
        <f t="shared" si="6"/>
        <v>6.96</v>
      </c>
    </row>
    <row r="29" spans="1:9" ht="21" customHeight="1">
      <c r="A29" s="317" t="s">
        <v>330</v>
      </c>
      <c r="B29" s="310">
        <v>29</v>
      </c>
      <c r="C29" s="310">
        <v>31</v>
      </c>
      <c r="D29" s="310">
        <v>1</v>
      </c>
      <c r="E29" s="310">
        <v>8</v>
      </c>
      <c r="F29" s="321">
        <f t="shared" si="4"/>
        <v>22</v>
      </c>
      <c r="G29" s="329">
        <f t="shared" si="5"/>
        <v>638</v>
      </c>
      <c r="H29" s="323">
        <f t="shared" si="7"/>
        <v>25.52</v>
      </c>
      <c r="I29" s="323">
        <f t="shared" si="6"/>
        <v>7.6559999999999997</v>
      </c>
    </row>
    <row r="30" spans="1:9" ht="21" customHeight="1">
      <c r="A30" s="317" t="s">
        <v>331</v>
      </c>
      <c r="B30" s="318">
        <v>29</v>
      </c>
      <c r="C30" s="318">
        <v>30</v>
      </c>
      <c r="D30" s="318">
        <v>0</v>
      </c>
      <c r="E30" s="318">
        <v>9</v>
      </c>
      <c r="F30" s="318">
        <f t="shared" si="4"/>
        <v>21</v>
      </c>
      <c r="G30" s="328">
        <f t="shared" si="5"/>
        <v>609</v>
      </c>
      <c r="H30" s="320">
        <f t="shared" si="7"/>
        <v>24.36</v>
      </c>
      <c r="I30" s="320">
        <f t="shared" si="6"/>
        <v>7.3079999999999998</v>
      </c>
    </row>
    <row r="31" spans="1:9" ht="21" customHeight="1">
      <c r="A31" s="317" t="s">
        <v>332</v>
      </c>
      <c r="B31" s="310">
        <v>27</v>
      </c>
      <c r="C31" s="310">
        <v>31</v>
      </c>
      <c r="D31" s="310">
        <v>2</v>
      </c>
      <c r="E31" s="310">
        <v>9</v>
      </c>
      <c r="F31" s="321">
        <f t="shared" si="4"/>
        <v>20</v>
      </c>
      <c r="G31" s="329">
        <f t="shared" si="5"/>
        <v>540</v>
      </c>
      <c r="H31" s="323">
        <f t="shared" si="7"/>
        <v>21.6</v>
      </c>
      <c r="I31" s="323">
        <f t="shared" si="6"/>
        <v>6.48</v>
      </c>
    </row>
    <row r="32" spans="1:9" ht="21" customHeight="1">
      <c r="A32" s="317" t="s">
        <v>333</v>
      </c>
      <c r="B32" s="318">
        <v>26</v>
      </c>
      <c r="C32" s="318">
        <v>30</v>
      </c>
      <c r="D32" s="318">
        <v>0</v>
      </c>
      <c r="E32" s="318">
        <v>8</v>
      </c>
      <c r="F32" s="318">
        <f t="shared" si="4"/>
        <v>22</v>
      </c>
      <c r="G32" s="328">
        <f t="shared" si="5"/>
        <v>572</v>
      </c>
      <c r="H32" s="320">
        <f t="shared" si="7"/>
        <v>22.880000000000003</v>
      </c>
      <c r="I32" s="320">
        <f t="shared" si="6"/>
        <v>6.8640000000000008</v>
      </c>
    </row>
    <row r="33" spans="1:9" ht="21" customHeight="1">
      <c r="A33" s="317" t="s">
        <v>334</v>
      </c>
      <c r="B33" s="310">
        <v>26</v>
      </c>
      <c r="C33" s="310">
        <v>31</v>
      </c>
      <c r="D33" s="310">
        <v>2</v>
      </c>
      <c r="E33" s="310">
        <v>10</v>
      </c>
      <c r="F33" s="321">
        <f t="shared" si="4"/>
        <v>19</v>
      </c>
      <c r="G33" s="329">
        <f t="shared" si="5"/>
        <v>494</v>
      </c>
      <c r="H33" s="323">
        <f t="shared" si="7"/>
        <v>19.759999999999998</v>
      </c>
      <c r="I33" s="323">
        <f t="shared" si="6"/>
        <v>5.927999999999999</v>
      </c>
    </row>
    <row r="34" spans="1:9" ht="21" customHeight="1">
      <c r="A34" s="324"/>
      <c r="B34" s="324"/>
      <c r="C34" s="324"/>
      <c r="D34" s="324"/>
      <c r="F34" s="325">
        <f>SUM(F22:F33)</f>
        <v>247</v>
      </c>
      <c r="G34" s="326">
        <f>SUM(G22:G33)</f>
        <v>6977</v>
      </c>
      <c r="I34" s="327">
        <f>SUM(I22:I33)</f>
        <v>83.724000000000004</v>
      </c>
    </row>
    <row r="35" spans="1:9" ht="21" customHeight="1"/>
    <row r="36" spans="1:9" ht="21" customHeight="1">
      <c r="A36" s="311" t="s">
        <v>1611</v>
      </c>
    </row>
    <row r="37" spans="1:9" ht="21" customHeight="1">
      <c r="A37" s="312"/>
      <c r="B37" s="1325" t="s">
        <v>1617</v>
      </c>
      <c r="C37" s="1326"/>
      <c r="D37" s="1326"/>
      <c r="E37" s="1326"/>
      <c r="F37" s="1326"/>
      <c r="G37" s="1326"/>
      <c r="H37" s="1327" t="s">
        <v>314</v>
      </c>
      <c r="I37" s="1328" t="s">
        <v>315</v>
      </c>
    </row>
    <row r="38" spans="1:9" ht="28.8" customHeight="1">
      <c r="A38" s="313" t="s">
        <v>316</v>
      </c>
      <c r="B38" s="314" t="s">
        <v>2807</v>
      </c>
      <c r="C38" s="315" t="s">
        <v>318</v>
      </c>
      <c r="D38" s="315" t="s">
        <v>337</v>
      </c>
      <c r="E38" s="315" t="s">
        <v>320</v>
      </c>
      <c r="F38" s="315" t="s">
        <v>321</v>
      </c>
      <c r="G38" s="315" t="s">
        <v>322</v>
      </c>
      <c r="H38" s="1327"/>
      <c r="I38" s="1328"/>
    </row>
    <row r="39" spans="1:9" ht="21" customHeight="1">
      <c r="A39" s="317" t="s">
        <v>323</v>
      </c>
      <c r="B39" s="318">
        <f>15+3+2</f>
        <v>20</v>
      </c>
      <c r="C39" s="318">
        <v>31</v>
      </c>
      <c r="D39" s="318">
        <v>0</v>
      </c>
      <c r="E39" s="318">
        <v>0</v>
      </c>
      <c r="F39" s="318">
        <f t="shared" ref="F39:F50" si="8">C39-D39-E39</f>
        <v>31</v>
      </c>
      <c r="G39" s="328">
        <f>B39*F39</f>
        <v>620</v>
      </c>
      <c r="H39" s="320">
        <f>G39*0.001*$B$80*$B$82</f>
        <v>24.8</v>
      </c>
      <c r="I39" s="320">
        <f>($B$72*$B$74*$B$75)*(H39-$B$76-$B$77)</f>
        <v>7.4399999999999995</v>
      </c>
    </row>
    <row r="40" spans="1:9" ht="21" customHeight="1">
      <c r="A40" s="317" t="s">
        <v>324</v>
      </c>
      <c r="B40" s="318">
        <f t="shared" ref="B40:B44" si="9">15+3+2</f>
        <v>20</v>
      </c>
      <c r="C40" s="310">
        <v>28</v>
      </c>
      <c r="D40" s="310">
        <v>0</v>
      </c>
      <c r="E40" s="310">
        <v>0</v>
      </c>
      <c r="F40" s="321">
        <f t="shared" si="8"/>
        <v>28</v>
      </c>
      <c r="G40" s="329">
        <f t="shared" ref="G40:G50" si="10">B40*F40</f>
        <v>560</v>
      </c>
      <c r="H40" s="323">
        <f>G40*0.001*$B$80*$B$82</f>
        <v>22.400000000000002</v>
      </c>
      <c r="I40" s="323">
        <f t="shared" ref="I40:I49" si="11">($B$72*$B$74*$B$75)*(H40-$B$76-$B$77)</f>
        <v>6.7200000000000006</v>
      </c>
    </row>
    <row r="41" spans="1:9" ht="21" customHeight="1">
      <c r="A41" s="317" t="s">
        <v>325</v>
      </c>
      <c r="B41" s="318">
        <f t="shared" si="9"/>
        <v>20</v>
      </c>
      <c r="C41" s="318">
        <v>31</v>
      </c>
      <c r="D41" s="318">
        <v>0</v>
      </c>
      <c r="E41" s="318">
        <v>0</v>
      </c>
      <c r="F41" s="318">
        <f t="shared" si="8"/>
        <v>31</v>
      </c>
      <c r="G41" s="328">
        <f t="shared" si="10"/>
        <v>620</v>
      </c>
      <c r="H41" s="320">
        <f t="shared" ref="H41:H50" si="12">G41*0.001*$B$80*$B$82</f>
        <v>24.8</v>
      </c>
      <c r="I41" s="320">
        <f t="shared" si="11"/>
        <v>7.4399999999999995</v>
      </c>
    </row>
    <row r="42" spans="1:9" ht="21" customHeight="1">
      <c r="A42" s="317" t="s">
        <v>326</v>
      </c>
      <c r="B42" s="318">
        <f t="shared" si="9"/>
        <v>20</v>
      </c>
      <c r="C42" s="310">
        <v>30</v>
      </c>
      <c r="D42" s="310">
        <v>0</v>
      </c>
      <c r="E42" s="310">
        <v>0</v>
      </c>
      <c r="F42" s="321">
        <f t="shared" si="8"/>
        <v>30</v>
      </c>
      <c r="G42" s="329">
        <f t="shared" si="10"/>
        <v>600</v>
      </c>
      <c r="H42" s="323">
        <f t="shared" si="12"/>
        <v>24</v>
      </c>
      <c r="I42" s="323">
        <f t="shared" si="11"/>
        <v>7.1999999999999993</v>
      </c>
    </row>
    <row r="43" spans="1:9" ht="21" customHeight="1">
      <c r="A43" s="317" t="s">
        <v>327</v>
      </c>
      <c r="B43" s="318">
        <f t="shared" si="9"/>
        <v>20</v>
      </c>
      <c r="C43" s="318">
        <v>31</v>
      </c>
      <c r="D43" s="318">
        <v>0</v>
      </c>
      <c r="E43" s="318">
        <v>0</v>
      </c>
      <c r="F43" s="318">
        <f t="shared" si="8"/>
        <v>31</v>
      </c>
      <c r="G43" s="328">
        <f t="shared" si="10"/>
        <v>620</v>
      </c>
      <c r="H43" s="320">
        <f t="shared" si="12"/>
        <v>24.8</v>
      </c>
      <c r="I43" s="320">
        <f t="shared" si="11"/>
        <v>7.4399999999999995</v>
      </c>
    </row>
    <row r="44" spans="1:9" ht="21" customHeight="1">
      <c r="A44" s="317" t="s">
        <v>328</v>
      </c>
      <c r="B44" s="318">
        <f t="shared" si="9"/>
        <v>20</v>
      </c>
      <c r="C44" s="310">
        <v>30</v>
      </c>
      <c r="D44" s="310">
        <v>0</v>
      </c>
      <c r="E44" s="310">
        <v>0</v>
      </c>
      <c r="F44" s="321">
        <f t="shared" si="8"/>
        <v>30</v>
      </c>
      <c r="G44" s="329">
        <f t="shared" si="10"/>
        <v>600</v>
      </c>
      <c r="H44" s="323">
        <f t="shared" si="12"/>
        <v>24</v>
      </c>
      <c r="I44" s="323">
        <f t="shared" si="11"/>
        <v>7.1999999999999993</v>
      </c>
    </row>
    <row r="45" spans="1:9" ht="21" customHeight="1">
      <c r="A45" s="317" t="s">
        <v>329</v>
      </c>
      <c r="B45" s="318">
        <f>15+2+2</f>
        <v>19</v>
      </c>
      <c r="C45" s="318">
        <v>31</v>
      </c>
      <c r="D45" s="318">
        <v>0</v>
      </c>
      <c r="E45" s="318">
        <v>0</v>
      </c>
      <c r="F45" s="318">
        <f t="shared" si="8"/>
        <v>31</v>
      </c>
      <c r="G45" s="328">
        <f t="shared" si="10"/>
        <v>589</v>
      </c>
      <c r="H45" s="320">
        <f t="shared" si="12"/>
        <v>23.56</v>
      </c>
      <c r="I45" s="320">
        <f t="shared" si="11"/>
        <v>7.0679999999999996</v>
      </c>
    </row>
    <row r="46" spans="1:9" ht="21" customHeight="1">
      <c r="A46" s="317" t="s">
        <v>330</v>
      </c>
      <c r="B46" s="318">
        <f t="shared" ref="B46:B50" si="13">15+2+2</f>
        <v>19</v>
      </c>
      <c r="C46" s="310">
        <v>31</v>
      </c>
      <c r="D46" s="310">
        <v>0</v>
      </c>
      <c r="E46" s="310">
        <v>0</v>
      </c>
      <c r="F46" s="321">
        <f t="shared" si="8"/>
        <v>31</v>
      </c>
      <c r="G46" s="329">
        <f t="shared" si="10"/>
        <v>589</v>
      </c>
      <c r="H46" s="323">
        <f t="shared" si="12"/>
        <v>23.56</v>
      </c>
      <c r="I46" s="323">
        <f t="shared" si="11"/>
        <v>7.0679999999999996</v>
      </c>
    </row>
    <row r="47" spans="1:9" ht="21" customHeight="1">
      <c r="A47" s="317" t="s">
        <v>331</v>
      </c>
      <c r="B47" s="318">
        <f t="shared" si="13"/>
        <v>19</v>
      </c>
      <c r="C47" s="318">
        <v>30</v>
      </c>
      <c r="D47" s="318">
        <v>0</v>
      </c>
      <c r="E47" s="318">
        <v>0</v>
      </c>
      <c r="F47" s="318">
        <f t="shared" si="8"/>
        <v>30</v>
      </c>
      <c r="G47" s="328">
        <f t="shared" si="10"/>
        <v>570</v>
      </c>
      <c r="H47" s="320">
        <f t="shared" si="12"/>
        <v>22.800000000000004</v>
      </c>
      <c r="I47" s="320">
        <f t="shared" si="11"/>
        <v>6.8400000000000007</v>
      </c>
    </row>
    <row r="48" spans="1:9" ht="21" customHeight="1">
      <c r="A48" s="317" t="s">
        <v>332</v>
      </c>
      <c r="B48" s="318">
        <f t="shared" si="13"/>
        <v>19</v>
      </c>
      <c r="C48" s="310">
        <v>31</v>
      </c>
      <c r="D48" s="310">
        <v>0</v>
      </c>
      <c r="E48" s="310">
        <v>0</v>
      </c>
      <c r="F48" s="321">
        <f t="shared" si="8"/>
        <v>31</v>
      </c>
      <c r="G48" s="329">
        <f t="shared" si="10"/>
        <v>589</v>
      </c>
      <c r="H48" s="323">
        <f t="shared" si="12"/>
        <v>23.56</v>
      </c>
      <c r="I48" s="323">
        <f t="shared" si="11"/>
        <v>7.0679999999999996</v>
      </c>
    </row>
    <row r="49" spans="1:9" ht="21" customHeight="1">
      <c r="A49" s="317" t="s">
        <v>333</v>
      </c>
      <c r="B49" s="318">
        <f t="shared" si="13"/>
        <v>19</v>
      </c>
      <c r="C49" s="318">
        <v>30</v>
      </c>
      <c r="D49" s="318">
        <v>0</v>
      </c>
      <c r="E49" s="318">
        <v>0</v>
      </c>
      <c r="F49" s="318">
        <f t="shared" si="8"/>
        <v>30</v>
      </c>
      <c r="G49" s="328">
        <f t="shared" si="10"/>
        <v>570</v>
      </c>
      <c r="H49" s="320">
        <f t="shared" si="12"/>
        <v>22.800000000000004</v>
      </c>
      <c r="I49" s="320">
        <f t="shared" si="11"/>
        <v>6.8400000000000007</v>
      </c>
    </row>
    <row r="50" spans="1:9" ht="21" customHeight="1">
      <c r="A50" s="317" t="s">
        <v>334</v>
      </c>
      <c r="B50" s="318">
        <f t="shared" si="13"/>
        <v>19</v>
      </c>
      <c r="C50" s="310">
        <v>31</v>
      </c>
      <c r="D50" s="310">
        <v>0</v>
      </c>
      <c r="E50" s="310">
        <v>0</v>
      </c>
      <c r="F50" s="321">
        <f t="shared" si="8"/>
        <v>31</v>
      </c>
      <c r="G50" s="329">
        <f t="shared" si="10"/>
        <v>589</v>
      </c>
      <c r="H50" s="323">
        <f t="shared" si="12"/>
        <v>23.56</v>
      </c>
      <c r="I50" s="323" t="b">
        <f>A53=($B$72*$B$74*$B$75)*(H50-$B$76-$B$77)</f>
        <v>0</v>
      </c>
    </row>
    <row r="51" spans="1:9" ht="21" customHeight="1">
      <c r="A51" s="324"/>
      <c r="B51" s="324"/>
      <c r="C51" s="324"/>
      <c r="D51" s="324"/>
      <c r="F51" s="325">
        <f>SUM(F39:F50)</f>
        <v>365</v>
      </c>
      <c r="G51" s="326">
        <f>SUM(G39:G50)</f>
        <v>7116</v>
      </c>
      <c r="I51" s="327">
        <f>SUM(I39:I50)</f>
        <v>78.323999999999998</v>
      </c>
    </row>
    <row r="52" spans="1:9" ht="21" customHeight="1">
      <c r="A52" s="324"/>
      <c r="B52" s="324"/>
      <c r="C52" s="324"/>
      <c r="D52" s="324"/>
      <c r="F52" s="453"/>
      <c r="G52" s="454"/>
      <c r="I52" s="455"/>
    </row>
    <row r="53" spans="1:9" ht="21" customHeight="1">
      <c r="A53" s="311" t="s">
        <v>1616</v>
      </c>
    </row>
    <row r="54" spans="1:9" ht="21" customHeight="1">
      <c r="A54" s="312"/>
      <c r="B54" s="1325" t="s">
        <v>1617</v>
      </c>
      <c r="C54" s="1326"/>
      <c r="D54" s="1326"/>
      <c r="E54" s="1326"/>
      <c r="F54" s="1326"/>
      <c r="G54" s="1326"/>
      <c r="H54" s="1327" t="s">
        <v>314</v>
      </c>
      <c r="I54" s="1328" t="s">
        <v>315</v>
      </c>
    </row>
    <row r="55" spans="1:9" ht="28.8" customHeight="1">
      <c r="A55" s="313" t="s">
        <v>316</v>
      </c>
      <c r="B55" s="314" t="s">
        <v>317</v>
      </c>
      <c r="C55" s="315" t="s">
        <v>318</v>
      </c>
      <c r="D55" s="315" t="s">
        <v>337</v>
      </c>
      <c r="E55" s="315" t="s">
        <v>320</v>
      </c>
      <c r="F55" s="315" t="s">
        <v>321</v>
      </c>
      <c r="G55" s="315" t="s">
        <v>322</v>
      </c>
      <c r="H55" s="1327"/>
      <c r="I55" s="1328"/>
    </row>
    <row r="56" spans="1:9" ht="21" customHeight="1">
      <c r="A56" s="317" t="s">
        <v>323</v>
      </c>
      <c r="B56" s="318">
        <v>2</v>
      </c>
      <c r="C56" s="318">
        <v>31</v>
      </c>
      <c r="D56" s="318">
        <v>0</v>
      </c>
      <c r="E56" s="318">
        <v>0</v>
      </c>
      <c r="F56" s="318">
        <f t="shared" ref="F56:F67" si="14">C56-D56-E56</f>
        <v>31</v>
      </c>
      <c r="G56" s="328">
        <f>B56*F56</f>
        <v>62</v>
      </c>
      <c r="H56" s="320">
        <f>G56*0.001*$B$80*$B$82</f>
        <v>2.48</v>
      </c>
      <c r="I56" s="320">
        <f>($B$72*$B$74*$B$75)*(H56-$B$76-$B$77)</f>
        <v>0.74399999999999999</v>
      </c>
    </row>
    <row r="57" spans="1:9" ht="21" customHeight="1">
      <c r="A57" s="317" t="s">
        <v>324</v>
      </c>
      <c r="B57" s="318">
        <v>2</v>
      </c>
      <c r="C57" s="310">
        <v>28</v>
      </c>
      <c r="D57" s="310">
        <v>0</v>
      </c>
      <c r="E57" s="310">
        <v>0</v>
      </c>
      <c r="F57" s="321">
        <f t="shared" si="14"/>
        <v>28</v>
      </c>
      <c r="G57" s="329">
        <f t="shared" ref="G57:G67" si="15">B57*F57</f>
        <v>56</v>
      </c>
      <c r="H57" s="323">
        <f>G57*0.001*$B$80*$B$82</f>
        <v>2.2400000000000002</v>
      </c>
      <c r="I57" s="323">
        <f>($B$72*$B$74*$B$75)*(H57-$B$76-$B$77)</f>
        <v>0.67200000000000004</v>
      </c>
    </row>
    <row r="58" spans="1:9" ht="21" customHeight="1">
      <c r="A58" s="317" t="s">
        <v>325</v>
      </c>
      <c r="B58" s="318">
        <v>2</v>
      </c>
      <c r="C58" s="318">
        <v>31</v>
      </c>
      <c r="D58" s="318">
        <v>0</v>
      </c>
      <c r="E58" s="318">
        <v>0</v>
      </c>
      <c r="F58" s="318">
        <f t="shared" si="14"/>
        <v>31</v>
      </c>
      <c r="G58" s="328">
        <f t="shared" si="15"/>
        <v>62</v>
      </c>
      <c r="H58" s="320">
        <f t="shared" ref="H58:H67" si="16">G58*0.001*$B$80*$B$82</f>
        <v>2.48</v>
      </c>
      <c r="I58" s="320">
        <f>($B$72*$B$74*$B$75)*(H58-$B$76-$B$77)</f>
        <v>0.74399999999999999</v>
      </c>
    </row>
    <row r="59" spans="1:9" ht="21" customHeight="1">
      <c r="A59" s="317" t="s">
        <v>326</v>
      </c>
      <c r="B59" s="318">
        <v>2</v>
      </c>
      <c r="C59" s="310">
        <v>30</v>
      </c>
      <c r="D59" s="310">
        <v>0</v>
      </c>
      <c r="E59" s="310">
        <v>0</v>
      </c>
      <c r="F59" s="321">
        <f t="shared" si="14"/>
        <v>30</v>
      </c>
      <c r="G59" s="329">
        <f t="shared" si="15"/>
        <v>60</v>
      </c>
      <c r="H59" s="323">
        <f t="shared" si="16"/>
        <v>2.4</v>
      </c>
      <c r="I59" s="323">
        <f t="shared" ref="I59:I67" si="17">($B$72*$B$74*$B$75)*(H59-$B$76-$B$77)</f>
        <v>0.72</v>
      </c>
    </row>
    <row r="60" spans="1:9" ht="21" customHeight="1">
      <c r="A60" s="317" t="s">
        <v>327</v>
      </c>
      <c r="B60" s="318">
        <v>2</v>
      </c>
      <c r="C60" s="318">
        <v>31</v>
      </c>
      <c r="D60" s="318">
        <v>0</v>
      </c>
      <c r="E60" s="318">
        <v>0</v>
      </c>
      <c r="F60" s="318">
        <f t="shared" si="14"/>
        <v>31</v>
      </c>
      <c r="G60" s="328">
        <f t="shared" si="15"/>
        <v>62</v>
      </c>
      <c r="H60" s="320">
        <f t="shared" si="16"/>
        <v>2.48</v>
      </c>
      <c r="I60" s="320">
        <f t="shared" si="17"/>
        <v>0.74399999999999999</v>
      </c>
    </row>
    <row r="61" spans="1:9" ht="21" customHeight="1">
      <c r="A61" s="317" t="s">
        <v>328</v>
      </c>
      <c r="B61" s="318">
        <v>2</v>
      </c>
      <c r="C61" s="310">
        <v>30</v>
      </c>
      <c r="D61" s="310">
        <v>0</v>
      </c>
      <c r="E61" s="310">
        <v>0</v>
      </c>
      <c r="F61" s="321">
        <f t="shared" si="14"/>
        <v>30</v>
      </c>
      <c r="G61" s="329">
        <f t="shared" si="15"/>
        <v>60</v>
      </c>
      <c r="H61" s="323">
        <f t="shared" si="16"/>
        <v>2.4</v>
      </c>
      <c r="I61" s="323">
        <f t="shared" si="17"/>
        <v>0.72</v>
      </c>
    </row>
    <row r="62" spans="1:9" ht="21" customHeight="1">
      <c r="A62" s="317" t="s">
        <v>329</v>
      </c>
      <c r="B62" s="318">
        <v>2</v>
      </c>
      <c r="C62" s="318">
        <v>31</v>
      </c>
      <c r="D62" s="318">
        <v>0</v>
      </c>
      <c r="E62" s="318">
        <v>0</v>
      </c>
      <c r="F62" s="318">
        <f t="shared" si="14"/>
        <v>31</v>
      </c>
      <c r="G62" s="328">
        <f t="shared" si="15"/>
        <v>62</v>
      </c>
      <c r="H62" s="320">
        <f t="shared" si="16"/>
        <v>2.48</v>
      </c>
      <c r="I62" s="320">
        <f>($B$72*$B$74*$B$75)*(H62-$B$76-$B$77)</f>
        <v>0.74399999999999999</v>
      </c>
    </row>
    <row r="63" spans="1:9" ht="21" customHeight="1">
      <c r="A63" s="317" t="s">
        <v>330</v>
      </c>
      <c r="B63" s="318">
        <v>2</v>
      </c>
      <c r="C63" s="310">
        <v>31</v>
      </c>
      <c r="D63" s="310">
        <v>0</v>
      </c>
      <c r="E63" s="310">
        <v>0</v>
      </c>
      <c r="F63" s="321">
        <f t="shared" si="14"/>
        <v>31</v>
      </c>
      <c r="G63" s="329">
        <f t="shared" si="15"/>
        <v>62</v>
      </c>
      <c r="H63" s="323">
        <f t="shared" si="16"/>
        <v>2.48</v>
      </c>
      <c r="I63" s="323">
        <f t="shared" si="17"/>
        <v>0.74399999999999999</v>
      </c>
    </row>
    <row r="64" spans="1:9" ht="21" customHeight="1">
      <c r="A64" s="317" t="s">
        <v>331</v>
      </c>
      <c r="B64" s="318">
        <v>2</v>
      </c>
      <c r="C64" s="318">
        <v>30</v>
      </c>
      <c r="D64" s="318">
        <v>0</v>
      </c>
      <c r="E64" s="318">
        <v>0</v>
      </c>
      <c r="F64" s="318">
        <f t="shared" si="14"/>
        <v>30</v>
      </c>
      <c r="G64" s="328">
        <f t="shared" si="15"/>
        <v>60</v>
      </c>
      <c r="H64" s="320">
        <f t="shared" si="16"/>
        <v>2.4</v>
      </c>
      <c r="I64" s="320">
        <f t="shared" si="17"/>
        <v>0.72</v>
      </c>
    </row>
    <row r="65" spans="1:9" ht="21" customHeight="1">
      <c r="A65" s="317" t="s">
        <v>332</v>
      </c>
      <c r="B65" s="318">
        <v>2</v>
      </c>
      <c r="C65" s="310">
        <v>31</v>
      </c>
      <c r="D65" s="310">
        <v>0</v>
      </c>
      <c r="E65" s="310">
        <v>0</v>
      </c>
      <c r="F65" s="321">
        <f t="shared" si="14"/>
        <v>31</v>
      </c>
      <c r="G65" s="329">
        <f t="shared" si="15"/>
        <v>62</v>
      </c>
      <c r="H65" s="323">
        <f t="shared" si="16"/>
        <v>2.48</v>
      </c>
      <c r="I65" s="323">
        <f t="shared" si="17"/>
        <v>0.74399999999999999</v>
      </c>
    </row>
    <row r="66" spans="1:9" ht="21" customHeight="1">
      <c r="A66" s="317" t="s">
        <v>333</v>
      </c>
      <c r="B66" s="318">
        <v>2</v>
      </c>
      <c r="C66" s="318">
        <v>30</v>
      </c>
      <c r="D66" s="318">
        <v>0</v>
      </c>
      <c r="E66" s="318">
        <v>0</v>
      </c>
      <c r="F66" s="318">
        <f t="shared" si="14"/>
        <v>30</v>
      </c>
      <c r="G66" s="328">
        <f t="shared" si="15"/>
        <v>60</v>
      </c>
      <c r="H66" s="320">
        <f t="shared" si="16"/>
        <v>2.4</v>
      </c>
      <c r="I66" s="320">
        <f t="shared" si="17"/>
        <v>0.72</v>
      </c>
    </row>
    <row r="67" spans="1:9" ht="21" customHeight="1">
      <c r="A67" s="317" t="s">
        <v>334</v>
      </c>
      <c r="B67" s="318">
        <v>2</v>
      </c>
      <c r="C67" s="310">
        <v>31</v>
      </c>
      <c r="D67" s="310">
        <v>0</v>
      </c>
      <c r="E67" s="310">
        <v>0</v>
      </c>
      <c r="F67" s="321">
        <f t="shared" si="14"/>
        <v>31</v>
      </c>
      <c r="G67" s="329">
        <f t="shared" si="15"/>
        <v>62</v>
      </c>
      <c r="H67" s="323">
        <f t="shared" si="16"/>
        <v>2.48</v>
      </c>
      <c r="I67" s="323">
        <f t="shared" si="17"/>
        <v>0.74399999999999999</v>
      </c>
    </row>
    <row r="68" spans="1:9" ht="21" customHeight="1">
      <c r="A68" s="324"/>
      <c r="B68" s="324"/>
      <c r="C68" s="324"/>
      <c r="D68" s="324"/>
      <c r="F68" s="325">
        <f>SUM(F56:F67)</f>
        <v>365</v>
      </c>
      <c r="G68" s="326">
        <f>SUM(G56:G67)</f>
        <v>730</v>
      </c>
      <c r="I68" s="327">
        <f>SUM(I56:I67)</f>
        <v>8.759999999999998</v>
      </c>
    </row>
    <row r="69" spans="1:9" ht="21" customHeight="1"/>
    <row r="70" spans="1:9" ht="21" customHeight="1">
      <c r="A70" s="330" t="s">
        <v>338</v>
      </c>
      <c r="B70" s="331"/>
      <c r="C70" s="331"/>
      <c r="D70" s="332"/>
      <c r="E70" s="332"/>
      <c r="F70" s="333"/>
    </row>
    <row r="71" spans="1:9" ht="21" customHeight="1">
      <c r="A71" s="334" t="s">
        <v>339</v>
      </c>
      <c r="B71" s="335">
        <f>(B74*B75*B72)*(B73-B76)-B77</f>
        <v>0</v>
      </c>
      <c r="C71" s="1329" t="s">
        <v>340</v>
      </c>
      <c r="D71" s="1330"/>
      <c r="E71" s="1330"/>
      <c r="F71" s="1331"/>
    </row>
    <row r="72" spans="1:9" ht="21" customHeight="1">
      <c r="A72" s="334" t="s">
        <v>341</v>
      </c>
      <c r="B72" s="335">
        <f>B78*B79</f>
        <v>0.3</v>
      </c>
      <c r="C72" s="1329" t="s">
        <v>342</v>
      </c>
      <c r="D72" s="1330"/>
      <c r="E72" s="1330"/>
      <c r="F72" s="1331"/>
    </row>
    <row r="73" spans="1:9" ht="21" customHeight="1">
      <c r="A73" s="334" t="s">
        <v>314</v>
      </c>
      <c r="B73" s="339">
        <f>B81*B80*0.001*B82*365</f>
        <v>0</v>
      </c>
      <c r="C73" s="1329" t="s">
        <v>343</v>
      </c>
      <c r="D73" s="1330"/>
      <c r="E73" s="1330"/>
      <c r="F73" s="1331"/>
    </row>
    <row r="74" spans="1:9" ht="21" customHeight="1">
      <c r="A74" s="340" t="s">
        <v>344</v>
      </c>
      <c r="B74" s="340">
        <v>1</v>
      </c>
      <c r="C74" s="1329" t="s">
        <v>345</v>
      </c>
      <c r="D74" s="1330"/>
      <c r="E74" s="1330"/>
      <c r="F74" s="1331"/>
    </row>
    <row r="75" spans="1:9" ht="21" customHeight="1">
      <c r="A75" s="334" t="s">
        <v>346</v>
      </c>
      <c r="B75" s="334">
        <v>1</v>
      </c>
      <c r="C75" s="1329" t="s">
        <v>345</v>
      </c>
      <c r="D75" s="1330"/>
      <c r="E75" s="1330"/>
      <c r="F75" s="1331"/>
    </row>
    <row r="76" spans="1:9" ht="21" customHeight="1">
      <c r="A76" s="334" t="s">
        <v>347</v>
      </c>
      <c r="B76" s="334">
        <v>0</v>
      </c>
      <c r="C76" s="336"/>
      <c r="D76" s="337"/>
      <c r="E76" s="337"/>
      <c r="F76" s="338"/>
    </row>
    <row r="77" spans="1:9" ht="21" customHeight="1">
      <c r="A77" s="334" t="s">
        <v>348</v>
      </c>
      <c r="B77" s="334">
        <v>0</v>
      </c>
      <c r="C77" s="336"/>
      <c r="D77" s="337"/>
      <c r="E77" s="337"/>
      <c r="F77" s="338"/>
    </row>
    <row r="78" spans="1:9" ht="21" customHeight="1">
      <c r="A78" s="334" t="s">
        <v>349</v>
      </c>
      <c r="B78" s="334">
        <v>0.6</v>
      </c>
      <c r="C78" s="1329" t="s">
        <v>350</v>
      </c>
      <c r="D78" s="1330"/>
      <c r="E78" s="1330"/>
      <c r="F78" s="1331"/>
    </row>
    <row r="79" spans="1:9" ht="21" customHeight="1">
      <c r="A79" s="334" t="s">
        <v>351</v>
      </c>
      <c r="B79" s="334">
        <v>0.5</v>
      </c>
      <c r="C79" s="1329" t="s">
        <v>352</v>
      </c>
      <c r="D79" s="1330"/>
      <c r="E79" s="1330"/>
      <c r="F79" s="1331"/>
    </row>
    <row r="80" spans="1:9" ht="21" customHeight="1">
      <c r="A80" s="334" t="s">
        <v>353</v>
      </c>
      <c r="B80" s="334">
        <v>40</v>
      </c>
      <c r="C80" s="1329" t="s">
        <v>354</v>
      </c>
      <c r="D80" s="1330"/>
      <c r="E80" s="1330"/>
      <c r="F80" s="1331"/>
    </row>
    <row r="81" spans="1:6" ht="21" customHeight="1">
      <c r="A81" s="334" t="s">
        <v>234</v>
      </c>
      <c r="B81" s="341"/>
      <c r="C81" s="336" t="s">
        <v>355</v>
      </c>
      <c r="D81" s="337"/>
      <c r="E81" s="337"/>
      <c r="F81" s="338"/>
    </row>
    <row r="82" spans="1:6" ht="21" customHeight="1">
      <c r="A82" s="334" t="s">
        <v>356</v>
      </c>
      <c r="B82" s="334">
        <v>1</v>
      </c>
      <c r="C82" s="1329" t="s">
        <v>357</v>
      </c>
      <c r="D82" s="1330"/>
      <c r="E82" s="1330"/>
      <c r="F82" s="1331"/>
    </row>
    <row r="83" spans="1:6" ht="21" customHeight="1"/>
    <row r="84" spans="1:6" ht="21" customHeight="1"/>
    <row r="85" spans="1:6" ht="21" customHeight="1"/>
    <row r="86" spans="1:6" ht="21" customHeight="1"/>
    <row r="87" spans="1:6" ht="21" customHeight="1"/>
    <row r="88" spans="1:6" ht="21" customHeight="1"/>
    <row r="89" spans="1:6" ht="21" customHeight="1"/>
    <row r="90" spans="1:6" ht="21" customHeight="1"/>
    <row r="91" spans="1:6" ht="21" customHeight="1"/>
    <row r="92" spans="1:6" ht="21" customHeight="1"/>
    <row r="93" spans="1:6" ht="21" customHeight="1"/>
    <row r="94" spans="1:6" ht="21" customHeight="1"/>
    <row r="95" spans="1:6" ht="21" customHeight="1"/>
    <row r="96" spans="1: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</sheetData>
  <mergeCells count="21">
    <mergeCell ref="B37:G37"/>
    <mergeCell ref="H37:H38"/>
    <mergeCell ref="I37:I38"/>
    <mergeCell ref="B2:G2"/>
    <mergeCell ref="H2:H3"/>
    <mergeCell ref="I2:I3"/>
    <mergeCell ref="B20:G20"/>
    <mergeCell ref="H20:H21"/>
    <mergeCell ref="I20:I21"/>
    <mergeCell ref="C82:F82"/>
    <mergeCell ref="C71:F71"/>
    <mergeCell ref="C72:F72"/>
    <mergeCell ref="C73:F73"/>
    <mergeCell ref="C74:F74"/>
    <mergeCell ref="C75:F75"/>
    <mergeCell ref="C78:F78"/>
    <mergeCell ref="B54:G54"/>
    <mergeCell ref="H54:H55"/>
    <mergeCell ref="I54:I55"/>
    <mergeCell ref="C79:F79"/>
    <mergeCell ref="C80:F80"/>
  </mergeCell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49A-3CD7-42C5-BF28-D2FF7C66F278}">
  <sheetPr>
    <tabColor rgb="FFFFFF00"/>
  </sheetPr>
  <dimension ref="A1:R5"/>
  <sheetViews>
    <sheetView workbookViewId="0">
      <selection activeCell="R6" sqref="R6"/>
    </sheetView>
  </sheetViews>
  <sheetFormatPr defaultColWidth="14.3984375" defaultRowHeight="19.8" customHeight="1"/>
  <cols>
    <col min="1" max="1" width="32.3984375" style="228" customWidth="1"/>
    <col min="2" max="2" width="12.3984375" style="228" customWidth="1"/>
    <col min="3" max="16" width="8.796875" style="228" customWidth="1"/>
    <col min="17" max="17" width="17.796875" style="228" customWidth="1"/>
    <col min="18" max="27" width="8.796875" style="228" customWidth="1"/>
    <col min="28" max="16384" width="14.3984375" style="228"/>
  </cols>
  <sheetData>
    <row r="1" spans="1:18" ht="14.4" customHeight="1">
      <c r="A1" s="1296" t="s">
        <v>4</v>
      </c>
      <c r="B1" s="1296" t="s">
        <v>268</v>
      </c>
      <c r="C1" s="1296" t="s">
        <v>269</v>
      </c>
      <c r="D1" s="1296" t="s">
        <v>270</v>
      </c>
      <c r="E1" s="1299" t="s">
        <v>271</v>
      </c>
      <c r="F1" s="1334"/>
      <c r="G1" s="1334"/>
      <c r="H1" s="1334"/>
      <c r="I1" s="1334"/>
      <c r="J1" s="1334"/>
      <c r="K1" s="1334"/>
      <c r="L1" s="1334"/>
      <c r="M1" s="1334"/>
      <c r="N1" s="1334"/>
      <c r="O1" s="1334"/>
      <c r="P1" s="1334"/>
      <c r="Q1" s="1332" t="s">
        <v>1740</v>
      </c>
    </row>
    <row r="2" spans="1:18" ht="13.2">
      <c r="A2" s="1333"/>
      <c r="B2" s="1333"/>
      <c r="C2" s="1333"/>
      <c r="D2" s="1298"/>
      <c r="E2" s="261">
        <v>1</v>
      </c>
      <c r="F2" s="261">
        <v>2</v>
      </c>
      <c r="G2" s="261">
        <v>3</v>
      </c>
      <c r="H2" s="261">
        <v>4</v>
      </c>
      <c r="I2" s="261">
        <v>5</v>
      </c>
      <c r="J2" s="261">
        <v>6</v>
      </c>
      <c r="K2" s="261">
        <v>7</v>
      </c>
      <c r="L2" s="261">
        <v>8</v>
      </c>
      <c r="M2" s="261">
        <v>9</v>
      </c>
      <c r="N2" s="261">
        <v>10</v>
      </c>
      <c r="O2" s="261">
        <v>11</v>
      </c>
      <c r="P2" s="479">
        <v>12</v>
      </c>
      <c r="Q2" s="1332"/>
    </row>
    <row r="3" spans="1:18" ht="16.8">
      <c r="A3" s="342" t="s">
        <v>358</v>
      </c>
      <c r="B3" s="343" t="s">
        <v>272</v>
      </c>
      <c r="C3" s="343" t="s">
        <v>280</v>
      </c>
      <c r="D3" s="344">
        <f>SUM(E3:P3)</f>
        <v>50</v>
      </c>
      <c r="E3" s="278">
        <v>50</v>
      </c>
      <c r="F3" s="278">
        <v>0</v>
      </c>
      <c r="G3" s="278">
        <v>0</v>
      </c>
      <c r="H3" s="278">
        <v>0</v>
      </c>
      <c r="I3" s="278">
        <v>0</v>
      </c>
      <c r="J3" s="278">
        <v>0</v>
      </c>
      <c r="K3" s="278">
        <v>0</v>
      </c>
      <c r="L3" s="278">
        <v>0</v>
      </c>
      <c r="M3" s="278">
        <v>0</v>
      </c>
      <c r="N3" s="278">
        <v>0</v>
      </c>
      <c r="O3" s="278">
        <v>0</v>
      </c>
      <c r="P3" s="552">
        <v>0</v>
      </c>
      <c r="Q3" s="553">
        <v>2.5000000000000001E-3</v>
      </c>
      <c r="R3" s="228" t="s">
        <v>2812</v>
      </c>
    </row>
    <row r="4" spans="1:18" ht="19.8" customHeight="1">
      <c r="Q4" s="863">
        <v>0.85960000000000003</v>
      </c>
      <c r="R4" s="228" t="s">
        <v>2813</v>
      </c>
    </row>
    <row r="5" spans="1:18" ht="13.2">
      <c r="A5" s="228" t="s">
        <v>359</v>
      </c>
    </row>
  </sheetData>
  <mergeCells count="6">
    <mergeCell ref="Q1:Q2"/>
    <mergeCell ref="A1:A2"/>
    <mergeCell ref="B1:B2"/>
    <mergeCell ref="C1:C2"/>
    <mergeCell ref="D1:D2"/>
    <mergeCell ref="E1:P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43E5-7FF0-4274-AE42-EC2F5942285D}">
  <sheetPr>
    <tabColor rgb="FFFFFF00"/>
  </sheetPr>
  <dimension ref="A1:R16"/>
  <sheetViews>
    <sheetView zoomScaleNormal="100" workbookViewId="0">
      <selection activeCell="H20" sqref="H20"/>
    </sheetView>
  </sheetViews>
  <sheetFormatPr defaultColWidth="8.8984375" defaultRowHeight="13.8"/>
  <cols>
    <col min="1" max="1" width="22.59765625" style="225" customWidth="1"/>
    <col min="2" max="2" width="14.19921875" style="225" customWidth="1"/>
    <col min="3" max="3" width="19.69921875" style="225" customWidth="1"/>
    <col min="4" max="4" width="14.19921875" style="225" customWidth="1"/>
    <col min="5" max="16" width="10.296875" style="225" bestFit="1" customWidth="1"/>
    <col min="17" max="17" width="9.09765625" style="225" bestFit="1" customWidth="1"/>
    <col min="18" max="18" width="9" style="225" bestFit="1" customWidth="1"/>
    <col min="19" max="16384" width="8.8984375" style="225"/>
  </cols>
  <sheetData>
    <row r="1" spans="1:18" ht="25.8" customHeight="1">
      <c r="A1" s="563" t="s">
        <v>1755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91" t="s">
        <v>4</v>
      </c>
      <c r="B2" s="1323" t="s">
        <v>1793</v>
      </c>
      <c r="C2" s="1321" t="s">
        <v>268</v>
      </c>
      <c r="D2" s="1291" t="s">
        <v>269</v>
      </c>
      <c r="E2" s="1323" t="s">
        <v>1756</v>
      </c>
      <c r="F2" s="1291" t="s">
        <v>271</v>
      </c>
      <c r="G2" s="1291"/>
      <c r="H2" s="1291"/>
      <c r="I2" s="1291"/>
      <c r="J2" s="1291"/>
      <c r="K2" s="1291"/>
      <c r="L2" s="1291"/>
      <c r="M2" s="1291"/>
      <c r="N2" s="1291"/>
      <c r="O2" s="1291"/>
      <c r="P2" s="1291"/>
      <c r="Q2" s="1291"/>
    </row>
    <row r="3" spans="1:18">
      <c r="A3" s="1291"/>
      <c r="B3" s="1324"/>
      <c r="C3" s="1322"/>
      <c r="D3" s="1291"/>
      <c r="E3" s="1324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8">
      <c r="A4" s="564" t="s">
        <v>1759</v>
      </c>
      <c r="B4" s="562" t="s">
        <v>1766</v>
      </c>
      <c r="C4" s="562" t="s">
        <v>1757</v>
      </c>
      <c r="D4" s="562" t="s">
        <v>1758</v>
      </c>
      <c r="E4" s="562">
        <v>500</v>
      </c>
      <c r="F4" s="565">
        <v>124</v>
      </c>
      <c r="G4" s="565">
        <v>95</v>
      </c>
      <c r="H4" s="565">
        <v>120</v>
      </c>
      <c r="I4" s="565">
        <v>38</v>
      </c>
      <c r="J4" s="565">
        <v>65</v>
      </c>
      <c r="K4" s="565">
        <v>84</v>
      </c>
      <c r="L4" s="565">
        <v>72</v>
      </c>
      <c r="M4" s="565">
        <v>56</v>
      </c>
      <c r="N4" s="565">
        <v>88</v>
      </c>
      <c r="O4" s="565">
        <v>47</v>
      </c>
      <c r="P4" s="565">
        <v>136</v>
      </c>
      <c r="Q4" s="565">
        <v>137</v>
      </c>
    </row>
    <row r="5" spans="1:18">
      <c r="A5" s="564" t="s">
        <v>1760</v>
      </c>
      <c r="B5" s="562" t="s">
        <v>1766</v>
      </c>
      <c r="C5" s="562" t="s">
        <v>1757</v>
      </c>
      <c r="D5" s="562" t="s">
        <v>1758</v>
      </c>
      <c r="E5" s="562">
        <v>500</v>
      </c>
      <c r="F5" s="565">
        <v>90</v>
      </c>
      <c r="G5" s="565">
        <v>60</v>
      </c>
      <c r="H5" s="565">
        <v>84</v>
      </c>
      <c r="I5" s="565">
        <v>111</v>
      </c>
      <c r="J5" s="565">
        <v>78</v>
      </c>
      <c r="K5" s="565">
        <v>64</v>
      </c>
      <c r="L5" s="565">
        <v>49</v>
      </c>
      <c r="M5" s="565">
        <v>47</v>
      </c>
      <c r="N5" s="565">
        <v>62</v>
      </c>
      <c r="O5" s="565">
        <v>110</v>
      </c>
      <c r="P5" s="565">
        <v>45</v>
      </c>
      <c r="Q5" s="565">
        <v>80</v>
      </c>
    </row>
    <row r="6" spans="1:18">
      <c r="A6" s="564" t="s">
        <v>1761</v>
      </c>
      <c r="B6" s="562" t="s">
        <v>1766</v>
      </c>
      <c r="C6" s="562" t="s">
        <v>1757</v>
      </c>
      <c r="D6" s="562" t="s">
        <v>1758</v>
      </c>
      <c r="E6" s="562">
        <v>500</v>
      </c>
      <c r="F6" s="565">
        <v>90</v>
      </c>
      <c r="G6" s="565">
        <v>70</v>
      </c>
      <c r="H6" s="565">
        <v>43</v>
      </c>
      <c r="I6" s="565">
        <v>69</v>
      </c>
      <c r="J6" s="565">
        <v>66</v>
      </c>
      <c r="K6" s="565">
        <v>77</v>
      </c>
      <c r="L6" s="565">
        <v>65</v>
      </c>
      <c r="M6" s="565">
        <v>67</v>
      </c>
      <c r="N6" s="565">
        <v>83</v>
      </c>
      <c r="O6" s="565">
        <v>124</v>
      </c>
      <c r="P6" s="565">
        <v>75</v>
      </c>
      <c r="Q6" s="565">
        <v>65</v>
      </c>
    </row>
    <row r="7" spans="1:18">
      <c r="A7" s="566" t="s">
        <v>1762</v>
      </c>
      <c r="B7" s="291" t="s">
        <v>1766</v>
      </c>
      <c r="C7" s="291" t="s">
        <v>1757</v>
      </c>
      <c r="D7" s="291" t="s">
        <v>1758</v>
      </c>
      <c r="E7" s="567">
        <v>750</v>
      </c>
      <c r="F7" s="568">
        <v>236</v>
      </c>
      <c r="G7" s="568">
        <v>294</v>
      </c>
      <c r="H7" s="568">
        <v>298</v>
      </c>
      <c r="I7" s="568">
        <v>148</v>
      </c>
      <c r="J7" s="568">
        <v>155</v>
      </c>
      <c r="K7" s="568">
        <v>214</v>
      </c>
      <c r="L7" s="568">
        <v>252</v>
      </c>
      <c r="M7" s="568">
        <v>203</v>
      </c>
      <c r="N7" s="568">
        <v>222</v>
      </c>
      <c r="O7" s="568">
        <v>205</v>
      </c>
      <c r="P7" s="568">
        <v>365</v>
      </c>
      <c r="Q7" s="568">
        <v>321</v>
      </c>
    </row>
    <row r="8" spans="1:18">
      <c r="A8" s="566" t="s">
        <v>1763</v>
      </c>
      <c r="B8" s="291" t="s">
        <v>1766</v>
      </c>
      <c r="C8" s="291" t="s">
        <v>1757</v>
      </c>
      <c r="D8" s="291" t="s">
        <v>1758</v>
      </c>
      <c r="E8" s="567">
        <v>750</v>
      </c>
      <c r="F8" s="568">
        <v>172</v>
      </c>
      <c r="G8" s="568">
        <v>123</v>
      </c>
      <c r="H8" s="568">
        <v>137</v>
      </c>
      <c r="I8" s="568">
        <v>266</v>
      </c>
      <c r="J8" s="568">
        <v>219</v>
      </c>
      <c r="K8" s="568">
        <v>179</v>
      </c>
      <c r="L8" s="568">
        <v>172</v>
      </c>
      <c r="M8" s="568">
        <v>140</v>
      </c>
      <c r="N8" s="568">
        <v>191</v>
      </c>
      <c r="O8" s="568">
        <v>263</v>
      </c>
      <c r="P8" s="568">
        <v>124</v>
      </c>
      <c r="Q8" s="568">
        <v>177</v>
      </c>
    </row>
    <row r="9" spans="1:18">
      <c r="A9" s="566" t="s">
        <v>1764</v>
      </c>
      <c r="B9" s="291" t="s">
        <v>1766</v>
      </c>
      <c r="C9" s="291" t="s">
        <v>1757</v>
      </c>
      <c r="D9" s="291" t="s">
        <v>1758</v>
      </c>
      <c r="E9" s="567">
        <v>750</v>
      </c>
      <c r="F9" s="568">
        <v>176</v>
      </c>
      <c r="G9" s="568">
        <v>186</v>
      </c>
      <c r="H9" s="568">
        <v>145</v>
      </c>
      <c r="I9" s="568">
        <v>179</v>
      </c>
      <c r="J9" s="568">
        <v>179</v>
      </c>
      <c r="K9" s="568">
        <v>221</v>
      </c>
      <c r="L9" s="568">
        <v>514</v>
      </c>
      <c r="M9" s="568">
        <v>182</v>
      </c>
      <c r="N9" s="568">
        <v>198</v>
      </c>
      <c r="O9" s="568">
        <v>204</v>
      </c>
      <c r="P9" s="568">
        <v>235</v>
      </c>
      <c r="Q9" s="568">
        <v>190</v>
      </c>
    </row>
    <row r="12" spans="1:18">
      <c r="A12" s="569" t="s">
        <v>501</v>
      </c>
      <c r="B12" s="569" t="s">
        <v>268</v>
      </c>
      <c r="C12" s="570" t="s">
        <v>269</v>
      </c>
      <c r="D12" s="570" t="s">
        <v>270</v>
      </c>
      <c r="E12" s="571">
        <v>243254</v>
      </c>
      <c r="F12" s="571">
        <v>243285</v>
      </c>
      <c r="G12" s="571">
        <v>243313</v>
      </c>
      <c r="H12" s="571">
        <v>243344</v>
      </c>
      <c r="I12" s="571">
        <v>243374</v>
      </c>
      <c r="J12" s="571">
        <v>243405</v>
      </c>
      <c r="K12" s="571">
        <v>243435</v>
      </c>
      <c r="L12" s="571">
        <v>243466</v>
      </c>
      <c r="M12" s="571">
        <v>243497</v>
      </c>
      <c r="N12" s="571">
        <v>243527</v>
      </c>
      <c r="O12" s="571">
        <v>243558</v>
      </c>
      <c r="P12" s="571">
        <v>243588</v>
      </c>
    </row>
    <row r="13" spans="1:18" ht="16.2">
      <c r="A13" s="572" t="s">
        <v>506</v>
      </c>
      <c r="B13" s="573" t="s">
        <v>364</v>
      </c>
      <c r="C13" s="574" t="s">
        <v>1767</v>
      </c>
      <c r="D13" s="575">
        <f>SUM(E13:P13)</f>
        <v>17442.400000000001</v>
      </c>
      <c r="E13" s="576">
        <v>1024.8</v>
      </c>
      <c r="F13" s="576">
        <v>1576</v>
      </c>
      <c r="G13" s="576">
        <v>1497.6</v>
      </c>
      <c r="H13" s="576">
        <v>980</v>
      </c>
      <c r="I13" s="576">
        <v>1624.8</v>
      </c>
      <c r="J13" s="576">
        <v>1507.2</v>
      </c>
      <c r="K13" s="576">
        <v>1276</v>
      </c>
      <c r="L13" s="576">
        <v>2502.4</v>
      </c>
      <c r="M13" s="576">
        <v>1448</v>
      </c>
      <c r="N13" s="576">
        <v>1199.2</v>
      </c>
      <c r="O13" s="576">
        <v>1987.2</v>
      </c>
      <c r="P13" s="576">
        <v>819.2</v>
      </c>
    </row>
    <row r="14" spans="1:18" ht="16.2">
      <c r="A14" s="572" t="s">
        <v>307</v>
      </c>
      <c r="B14" s="573" t="s">
        <v>364</v>
      </c>
      <c r="C14" s="574" t="s">
        <v>1767</v>
      </c>
      <c r="D14" s="575">
        <f t="shared" ref="D14:D16" si="0">SUM(E14:P14)</f>
        <v>12735.999999999998</v>
      </c>
      <c r="E14" s="576">
        <v>1320</v>
      </c>
      <c r="F14" s="576">
        <v>1068</v>
      </c>
      <c r="G14" s="576">
        <v>1194.4000000000001</v>
      </c>
      <c r="H14" s="576">
        <v>1145.5999999999999</v>
      </c>
      <c r="I14" s="576">
        <v>1396</v>
      </c>
      <c r="J14" s="576">
        <v>1412.8</v>
      </c>
      <c r="K14" s="576">
        <v>1315.2</v>
      </c>
      <c r="L14" s="576">
        <v>1326.4</v>
      </c>
      <c r="M14" s="576">
        <v>405.6</v>
      </c>
      <c r="N14" s="576">
        <v>354.4</v>
      </c>
      <c r="O14" s="576">
        <v>504.8</v>
      </c>
      <c r="P14" s="576">
        <v>1292.8</v>
      </c>
    </row>
    <row r="15" spans="1:18" ht="16.2">
      <c r="A15" s="572" t="s">
        <v>309</v>
      </c>
      <c r="B15" s="573" t="s">
        <v>364</v>
      </c>
      <c r="C15" s="574" t="s">
        <v>1767</v>
      </c>
      <c r="D15" s="575">
        <f t="shared" si="0"/>
        <v>8956</v>
      </c>
      <c r="E15" s="576">
        <v>987.2</v>
      </c>
      <c r="F15" s="576">
        <v>710.4</v>
      </c>
      <c r="G15" s="576">
        <v>740</v>
      </c>
      <c r="H15" s="576">
        <v>633.6</v>
      </c>
      <c r="I15" s="576">
        <v>1067.2</v>
      </c>
      <c r="J15" s="576">
        <v>816</v>
      </c>
      <c r="K15" s="576">
        <v>702.4</v>
      </c>
      <c r="L15" s="576">
        <v>706.4</v>
      </c>
      <c r="M15" s="576">
        <v>616</v>
      </c>
      <c r="N15" s="576">
        <v>608.79999999999995</v>
      </c>
      <c r="O15" s="576">
        <v>652.79999999999995</v>
      </c>
      <c r="P15" s="576">
        <v>715.2</v>
      </c>
    </row>
    <row r="16" spans="1:18" ht="16.2">
      <c r="A16" s="572" t="s">
        <v>310</v>
      </c>
      <c r="B16" s="573" t="s">
        <v>364</v>
      </c>
      <c r="C16" s="574" t="s">
        <v>1767</v>
      </c>
      <c r="D16" s="575">
        <f t="shared" si="0"/>
        <v>5019.2</v>
      </c>
      <c r="E16" s="576">
        <v>508.8</v>
      </c>
      <c r="F16" s="576">
        <v>455.2</v>
      </c>
      <c r="G16" s="576">
        <v>484.8</v>
      </c>
      <c r="H16" s="576">
        <v>290.39999999999998</v>
      </c>
      <c r="I16" s="576">
        <v>309.60000000000002</v>
      </c>
      <c r="J16" s="576">
        <v>384</v>
      </c>
      <c r="K16" s="576">
        <v>389.6</v>
      </c>
      <c r="L16" s="576">
        <v>468</v>
      </c>
      <c r="M16" s="576">
        <v>405.6</v>
      </c>
      <c r="N16" s="576">
        <v>354.4</v>
      </c>
      <c r="O16" s="576">
        <v>504.8</v>
      </c>
      <c r="P16" s="576">
        <v>464</v>
      </c>
    </row>
  </sheetData>
  <mergeCells count="6">
    <mergeCell ref="F2:Q2"/>
    <mergeCell ref="A2:A3"/>
    <mergeCell ref="B2:B3"/>
    <mergeCell ref="C2:C3"/>
    <mergeCell ref="D2:D3"/>
    <mergeCell ref="E2:E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A972-7698-45F2-895F-E8DC62D2042C}">
  <sheetPr>
    <tabColor rgb="FF00B0F0"/>
  </sheetPr>
  <dimension ref="A1:R1005"/>
  <sheetViews>
    <sheetView workbookViewId="0">
      <selection activeCell="C19" sqref="C19"/>
    </sheetView>
  </sheetViews>
  <sheetFormatPr defaultColWidth="14.3984375" defaultRowHeight="15" customHeight="1"/>
  <cols>
    <col min="1" max="1" width="32.3984375" style="228" customWidth="1"/>
    <col min="2" max="2" width="25.69921875" style="228" customWidth="1"/>
    <col min="3" max="3" width="23.796875" style="228" customWidth="1"/>
    <col min="4" max="4" width="8.796875" style="228" customWidth="1"/>
    <col min="5" max="5" width="18" style="228" customWidth="1"/>
    <col min="6" max="17" width="12.59765625" style="228" customWidth="1"/>
    <col min="18" max="26" width="8.796875" style="228" customWidth="1"/>
    <col min="27" max="16384" width="14.3984375" style="228"/>
  </cols>
  <sheetData>
    <row r="1" spans="1:18" ht="21" customHeight="1">
      <c r="A1" s="1296" t="s">
        <v>360</v>
      </c>
      <c r="B1" s="1337" t="s">
        <v>361</v>
      </c>
      <c r="C1" s="1296" t="s">
        <v>268</v>
      </c>
      <c r="D1" s="1296" t="s">
        <v>269</v>
      </c>
      <c r="E1" s="1296" t="s">
        <v>270</v>
      </c>
      <c r="F1" s="1299" t="s">
        <v>362</v>
      </c>
      <c r="G1" s="1326"/>
      <c r="H1" s="1326"/>
      <c r="I1" s="1326"/>
      <c r="J1" s="1326"/>
      <c r="K1" s="1326"/>
      <c r="L1" s="1326"/>
      <c r="M1" s="1326"/>
      <c r="N1" s="1326"/>
      <c r="O1" s="1326"/>
      <c r="P1" s="1326"/>
      <c r="Q1" s="1335"/>
    </row>
    <row r="2" spans="1:18" ht="21" customHeight="1">
      <c r="A2" s="1336"/>
      <c r="B2" s="1336"/>
      <c r="C2" s="1336"/>
      <c r="D2" s="1336"/>
      <c r="E2" s="1298"/>
      <c r="F2" s="261">
        <v>1</v>
      </c>
      <c r="G2" s="261">
        <v>2</v>
      </c>
      <c r="H2" s="261">
        <v>3</v>
      </c>
      <c r="I2" s="261">
        <v>4</v>
      </c>
      <c r="J2" s="261">
        <v>5</v>
      </c>
      <c r="K2" s="261">
        <v>6</v>
      </c>
      <c r="L2" s="261">
        <v>7</v>
      </c>
      <c r="M2" s="261">
        <v>8</v>
      </c>
      <c r="N2" s="261">
        <v>9</v>
      </c>
      <c r="O2" s="261">
        <v>10</v>
      </c>
      <c r="P2" s="261">
        <v>11</v>
      </c>
      <c r="Q2" s="261">
        <v>12</v>
      </c>
    </row>
    <row r="3" spans="1:18" ht="21" customHeight="1">
      <c r="A3" s="345" t="s">
        <v>363</v>
      </c>
      <c r="B3" s="346"/>
      <c r="C3" s="263" t="s">
        <v>364</v>
      </c>
      <c r="D3" s="347" t="s">
        <v>365</v>
      </c>
      <c r="E3" s="348">
        <f>SUM(E4:E6)</f>
        <v>11115783</v>
      </c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</row>
    <row r="4" spans="1:18" ht="17.399999999999999" customHeight="1">
      <c r="A4" s="349" t="s">
        <v>366</v>
      </c>
      <c r="B4" s="350" t="s">
        <v>367</v>
      </c>
      <c r="C4" s="308" t="s">
        <v>364</v>
      </c>
      <c r="D4" s="351" t="s">
        <v>365</v>
      </c>
      <c r="E4" s="352">
        <f>SUM(F4:Q4)</f>
        <v>4447934</v>
      </c>
      <c r="F4" s="353">
        <v>396689</v>
      </c>
      <c r="G4" s="353">
        <v>421188</v>
      </c>
      <c r="H4" s="353">
        <v>375540</v>
      </c>
      <c r="I4" s="353">
        <v>179888</v>
      </c>
      <c r="J4" s="353">
        <v>337638</v>
      </c>
      <c r="K4" s="353">
        <v>391507</v>
      </c>
      <c r="L4" s="353">
        <v>297730</v>
      </c>
      <c r="M4" s="353">
        <v>339396</v>
      </c>
      <c r="N4" s="353">
        <v>617131</v>
      </c>
      <c r="O4" s="353">
        <v>364367</v>
      </c>
      <c r="P4" s="353">
        <v>374402</v>
      </c>
      <c r="Q4" s="353">
        <v>352458</v>
      </c>
      <c r="R4" s="354"/>
    </row>
    <row r="5" spans="1:18" ht="17.399999999999999" customHeight="1">
      <c r="A5" s="349" t="s">
        <v>368</v>
      </c>
      <c r="B5" s="350" t="s">
        <v>367</v>
      </c>
      <c r="C5" s="308" t="s">
        <v>364</v>
      </c>
      <c r="D5" s="351" t="s">
        <v>365</v>
      </c>
      <c r="E5" s="352">
        <f t="shared" ref="E5:E6" si="0">SUM(F5:Q5)</f>
        <v>3269169</v>
      </c>
      <c r="F5" s="353">
        <v>192523</v>
      </c>
      <c r="G5" s="353">
        <v>172985</v>
      </c>
      <c r="H5" s="353">
        <v>261500</v>
      </c>
      <c r="I5" s="353">
        <v>161156</v>
      </c>
      <c r="J5" s="353">
        <v>342525</v>
      </c>
      <c r="K5" s="353">
        <v>312308</v>
      </c>
      <c r="L5" s="353">
        <v>289479</v>
      </c>
      <c r="M5" s="353">
        <v>289238</v>
      </c>
      <c r="N5" s="353">
        <v>353855</v>
      </c>
      <c r="O5" s="353">
        <v>289241</v>
      </c>
      <c r="P5" s="353">
        <v>324452</v>
      </c>
      <c r="Q5" s="353">
        <v>279907</v>
      </c>
      <c r="R5" s="354"/>
    </row>
    <row r="6" spans="1:18" ht="17.399999999999999" customHeight="1">
      <c r="A6" s="349" t="s">
        <v>369</v>
      </c>
      <c r="B6" s="350" t="s">
        <v>367</v>
      </c>
      <c r="C6" s="308" t="s">
        <v>364</v>
      </c>
      <c r="D6" s="351" t="s">
        <v>365</v>
      </c>
      <c r="E6" s="352">
        <f t="shared" si="0"/>
        <v>3398680</v>
      </c>
      <c r="F6" s="353">
        <v>268656</v>
      </c>
      <c r="G6" s="353">
        <v>244025</v>
      </c>
      <c r="H6" s="353">
        <v>282428</v>
      </c>
      <c r="I6" s="353">
        <v>126483</v>
      </c>
      <c r="J6" s="353">
        <v>305790</v>
      </c>
      <c r="K6" s="353">
        <v>328801</v>
      </c>
      <c r="L6" s="353">
        <v>298659</v>
      </c>
      <c r="M6" s="353">
        <v>336884</v>
      </c>
      <c r="N6" s="353">
        <v>287843</v>
      </c>
      <c r="O6" s="353">
        <v>289617</v>
      </c>
      <c r="P6" s="353">
        <v>337676</v>
      </c>
      <c r="Q6" s="353">
        <v>291818</v>
      </c>
      <c r="R6" s="354"/>
    </row>
    <row r="7" spans="1:18" ht="21" customHeight="1">
      <c r="A7" s="345" t="s">
        <v>370</v>
      </c>
      <c r="B7" s="355"/>
      <c r="C7" s="263" t="s">
        <v>371</v>
      </c>
      <c r="D7" s="347" t="s">
        <v>365</v>
      </c>
      <c r="E7" s="356">
        <f>SUM(E9:E10)</f>
        <v>1689116.83</v>
      </c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4"/>
    </row>
    <row r="8" spans="1:18" ht="21" customHeight="1">
      <c r="A8" s="554" t="s">
        <v>372</v>
      </c>
      <c r="B8" s="555"/>
      <c r="C8" s="556" t="s">
        <v>373</v>
      </c>
      <c r="D8" s="557" t="s">
        <v>365</v>
      </c>
      <c r="E8" s="558">
        <f>SUM(E11)</f>
        <v>347500</v>
      </c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353"/>
      <c r="Q8" s="353"/>
      <c r="R8" s="354"/>
    </row>
    <row r="9" spans="1:18" ht="16.2" customHeight="1">
      <c r="A9" s="349" t="s">
        <v>374</v>
      </c>
      <c r="B9" s="357" t="s">
        <v>375</v>
      </c>
      <c r="C9" s="308" t="s">
        <v>371</v>
      </c>
      <c r="D9" s="351" t="s">
        <v>365</v>
      </c>
      <c r="E9" s="352">
        <f t="shared" ref="E9:E17" si="1">SUM(F9:Q9)</f>
        <v>330644.83000000007</v>
      </c>
      <c r="F9" s="353">
        <v>20921.419999999998</v>
      </c>
      <c r="G9" s="353">
        <v>29234.83</v>
      </c>
      <c r="H9" s="353">
        <v>25502.45</v>
      </c>
      <c r="I9" s="353">
        <v>24535.5</v>
      </c>
      <c r="J9" s="353">
        <v>28390.27</v>
      </c>
      <c r="K9" s="353">
        <v>29581.62</v>
      </c>
      <c r="L9" s="353">
        <v>31775.05</v>
      </c>
      <c r="M9" s="353">
        <v>33963.550000000003</v>
      </c>
      <c r="N9" s="353">
        <v>26443.29</v>
      </c>
      <c r="O9" s="353">
        <v>24275.18</v>
      </c>
      <c r="P9" s="353">
        <v>28506.959999999999</v>
      </c>
      <c r="Q9" s="353">
        <v>27514.71</v>
      </c>
      <c r="R9" s="354"/>
    </row>
    <row r="10" spans="1:18" ht="16.2" customHeight="1">
      <c r="A10" s="349" t="s">
        <v>376</v>
      </c>
      <c r="B10" s="357" t="s">
        <v>375</v>
      </c>
      <c r="C10" s="308" t="s">
        <v>371</v>
      </c>
      <c r="D10" s="351" t="s">
        <v>365</v>
      </c>
      <c r="E10" s="352">
        <f t="shared" si="1"/>
        <v>1358472</v>
      </c>
      <c r="F10" s="353">
        <v>121592</v>
      </c>
      <c r="G10" s="353">
        <v>88168</v>
      </c>
      <c r="H10" s="353">
        <v>95592</v>
      </c>
      <c r="I10" s="353">
        <v>79488</v>
      </c>
      <c r="J10" s="353">
        <v>130208</v>
      </c>
      <c r="K10" s="353">
        <v>118536</v>
      </c>
      <c r="L10" s="353">
        <v>134056</v>
      </c>
      <c r="M10" s="353">
        <v>113136</v>
      </c>
      <c r="N10" s="353">
        <v>66472</v>
      </c>
      <c r="O10" s="353">
        <v>165256</v>
      </c>
      <c r="P10" s="353">
        <v>145344</v>
      </c>
      <c r="Q10" s="353">
        <v>100624</v>
      </c>
      <c r="R10" s="354"/>
    </row>
    <row r="11" spans="1:18" ht="16.2" customHeight="1">
      <c r="A11" s="349" t="s">
        <v>377</v>
      </c>
      <c r="B11" s="358" t="s">
        <v>378</v>
      </c>
      <c r="C11" s="308" t="s">
        <v>373</v>
      </c>
      <c r="D11" s="351" t="s">
        <v>365</v>
      </c>
      <c r="E11" s="352">
        <f>SUM(F11:Q11)</f>
        <v>347500</v>
      </c>
      <c r="F11" s="359">
        <v>23780</v>
      </c>
      <c r="G11" s="359">
        <v>28380</v>
      </c>
      <c r="H11" s="359">
        <v>35420</v>
      </c>
      <c r="I11" s="359">
        <v>22240</v>
      </c>
      <c r="J11" s="359">
        <v>34750</v>
      </c>
      <c r="K11" s="359">
        <v>33020</v>
      </c>
      <c r="L11" s="359">
        <v>29460</v>
      </c>
      <c r="M11" s="360">
        <v>36580</v>
      </c>
      <c r="N11" s="360">
        <v>26350</v>
      </c>
      <c r="O11" s="360">
        <v>25790</v>
      </c>
      <c r="P11" s="360">
        <v>28550</v>
      </c>
      <c r="Q11" s="360">
        <v>23180</v>
      </c>
      <c r="R11" s="354"/>
    </row>
    <row r="12" spans="1:18" ht="21" customHeight="1">
      <c r="A12" s="262" t="s">
        <v>379</v>
      </c>
      <c r="B12" s="343"/>
      <c r="C12" s="263" t="s">
        <v>371</v>
      </c>
      <c r="D12" s="347" t="s">
        <v>365</v>
      </c>
      <c r="E12" s="356">
        <f>SUM(E13:E14)</f>
        <v>8486.4</v>
      </c>
      <c r="F12" s="359"/>
      <c r="G12" s="359"/>
      <c r="H12" s="359"/>
      <c r="I12" s="359"/>
      <c r="J12" s="359"/>
      <c r="K12" s="359"/>
      <c r="L12" s="359"/>
      <c r="M12" s="360"/>
      <c r="N12" s="360"/>
      <c r="O12" s="360"/>
      <c r="P12" s="360"/>
      <c r="Q12" s="360"/>
      <c r="R12" s="354"/>
    </row>
    <row r="13" spans="1:18" ht="18.600000000000001" customHeight="1">
      <c r="A13" s="349" t="s">
        <v>380</v>
      </c>
      <c r="B13" s="357" t="s">
        <v>375</v>
      </c>
      <c r="C13" s="308" t="s">
        <v>371</v>
      </c>
      <c r="D13" s="351" t="s">
        <v>365</v>
      </c>
      <c r="E13" s="352">
        <f t="shared" si="1"/>
        <v>1169.5999999999999</v>
      </c>
      <c r="F13" s="353">
        <v>172.8</v>
      </c>
      <c r="G13" s="353">
        <v>175.2</v>
      </c>
      <c r="H13" s="353">
        <v>210.4</v>
      </c>
      <c r="I13" s="353">
        <v>194.4</v>
      </c>
      <c r="J13" s="353">
        <v>212.8</v>
      </c>
      <c r="K13" s="353">
        <v>192</v>
      </c>
      <c r="L13" s="353">
        <v>12</v>
      </c>
      <c r="M13" s="361"/>
      <c r="N13" s="361"/>
      <c r="O13" s="361"/>
      <c r="P13" s="361"/>
      <c r="Q13" s="361"/>
      <c r="R13" s="354"/>
    </row>
    <row r="14" spans="1:18" ht="18.600000000000001" customHeight="1">
      <c r="A14" s="349" t="s">
        <v>381</v>
      </c>
      <c r="B14" s="357" t="s">
        <v>375</v>
      </c>
      <c r="C14" s="308" t="s">
        <v>371</v>
      </c>
      <c r="D14" s="351" t="s">
        <v>365</v>
      </c>
      <c r="E14" s="352">
        <f t="shared" si="1"/>
        <v>7316.8</v>
      </c>
      <c r="F14" s="361"/>
      <c r="G14" s="361"/>
      <c r="H14" s="361"/>
      <c r="I14" s="361"/>
      <c r="J14" s="361"/>
      <c r="K14" s="361"/>
      <c r="L14" s="353">
        <v>956.8</v>
      </c>
      <c r="M14" s="353">
        <v>2860</v>
      </c>
      <c r="N14" s="353">
        <v>1244</v>
      </c>
      <c r="O14" s="353">
        <v>1244</v>
      </c>
      <c r="P14" s="353">
        <v>584.79999999999995</v>
      </c>
      <c r="Q14" s="353">
        <v>427.2</v>
      </c>
      <c r="R14" s="354"/>
    </row>
    <row r="15" spans="1:18" ht="21" customHeight="1">
      <c r="A15" s="262" t="s">
        <v>382</v>
      </c>
      <c r="B15" s="362"/>
      <c r="C15" s="263" t="s">
        <v>383</v>
      </c>
      <c r="D15" s="347" t="s">
        <v>365</v>
      </c>
      <c r="E15" s="356">
        <f>SUM(E16:E17)</f>
        <v>59704</v>
      </c>
      <c r="F15" s="360"/>
      <c r="G15" s="360"/>
      <c r="H15" s="360"/>
      <c r="I15" s="360"/>
      <c r="J15" s="360"/>
      <c r="K15" s="360"/>
      <c r="L15" s="353"/>
      <c r="M15" s="353"/>
      <c r="N15" s="353"/>
      <c r="O15" s="353"/>
      <c r="P15" s="353"/>
      <c r="Q15" s="353"/>
      <c r="R15" s="354"/>
    </row>
    <row r="16" spans="1:18" ht="16.8" customHeight="1">
      <c r="A16" s="349" t="s">
        <v>384</v>
      </c>
      <c r="B16" s="357" t="s">
        <v>385</v>
      </c>
      <c r="C16" s="308" t="s">
        <v>383</v>
      </c>
      <c r="D16" s="351" t="s">
        <v>365</v>
      </c>
      <c r="E16" s="352">
        <f>SUM(F16:Q16)</f>
        <v>49358</v>
      </c>
      <c r="F16" s="363">
        <v>3319</v>
      </c>
      <c r="G16" s="363">
        <v>3980</v>
      </c>
      <c r="H16" s="363">
        <v>3744</v>
      </c>
      <c r="I16" s="363">
        <v>3930</v>
      </c>
      <c r="J16" s="363">
        <v>4686</v>
      </c>
      <c r="K16" s="363">
        <v>4658</v>
      </c>
      <c r="L16" s="363">
        <v>4590</v>
      </c>
      <c r="M16" s="363">
        <v>4071</v>
      </c>
      <c r="N16" s="363">
        <v>4443</v>
      </c>
      <c r="O16" s="363">
        <v>3837</v>
      </c>
      <c r="P16" s="363">
        <v>4209</v>
      </c>
      <c r="Q16" s="363">
        <v>3891</v>
      </c>
      <c r="R16" s="354"/>
    </row>
    <row r="17" spans="1:18" ht="16.8" customHeight="1">
      <c r="A17" s="349" t="s">
        <v>386</v>
      </c>
      <c r="B17" s="357" t="s">
        <v>385</v>
      </c>
      <c r="C17" s="308" t="s">
        <v>383</v>
      </c>
      <c r="D17" s="351" t="s">
        <v>365</v>
      </c>
      <c r="E17" s="352">
        <f t="shared" si="1"/>
        <v>10346</v>
      </c>
      <c r="F17" s="363">
        <v>643</v>
      </c>
      <c r="G17" s="363">
        <v>814</v>
      </c>
      <c r="H17" s="363">
        <v>753</v>
      </c>
      <c r="I17" s="363">
        <v>908</v>
      </c>
      <c r="J17" s="363">
        <v>1036</v>
      </c>
      <c r="K17" s="363">
        <v>1003</v>
      </c>
      <c r="L17" s="363">
        <v>985</v>
      </c>
      <c r="M17" s="363">
        <v>874</v>
      </c>
      <c r="N17" s="363">
        <v>973</v>
      </c>
      <c r="O17" s="363">
        <v>805</v>
      </c>
      <c r="P17" s="363">
        <v>831</v>
      </c>
      <c r="Q17" s="363">
        <v>721</v>
      </c>
      <c r="R17" s="354"/>
    </row>
    <row r="18" spans="1:18" ht="21" customHeight="1"/>
    <row r="19" spans="1:18" ht="21" customHeight="1">
      <c r="A19" s="228" t="s">
        <v>387</v>
      </c>
    </row>
    <row r="20" spans="1:18" ht="21" customHeight="1">
      <c r="A20" s="228" t="s">
        <v>388</v>
      </c>
    </row>
    <row r="21" spans="1:18" ht="21" customHeight="1"/>
    <row r="22" spans="1:18" ht="21" customHeight="1">
      <c r="F22" s="228" t="s">
        <v>369</v>
      </c>
    </row>
    <row r="23" spans="1:18" ht="21" customHeight="1"/>
    <row r="24" spans="1:18" ht="21" customHeight="1"/>
    <row r="25" spans="1:18" ht="21" customHeight="1"/>
    <row r="26" spans="1:18" ht="21" customHeight="1"/>
    <row r="27" spans="1:18" ht="21" customHeight="1"/>
    <row r="28" spans="1:18" ht="21" customHeight="1"/>
    <row r="29" spans="1:18" ht="21" customHeight="1"/>
    <row r="30" spans="1:18" ht="21" customHeight="1"/>
    <row r="31" spans="1:18" ht="21" customHeight="1"/>
    <row r="32" spans="1:18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  <row r="1003" ht="21" customHeight="1"/>
    <row r="1004" ht="21" customHeight="1"/>
    <row r="1005" ht="21" customHeight="1"/>
  </sheetData>
  <mergeCells count="6">
    <mergeCell ref="F1:Q1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A04B-CA72-46DF-80AA-50166A5B413C}">
  <sheetPr>
    <tabColor theme="9" tint="0.39997558519241921"/>
  </sheetPr>
  <dimension ref="A2:Z1046"/>
  <sheetViews>
    <sheetView zoomScale="70" zoomScaleNormal="70" workbookViewId="0">
      <selection activeCell="D4" sqref="D4"/>
    </sheetView>
  </sheetViews>
  <sheetFormatPr defaultColWidth="14.3984375" defaultRowHeight="13.2"/>
  <cols>
    <col min="1" max="1" width="27" style="228" customWidth="1"/>
    <col min="2" max="2" width="25.19921875" style="228" customWidth="1"/>
    <col min="3" max="3" width="15.796875" style="228" customWidth="1"/>
    <col min="4" max="4" width="17.796875" style="228" customWidth="1"/>
    <col min="5" max="5" width="12.3984375" style="228" customWidth="1"/>
    <col min="6" max="6" width="16.3984375" style="228" customWidth="1"/>
    <col min="7" max="7" width="29.796875" style="228" customWidth="1"/>
    <col min="8" max="19" width="12.59765625" style="228" customWidth="1"/>
    <col min="20" max="26" width="8.796875" style="228" customWidth="1"/>
    <col min="27" max="16384" width="14.3984375" style="228"/>
  </cols>
  <sheetData>
    <row r="2" spans="1:19" ht="15" customHeight="1">
      <c r="A2" s="1341" t="s">
        <v>417</v>
      </c>
      <c r="B2" s="1343" t="s">
        <v>418</v>
      </c>
      <c r="C2" s="1343" t="s">
        <v>419</v>
      </c>
      <c r="D2" s="1345" t="s">
        <v>420</v>
      </c>
      <c r="E2" s="1345" t="s">
        <v>269</v>
      </c>
      <c r="F2" s="364" t="s">
        <v>421</v>
      </c>
      <c r="G2" s="1345" t="s">
        <v>422</v>
      </c>
      <c r="H2" s="1338" t="s">
        <v>271</v>
      </c>
      <c r="I2" s="1339"/>
      <c r="J2" s="1339"/>
      <c r="K2" s="1339"/>
      <c r="L2" s="1339"/>
      <c r="M2" s="1339"/>
      <c r="N2" s="1339"/>
      <c r="O2" s="1339"/>
      <c r="P2" s="1339"/>
      <c r="Q2" s="1339"/>
      <c r="R2" s="1339"/>
      <c r="S2" s="1340"/>
    </row>
    <row r="3" spans="1:19" ht="15" customHeight="1">
      <c r="A3" s="1342"/>
      <c r="B3" s="1344"/>
      <c r="C3" s="1344"/>
      <c r="D3" s="1346"/>
      <c r="E3" s="1346"/>
      <c r="F3" s="364" t="s">
        <v>423</v>
      </c>
      <c r="G3" s="1346"/>
      <c r="H3" s="364" t="s">
        <v>424</v>
      </c>
      <c r="I3" s="364" t="s">
        <v>425</v>
      </c>
      <c r="J3" s="364" t="s">
        <v>426</v>
      </c>
      <c r="K3" s="364" t="s">
        <v>427</v>
      </c>
      <c r="L3" s="364" t="s">
        <v>428</v>
      </c>
      <c r="M3" s="364" t="s">
        <v>429</v>
      </c>
      <c r="N3" s="364" t="s">
        <v>430</v>
      </c>
      <c r="O3" s="364" t="s">
        <v>431</v>
      </c>
      <c r="P3" s="364" t="s">
        <v>432</v>
      </c>
      <c r="Q3" s="364" t="s">
        <v>433</v>
      </c>
      <c r="R3" s="364" t="s">
        <v>434</v>
      </c>
      <c r="S3" s="364" t="s">
        <v>435</v>
      </c>
    </row>
    <row r="4" spans="1:19" ht="21.6" customHeight="1">
      <c r="A4" s="345" t="s">
        <v>1784</v>
      </c>
      <c r="B4" s="365"/>
      <c r="C4" s="365"/>
      <c r="D4" s="366" t="s">
        <v>2773</v>
      </c>
      <c r="E4" s="263" t="s">
        <v>280</v>
      </c>
      <c r="F4" s="344">
        <f>SUM(F5:F6)</f>
        <v>3887250</v>
      </c>
      <c r="G4" s="306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</row>
    <row r="5" spans="1:19" ht="15" customHeight="1">
      <c r="A5" s="358" t="s">
        <v>437</v>
      </c>
      <c r="B5" s="308" t="s">
        <v>438</v>
      </c>
      <c r="C5" s="308" t="s">
        <v>2803</v>
      </c>
      <c r="D5" s="358" t="s">
        <v>2773</v>
      </c>
      <c r="E5" s="308" t="s">
        <v>280</v>
      </c>
      <c r="F5" s="278">
        <f>SUM(H5:S5)</f>
        <v>1262250</v>
      </c>
      <c r="G5" s="358" t="s">
        <v>440</v>
      </c>
      <c r="H5" s="278"/>
      <c r="I5" s="278"/>
      <c r="J5" s="278"/>
      <c r="K5" s="278"/>
      <c r="L5" s="278"/>
      <c r="M5" s="278"/>
      <c r="N5" s="278">
        <v>297000</v>
      </c>
      <c r="O5" s="278">
        <v>198000</v>
      </c>
      <c r="P5" s="278">
        <v>297000</v>
      </c>
      <c r="Q5" s="278">
        <v>123750</v>
      </c>
      <c r="R5" s="278">
        <v>346500</v>
      </c>
      <c r="S5" s="278"/>
    </row>
    <row r="6" spans="1:19" ht="15" customHeight="1">
      <c r="A6" s="358" t="s">
        <v>437</v>
      </c>
      <c r="B6" s="308" t="s">
        <v>438</v>
      </c>
      <c r="C6" s="308" t="s">
        <v>2803</v>
      </c>
      <c r="D6" s="358" t="s">
        <v>2773</v>
      </c>
      <c r="E6" s="308" t="s">
        <v>280</v>
      </c>
      <c r="F6" s="278">
        <f>SUM(H6:S6)</f>
        <v>2625000</v>
      </c>
      <c r="G6" s="367" t="s">
        <v>441</v>
      </c>
      <c r="H6" s="368">
        <v>255000</v>
      </c>
      <c r="I6" s="368">
        <v>375000</v>
      </c>
      <c r="J6" s="368">
        <v>375000</v>
      </c>
      <c r="K6" s="368">
        <v>375000</v>
      </c>
      <c r="L6" s="368">
        <v>375000</v>
      </c>
      <c r="M6" s="368">
        <v>375000</v>
      </c>
      <c r="N6" s="368"/>
      <c r="O6" s="368">
        <v>60000</v>
      </c>
      <c r="P6" s="368">
        <v>150000</v>
      </c>
      <c r="Q6" s="368">
        <v>45000</v>
      </c>
      <c r="R6" s="368">
        <v>135000</v>
      </c>
      <c r="S6" s="368">
        <v>105000</v>
      </c>
    </row>
    <row r="7" spans="1:19" ht="23.4" customHeight="1">
      <c r="A7" s="366" t="s">
        <v>1785</v>
      </c>
      <c r="B7" s="343"/>
      <c r="C7" s="343"/>
      <c r="D7" s="366" t="s">
        <v>2773</v>
      </c>
      <c r="E7" s="263" t="s">
        <v>280</v>
      </c>
      <c r="F7" s="344">
        <f>SUM(F8:F11)</f>
        <v>3753000</v>
      </c>
      <c r="G7" s="367"/>
      <c r="H7" s="368"/>
      <c r="I7" s="368"/>
      <c r="J7" s="368"/>
      <c r="K7" s="368"/>
      <c r="L7" s="368"/>
      <c r="M7" s="368"/>
      <c r="N7" s="368"/>
      <c r="O7" s="368"/>
      <c r="P7" s="368"/>
      <c r="Q7" s="368"/>
      <c r="R7" s="368"/>
      <c r="S7" s="368"/>
    </row>
    <row r="8" spans="1:19" ht="15" customHeight="1">
      <c r="A8" s="358" t="s">
        <v>442</v>
      </c>
      <c r="B8" s="308" t="s">
        <v>438</v>
      </c>
      <c r="C8" s="308" t="s">
        <v>2803</v>
      </c>
      <c r="D8" s="358" t="s">
        <v>2773</v>
      </c>
      <c r="E8" s="308" t="s">
        <v>280</v>
      </c>
      <c r="F8" s="278">
        <f>SUM(H8:S8)</f>
        <v>1559250</v>
      </c>
      <c r="G8" s="369" t="s">
        <v>440</v>
      </c>
      <c r="H8" s="368">
        <v>222750</v>
      </c>
      <c r="I8" s="368">
        <v>74250</v>
      </c>
      <c r="J8" s="368">
        <v>222750</v>
      </c>
      <c r="K8" s="368">
        <v>222750</v>
      </c>
      <c r="L8" s="368">
        <v>148500</v>
      </c>
      <c r="M8" s="368">
        <v>222750</v>
      </c>
      <c r="N8" s="368">
        <v>297000</v>
      </c>
      <c r="O8" s="368"/>
      <c r="P8" s="368"/>
      <c r="Q8" s="368">
        <v>148500</v>
      </c>
      <c r="R8" s="368"/>
      <c r="S8" s="368"/>
    </row>
    <row r="9" spans="1:19" ht="15" customHeight="1">
      <c r="A9" s="358" t="s">
        <v>442</v>
      </c>
      <c r="B9" s="308" t="s">
        <v>438</v>
      </c>
      <c r="C9" s="308" t="s">
        <v>2803</v>
      </c>
      <c r="D9" s="358" t="s">
        <v>2773</v>
      </c>
      <c r="E9" s="308" t="s">
        <v>280</v>
      </c>
      <c r="F9" s="278">
        <f t="shared" ref="F9:F14" si="0">SUM(H9:S9)</f>
        <v>2103750</v>
      </c>
      <c r="G9" s="369" t="s">
        <v>443</v>
      </c>
      <c r="H9" s="368">
        <v>767250</v>
      </c>
      <c r="I9" s="368">
        <v>198000</v>
      </c>
      <c r="J9" s="368"/>
      <c r="K9" s="368"/>
      <c r="L9" s="368">
        <v>99000</v>
      </c>
      <c r="M9" s="368"/>
      <c r="N9" s="368">
        <v>99000</v>
      </c>
      <c r="O9" s="368">
        <v>99000</v>
      </c>
      <c r="P9" s="368">
        <v>396000</v>
      </c>
      <c r="Q9" s="368"/>
      <c r="R9" s="368">
        <v>198000</v>
      </c>
      <c r="S9" s="368">
        <v>247500</v>
      </c>
    </row>
    <row r="10" spans="1:19" ht="15" customHeight="1">
      <c r="A10" s="358" t="s">
        <v>442</v>
      </c>
      <c r="B10" s="308" t="s">
        <v>438</v>
      </c>
      <c r="C10" s="308" t="s">
        <v>2803</v>
      </c>
      <c r="D10" s="358" t="s">
        <v>2773</v>
      </c>
      <c r="E10" s="308" t="s">
        <v>280</v>
      </c>
      <c r="F10" s="278">
        <f t="shared" si="0"/>
        <v>60000</v>
      </c>
      <c r="G10" s="369" t="s">
        <v>444</v>
      </c>
      <c r="H10" s="368"/>
      <c r="I10" s="368">
        <v>15000</v>
      </c>
      <c r="J10" s="368"/>
      <c r="K10" s="368"/>
      <c r="L10" s="368">
        <v>15000</v>
      </c>
      <c r="M10" s="368"/>
      <c r="N10" s="368"/>
      <c r="O10" s="368"/>
      <c r="P10" s="368">
        <v>15000</v>
      </c>
      <c r="Q10" s="368"/>
      <c r="R10" s="368">
        <v>15000</v>
      </c>
      <c r="S10" s="368"/>
    </row>
    <row r="11" spans="1:19" ht="15" customHeight="1">
      <c r="A11" s="358" t="s">
        <v>442</v>
      </c>
      <c r="B11" s="308" t="s">
        <v>438</v>
      </c>
      <c r="C11" s="308" t="s">
        <v>2803</v>
      </c>
      <c r="D11" s="358" t="s">
        <v>2773</v>
      </c>
      <c r="E11" s="308" t="s">
        <v>280</v>
      </c>
      <c r="F11" s="278">
        <f t="shared" si="0"/>
        <v>30000</v>
      </c>
      <c r="G11" s="369" t="s">
        <v>441</v>
      </c>
      <c r="H11" s="368">
        <v>15000</v>
      </c>
      <c r="I11" s="368"/>
      <c r="J11" s="368"/>
      <c r="K11" s="368"/>
      <c r="L11" s="368"/>
      <c r="M11" s="368"/>
      <c r="N11" s="368"/>
      <c r="O11" s="368">
        <v>15000</v>
      </c>
      <c r="P11" s="368"/>
      <c r="Q11" s="368"/>
      <c r="R11" s="368"/>
      <c r="S11" s="368"/>
    </row>
    <row r="12" spans="1:19" ht="22.8" customHeight="1">
      <c r="A12" s="366" t="s">
        <v>1786</v>
      </c>
      <c r="B12" s="343"/>
      <c r="C12" s="343"/>
      <c r="D12" s="366" t="s">
        <v>2773</v>
      </c>
      <c r="E12" s="263" t="s">
        <v>280</v>
      </c>
      <c r="F12" s="344">
        <f>SUM(F13:F14)</f>
        <v>869250</v>
      </c>
      <c r="G12" s="369"/>
      <c r="H12" s="368"/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</row>
    <row r="13" spans="1:19" ht="15" customHeight="1">
      <c r="A13" s="358" t="s">
        <v>445</v>
      </c>
      <c r="B13" s="308" t="s">
        <v>438</v>
      </c>
      <c r="C13" s="308" t="s">
        <v>2803</v>
      </c>
      <c r="D13" s="358" t="s">
        <v>2773</v>
      </c>
      <c r="E13" s="308" t="s">
        <v>280</v>
      </c>
      <c r="F13" s="278">
        <f t="shared" si="0"/>
        <v>74250</v>
      </c>
      <c r="G13" s="369" t="s">
        <v>443</v>
      </c>
      <c r="H13" s="368"/>
      <c r="I13" s="368"/>
      <c r="J13" s="368"/>
      <c r="K13" s="368"/>
      <c r="L13" s="368"/>
      <c r="M13" s="368"/>
      <c r="N13" s="368">
        <v>24750</v>
      </c>
      <c r="O13" s="368"/>
      <c r="P13" s="368"/>
      <c r="Q13" s="368"/>
      <c r="R13" s="368"/>
      <c r="S13" s="368">
        <v>49500</v>
      </c>
    </row>
    <row r="14" spans="1:19" ht="15" customHeight="1">
      <c r="A14" s="358" t="s">
        <v>445</v>
      </c>
      <c r="B14" s="308" t="s">
        <v>438</v>
      </c>
      <c r="C14" s="308" t="s">
        <v>2803</v>
      </c>
      <c r="D14" s="358" t="s">
        <v>2773</v>
      </c>
      <c r="E14" s="308" t="s">
        <v>280</v>
      </c>
      <c r="F14" s="278">
        <f t="shared" si="0"/>
        <v>795000</v>
      </c>
      <c r="G14" s="369" t="s">
        <v>444</v>
      </c>
      <c r="H14" s="368">
        <v>30000</v>
      </c>
      <c r="I14" s="368">
        <v>90000</v>
      </c>
      <c r="J14" s="368">
        <v>90000</v>
      </c>
      <c r="K14" s="368">
        <v>30000</v>
      </c>
      <c r="L14" s="368">
        <v>45000</v>
      </c>
      <c r="M14" s="368">
        <v>90000</v>
      </c>
      <c r="N14" s="368">
        <v>45000</v>
      </c>
      <c r="O14" s="368">
        <v>45000</v>
      </c>
      <c r="P14" s="368">
        <v>60000</v>
      </c>
      <c r="Q14" s="368">
        <v>75000</v>
      </c>
      <c r="R14" s="368">
        <v>90000</v>
      </c>
      <c r="S14" s="368">
        <v>105000</v>
      </c>
    </row>
    <row r="15" spans="1:19" ht="22.2" customHeight="1">
      <c r="A15" s="366" t="s">
        <v>2724</v>
      </c>
      <c r="B15" s="343"/>
      <c r="C15" s="343"/>
      <c r="D15" s="366" t="s">
        <v>2773</v>
      </c>
      <c r="E15" s="263" t="s">
        <v>280</v>
      </c>
      <c r="F15" s="344">
        <f>SUM(F16:F18)</f>
        <v>949673.69400000002</v>
      </c>
      <c r="G15" s="369"/>
      <c r="H15" s="368"/>
      <c r="I15" s="368"/>
      <c r="J15" s="368"/>
      <c r="K15" s="368"/>
      <c r="L15" s="368"/>
      <c r="M15" s="368"/>
      <c r="N15" s="368"/>
      <c r="O15" s="368"/>
      <c r="P15" s="368"/>
      <c r="Q15" s="368"/>
      <c r="R15" s="368"/>
      <c r="S15" s="368"/>
    </row>
    <row r="16" spans="1:19" ht="15" customHeight="1">
      <c r="A16" s="358" t="str">
        <f>A79</f>
        <v>กระดาษกล่องแป้งหลังเทา (EF597)</v>
      </c>
      <c r="B16" s="308" t="str">
        <f>B79</f>
        <v>การบรรจุ</v>
      </c>
      <c r="C16" s="308" t="s">
        <v>2803</v>
      </c>
      <c r="D16" s="358" t="s">
        <v>2773</v>
      </c>
      <c r="E16" s="308" t="str">
        <f t="shared" ref="E16:S16" si="1">E79</f>
        <v>Kg</v>
      </c>
      <c r="F16" s="794">
        <f t="shared" si="1"/>
        <v>219427.43800000002</v>
      </c>
      <c r="G16" s="358" t="str">
        <f t="shared" si="1"/>
        <v>บริษัท เค.อาร์.ที. แพค แอนด์ ซัพพลาย จำกัด</v>
      </c>
      <c r="H16" s="794">
        <f t="shared" si="1"/>
        <v>8637.27</v>
      </c>
      <c r="I16" s="794">
        <f t="shared" si="1"/>
        <v>14898.159999999996</v>
      </c>
      <c r="J16" s="794">
        <f t="shared" si="1"/>
        <v>38001.372000000003</v>
      </c>
      <c r="K16" s="794">
        <f t="shared" si="1"/>
        <v>29176.530000000002</v>
      </c>
      <c r="L16" s="794">
        <f t="shared" si="1"/>
        <v>17209.189999999999</v>
      </c>
      <c r="M16" s="794">
        <f t="shared" si="1"/>
        <v>21197.480000000003</v>
      </c>
      <c r="N16" s="794">
        <f t="shared" si="1"/>
        <v>9096.9</v>
      </c>
      <c r="O16" s="794">
        <f t="shared" si="1"/>
        <v>15680.760000000002</v>
      </c>
      <c r="P16" s="794">
        <f t="shared" si="1"/>
        <v>4173.2560000000003</v>
      </c>
      <c r="Q16" s="794">
        <f t="shared" si="1"/>
        <v>16213.348000000002</v>
      </c>
      <c r="R16" s="794">
        <f t="shared" si="1"/>
        <v>26229.134000000005</v>
      </c>
      <c r="S16" s="794">
        <f t="shared" si="1"/>
        <v>18914.038</v>
      </c>
    </row>
    <row r="17" spans="1:19" ht="15" customHeight="1">
      <c r="A17" s="358" t="str">
        <f t="shared" ref="A17:S17" si="2">A80</f>
        <v>กระดาษกล่องแป้งหลังเทา (EF597)</v>
      </c>
      <c r="B17" s="308" t="str">
        <f t="shared" si="2"/>
        <v>การบรรจุ</v>
      </c>
      <c r="C17" s="308" t="s">
        <v>2803</v>
      </c>
      <c r="D17" s="358" t="s">
        <v>2773</v>
      </c>
      <c r="E17" s="308" t="str">
        <f t="shared" si="2"/>
        <v>Kg</v>
      </c>
      <c r="F17" s="794">
        <f t="shared" si="2"/>
        <v>6720.1</v>
      </c>
      <c r="G17" s="358" t="str">
        <f t="shared" si="2"/>
        <v>บริษัท เหรียญทองการพิมพ์ จำกัด</v>
      </c>
      <c r="H17" s="794">
        <f t="shared" si="2"/>
        <v>1400.1000000000001</v>
      </c>
      <c r="I17" s="794">
        <f t="shared" si="2"/>
        <v>960</v>
      </c>
      <c r="J17" s="794">
        <f t="shared" si="2"/>
        <v>1380</v>
      </c>
      <c r="K17" s="794">
        <f t="shared" si="2"/>
        <v>0</v>
      </c>
      <c r="L17" s="794">
        <f t="shared" si="2"/>
        <v>0</v>
      </c>
      <c r="M17" s="794">
        <f t="shared" si="2"/>
        <v>0</v>
      </c>
      <c r="N17" s="794">
        <f t="shared" si="2"/>
        <v>0</v>
      </c>
      <c r="O17" s="794">
        <f t="shared" si="2"/>
        <v>640</v>
      </c>
      <c r="P17" s="794">
        <f t="shared" si="2"/>
        <v>1380</v>
      </c>
      <c r="Q17" s="794">
        <f t="shared" si="2"/>
        <v>960</v>
      </c>
      <c r="R17" s="794">
        <f t="shared" si="2"/>
        <v>0</v>
      </c>
      <c r="S17" s="794">
        <f t="shared" si="2"/>
        <v>0</v>
      </c>
    </row>
    <row r="18" spans="1:19" ht="15" customHeight="1">
      <c r="A18" s="358" t="str">
        <f t="shared" ref="A18:S18" si="3">A81</f>
        <v>กระดาษกล่องแป้งหลังเทา (EF597)</v>
      </c>
      <c r="B18" s="308" t="str">
        <f t="shared" si="3"/>
        <v>การบรรจุ</v>
      </c>
      <c r="C18" s="308" t="s">
        <v>2803</v>
      </c>
      <c r="D18" s="358" t="s">
        <v>2773</v>
      </c>
      <c r="E18" s="308" t="str">
        <f t="shared" si="3"/>
        <v>Kg</v>
      </c>
      <c r="F18" s="794">
        <f t="shared" si="3"/>
        <v>723526.15599999996</v>
      </c>
      <c r="G18" s="358" t="str">
        <f t="shared" si="3"/>
        <v>บริษัท สำราญจิตต์การพิมพ์ จำกัด</v>
      </c>
      <c r="H18" s="794">
        <f t="shared" si="3"/>
        <v>54667.88</v>
      </c>
      <c r="I18" s="794">
        <f t="shared" si="3"/>
        <v>58140.336000000025</v>
      </c>
      <c r="J18" s="794">
        <f t="shared" si="3"/>
        <v>47572.51999999999</v>
      </c>
      <c r="K18" s="794">
        <f t="shared" si="3"/>
        <v>26476.752000000004</v>
      </c>
      <c r="L18" s="794">
        <f t="shared" si="3"/>
        <v>78932.952000000019</v>
      </c>
      <c r="M18" s="794">
        <f t="shared" si="3"/>
        <v>65650.023999999976</v>
      </c>
      <c r="N18" s="794">
        <f t="shared" si="3"/>
        <v>70489.484000000011</v>
      </c>
      <c r="O18" s="794">
        <f t="shared" si="3"/>
        <v>78357.414000000004</v>
      </c>
      <c r="P18" s="794">
        <f t="shared" si="3"/>
        <v>56931.32</v>
      </c>
      <c r="Q18" s="794">
        <f t="shared" si="3"/>
        <v>67031.29800000001</v>
      </c>
      <c r="R18" s="794">
        <f t="shared" si="3"/>
        <v>71114.556000000026</v>
      </c>
      <c r="S18" s="794">
        <f t="shared" si="3"/>
        <v>48161.619999999995</v>
      </c>
    </row>
    <row r="19" spans="1:19" ht="23.4" customHeight="1">
      <c r="A19" s="366" t="s">
        <v>2725</v>
      </c>
      <c r="B19" s="343"/>
      <c r="C19" s="343"/>
      <c r="D19" s="366" t="s">
        <v>2773</v>
      </c>
      <c r="E19" s="263" t="s">
        <v>280</v>
      </c>
      <c r="F19" s="344">
        <f>SUM(F20:F24)</f>
        <v>848073.02600000007</v>
      </c>
      <c r="G19" s="358"/>
      <c r="H19" s="794"/>
      <c r="I19" s="794"/>
      <c r="J19" s="794"/>
      <c r="K19" s="794"/>
      <c r="L19" s="794"/>
      <c r="M19" s="794"/>
      <c r="N19" s="794"/>
      <c r="O19" s="794"/>
      <c r="P19" s="794"/>
      <c r="Q19" s="794"/>
      <c r="R19" s="794"/>
      <c r="S19" s="794"/>
    </row>
    <row r="20" spans="1:19" ht="15" customHeight="1">
      <c r="A20" s="358" t="str">
        <f t="shared" ref="A20:G20" si="4">A82</f>
        <v>กระดาษคราฟท์ ชนิดทำลอน (EF596)</v>
      </c>
      <c r="B20" s="308" t="str">
        <f t="shared" si="4"/>
        <v>การบรรจุ</v>
      </c>
      <c r="C20" s="308" t="s">
        <v>2803</v>
      </c>
      <c r="D20" s="358" t="s">
        <v>2773</v>
      </c>
      <c r="E20" s="308" t="str">
        <f t="shared" si="4"/>
        <v>Kg</v>
      </c>
      <c r="F20" s="794">
        <f t="shared" si="4"/>
        <v>94775.371999999988</v>
      </c>
      <c r="G20" s="358" t="str">
        <f t="shared" si="4"/>
        <v>บริษัท เค.อาร์.ที. แพค แอนด์ ซัพพลาย จำกัด</v>
      </c>
      <c r="H20" s="794">
        <v>205.27500000000001</v>
      </c>
      <c r="I20" s="794">
        <v>4102.1840000000002</v>
      </c>
      <c r="J20" s="794">
        <v>4773.3899999999994</v>
      </c>
      <c r="K20" s="794">
        <v>4393.6360000000004</v>
      </c>
      <c r="L20" s="794">
        <v>7258.4809999999998</v>
      </c>
      <c r="M20" s="794">
        <v>11263.31</v>
      </c>
      <c r="N20" s="794">
        <v>9333.7980000000007</v>
      </c>
      <c r="O20" s="794">
        <v>9803.64</v>
      </c>
      <c r="P20" s="794">
        <v>14696.654999999999</v>
      </c>
      <c r="Q20" s="794">
        <v>12131.504000000001</v>
      </c>
      <c r="R20" s="794">
        <v>10727.902000000002</v>
      </c>
      <c r="S20" s="794">
        <v>6085.5969999999998</v>
      </c>
    </row>
    <row r="21" spans="1:19" ht="15" customHeight="1">
      <c r="A21" s="358" t="str">
        <f t="shared" ref="A21:G21" si="5">A83</f>
        <v>กระดาษคราฟท์ ชนิดทำลอน (EF596)</v>
      </c>
      <c r="B21" s="308" t="str">
        <f t="shared" si="5"/>
        <v>การบรรจุ</v>
      </c>
      <c r="C21" s="308" t="s">
        <v>2803</v>
      </c>
      <c r="D21" s="358" t="s">
        <v>2773</v>
      </c>
      <c r="E21" s="308" t="str">
        <f t="shared" si="5"/>
        <v>Kg</v>
      </c>
      <c r="F21" s="794">
        <f t="shared" si="5"/>
        <v>423883.75700000004</v>
      </c>
      <c r="G21" s="358" t="str">
        <f t="shared" si="5"/>
        <v>บริษัท เอส.พี.ที.แพ็คกิ้งกรุ๊ป จำกัด</v>
      </c>
      <c r="H21" s="794">
        <v>29647.315000000006</v>
      </c>
      <c r="I21" s="794">
        <v>31891.753000000004</v>
      </c>
      <c r="J21" s="794">
        <v>34086.95199999999</v>
      </c>
      <c r="K21" s="794">
        <v>12368.174000000003</v>
      </c>
      <c r="L21" s="794">
        <v>31471.975000000006</v>
      </c>
      <c r="M21" s="794">
        <v>40571.310000000005</v>
      </c>
      <c r="N21" s="794">
        <v>32534.58</v>
      </c>
      <c r="O21" s="794">
        <v>47329.815000000002</v>
      </c>
      <c r="P21" s="794">
        <v>30237.795000000013</v>
      </c>
      <c r="Q21" s="794">
        <v>44144.949000000022</v>
      </c>
      <c r="R21" s="794">
        <v>57992.322000000036</v>
      </c>
      <c r="S21" s="794">
        <v>31606.817000000003</v>
      </c>
    </row>
    <row r="22" spans="1:19" ht="15" customHeight="1">
      <c r="A22" s="358" t="str">
        <f t="shared" ref="A22:G22" si="6">A84</f>
        <v>กระดาษคราฟท์ ชนิดทำลอน (EF596)</v>
      </c>
      <c r="B22" s="308" t="str">
        <f t="shared" si="6"/>
        <v>การบรรจุ</v>
      </c>
      <c r="C22" s="308" t="s">
        <v>2803</v>
      </c>
      <c r="D22" s="358" t="s">
        <v>2773</v>
      </c>
      <c r="E22" s="308" t="str">
        <f t="shared" si="6"/>
        <v>Kg</v>
      </c>
      <c r="F22" s="794">
        <f t="shared" si="6"/>
        <v>268107.20500000002</v>
      </c>
      <c r="G22" s="358" t="str">
        <f t="shared" si="6"/>
        <v>บริษัท บรรเจิดบรรจุภัณฑ์ จำกัด</v>
      </c>
      <c r="H22" s="794">
        <v>22459.650000000005</v>
      </c>
      <c r="I22" s="794">
        <v>21515.391999999993</v>
      </c>
      <c r="J22" s="794">
        <v>24639.293000000009</v>
      </c>
      <c r="K22" s="794">
        <v>16926.279999999995</v>
      </c>
      <c r="L22" s="794">
        <v>40608.391999999993</v>
      </c>
      <c r="M22" s="794">
        <v>28433.09</v>
      </c>
      <c r="N22" s="794">
        <v>22674.176999999985</v>
      </c>
      <c r="O22" s="794">
        <v>21616.799999999999</v>
      </c>
      <c r="P22" s="794">
        <v>14048.225</v>
      </c>
      <c r="Q22" s="794">
        <v>15446.786</v>
      </c>
      <c r="R22" s="794">
        <v>21501.46000000001</v>
      </c>
      <c r="S22" s="794">
        <v>18237.66</v>
      </c>
    </row>
    <row r="23" spans="1:19" ht="15" customHeight="1">
      <c r="A23" s="358" t="str">
        <f t="shared" ref="A23:G23" si="7">A85</f>
        <v>กระดาษคราฟท์ ชนิดทำลอน (EF596)</v>
      </c>
      <c r="B23" s="308" t="str">
        <f t="shared" si="7"/>
        <v>การบรรจุ</v>
      </c>
      <c r="C23" s="308" t="s">
        <v>2803</v>
      </c>
      <c r="D23" s="358" t="s">
        <v>2773</v>
      </c>
      <c r="E23" s="308" t="str">
        <f t="shared" si="7"/>
        <v>Kg</v>
      </c>
      <c r="F23" s="794">
        <f t="shared" si="7"/>
        <v>36449.251000000004</v>
      </c>
      <c r="G23" s="358" t="str">
        <f t="shared" si="7"/>
        <v>บริษัท บาแล็นซ์ แพ็คกิ้ง จำกัด</v>
      </c>
      <c r="H23" s="794">
        <v>620</v>
      </c>
      <c r="I23" s="794">
        <v>4336.4159999999993</v>
      </c>
      <c r="J23" s="794">
        <v>1004.9999999999999</v>
      </c>
      <c r="K23" s="794">
        <v>1869.654</v>
      </c>
      <c r="L23" s="794">
        <v>1239.1599999999999</v>
      </c>
      <c r="M23" s="794">
        <v>5049.5</v>
      </c>
      <c r="N23" s="794">
        <v>5514.5889999999999</v>
      </c>
      <c r="O23" s="794">
        <v>1116.018</v>
      </c>
      <c r="P23" s="794">
        <v>4728.5519999999997</v>
      </c>
      <c r="Q23" s="794">
        <v>4307.4859999999999</v>
      </c>
      <c r="R23" s="794">
        <v>3978.826</v>
      </c>
      <c r="S23" s="794">
        <v>2684.0499999999997</v>
      </c>
    </row>
    <row r="24" spans="1:19" ht="15" customHeight="1">
      <c r="A24" s="358" t="str">
        <f t="shared" ref="A24:G24" si="8">A86</f>
        <v>กระดาษคราฟท์ ชนิดทำลอน (EF596)</v>
      </c>
      <c r="B24" s="308" t="str">
        <f t="shared" si="8"/>
        <v>การบรรจุ</v>
      </c>
      <c r="C24" s="308" t="s">
        <v>2803</v>
      </c>
      <c r="D24" s="358" t="s">
        <v>2773</v>
      </c>
      <c r="E24" s="308" t="str">
        <f t="shared" si="8"/>
        <v>Kg</v>
      </c>
      <c r="F24" s="794">
        <f t="shared" si="8"/>
        <v>24857.441000000003</v>
      </c>
      <c r="G24" s="358" t="str">
        <f t="shared" si="8"/>
        <v>ห้างหุ้นส่วนจำกัด อชราบรรจุภัณฑ์</v>
      </c>
      <c r="H24" s="794">
        <v>2564.5310000000004</v>
      </c>
      <c r="I24" s="794">
        <v>4196.9849999999997</v>
      </c>
      <c r="J24" s="794">
        <v>1981</v>
      </c>
      <c r="K24" s="794">
        <v>398.3</v>
      </c>
      <c r="L24" s="794">
        <v>933</v>
      </c>
      <c r="M24" s="794">
        <v>852.1</v>
      </c>
      <c r="N24" s="794">
        <v>1088.365</v>
      </c>
      <c r="O24" s="794">
        <v>3131.2299999999991</v>
      </c>
      <c r="P24" s="794">
        <v>1941.2</v>
      </c>
      <c r="Q24" s="794">
        <v>3882.4</v>
      </c>
      <c r="R24" s="794">
        <v>2099.1999999999998</v>
      </c>
      <c r="S24" s="794">
        <v>1789.1299999999997</v>
      </c>
    </row>
    <row r="27" spans="1:19" ht="23.4" customHeight="1">
      <c r="A27" s="311" t="s">
        <v>458</v>
      </c>
    </row>
    <row r="28" spans="1:19" ht="15" customHeight="1">
      <c r="A28" s="370" t="s">
        <v>4</v>
      </c>
      <c r="B28" s="370" t="s">
        <v>17</v>
      </c>
      <c r="C28" s="370" t="s">
        <v>459</v>
      </c>
      <c r="D28" s="305"/>
    </row>
    <row r="29" spans="1:19" ht="15" customHeight="1">
      <c r="A29" s="371" t="s">
        <v>437</v>
      </c>
      <c r="B29" s="372" t="s">
        <v>280</v>
      </c>
      <c r="C29" s="373">
        <f>SUM(F52:F53)</f>
        <v>3887250</v>
      </c>
      <c r="D29" s="374">
        <f>C29/$C$47*100</f>
        <v>34.560829807724161</v>
      </c>
      <c r="E29" s="375">
        <f>SUM(D29:D32)</f>
        <v>91.639848138437998</v>
      </c>
    </row>
    <row r="30" spans="1:19" ht="15" customHeight="1">
      <c r="A30" s="358" t="s">
        <v>442</v>
      </c>
      <c r="B30" s="376" t="s">
        <v>280</v>
      </c>
      <c r="C30" s="373">
        <f>SUM(F54:F57)</f>
        <v>3753000</v>
      </c>
      <c r="D30" s="374">
        <f t="shared" ref="D30:D46" si="9">C30/$C$47*100</f>
        <v>33.367237576278541</v>
      </c>
    </row>
    <row r="31" spans="1:19" ht="15" customHeight="1">
      <c r="A31" s="358" t="s">
        <v>445</v>
      </c>
      <c r="B31" s="376" t="s">
        <v>280</v>
      </c>
      <c r="C31" s="373">
        <f>SUM(F58:F59)</f>
        <v>869250</v>
      </c>
      <c r="D31" s="374">
        <f t="shared" si="9"/>
        <v>7.7283429957847387</v>
      </c>
    </row>
    <row r="32" spans="1:19" ht="15" customHeight="1">
      <c r="A32" s="358" t="s">
        <v>446</v>
      </c>
      <c r="B32" s="376" t="s">
        <v>280</v>
      </c>
      <c r="C32" s="373">
        <f>SUM(F79:F86)</f>
        <v>1797746.7200000002</v>
      </c>
      <c r="D32" s="374">
        <f t="shared" si="9"/>
        <v>15.983437758650549</v>
      </c>
    </row>
    <row r="33" spans="1:4" ht="15" customHeight="1">
      <c r="A33" s="358" t="s">
        <v>460</v>
      </c>
      <c r="B33" s="377" t="s">
        <v>280</v>
      </c>
      <c r="C33" s="378">
        <f>SUM(F60:F61)</f>
        <v>123750</v>
      </c>
      <c r="D33" s="374">
        <f t="shared" si="9"/>
        <v>1.1002386490979135</v>
      </c>
    </row>
    <row r="34" spans="1:4" ht="15" customHeight="1">
      <c r="A34" s="358" t="s">
        <v>461</v>
      </c>
      <c r="B34" s="377" t="s">
        <v>280</v>
      </c>
      <c r="C34" s="378">
        <f>SUM(F62:F64)</f>
        <v>247400</v>
      </c>
      <c r="D34" s="374">
        <f t="shared" si="9"/>
        <v>2.1995882164591825</v>
      </c>
    </row>
    <row r="35" spans="1:4" ht="15" customHeight="1">
      <c r="A35" s="358" t="s">
        <v>462</v>
      </c>
      <c r="B35" s="377" t="s">
        <v>280</v>
      </c>
      <c r="C35" s="378">
        <f>SUM(F65:F68)</f>
        <v>247039.30000000002</v>
      </c>
      <c r="D35" s="374">
        <f t="shared" si="9"/>
        <v>2.1963812986351048</v>
      </c>
    </row>
    <row r="36" spans="1:4" ht="15" customHeight="1">
      <c r="A36" s="358" t="s">
        <v>463</v>
      </c>
      <c r="B36" s="377" t="s">
        <v>280</v>
      </c>
      <c r="C36" s="378">
        <f>SUM(F69)</f>
        <v>142425</v>
      </c>
      <c r="D36" s="374">
        <f t="shared" si="9"/>
        <v>1.266274663416326</v>
      </c>
    </row>
    <row r="37" spans="1:4" ht="15" customHeight="1">
      <c r="A37" s="358" t="s">
        <v>464</v>
      </c>
      <c r="B37" s="377" t="s">
        <v>280</v>
      </c>
      <c r="C37" s="378">
        <f>SUM(F70:F72)</f>
        <v>67263</v>
      </c>
      <c r="D37" s="374">
        <f t="shared" si="9"/>
        <v>0.59802304851937749</v>
      </c>
    </row>
    <row r="38" spans="1:4" ht="15" customHeight="1">
      <c r="A38" s="358" t="s">
        <v>465</v>
      </c>
      <c r="B38" s="377" t="s">
        <v>280</v>
      </c>
      <c r="C38" s="378">
        <f>SUM(F73:F75)</f>
        <v>52405</v>
      </c>
      <c r="D38" s="374">
        <f t="shared" si="9"/>
        <v>0.46592328408869627</v>
      </c>
    </row>
    <row r="39" spans="1:4" ht="15" customHeight="1">
      <c r="A39" s="358" t="s">
        <v>466</v>
      </c>
      <c r="B39" s="377" t="s">
        <v>280</v>
      </c>
      <c r="C39" s="378">
        <f>SUM(F76:F77)</f>
        <v>11560</v>
      </c>
      <c r="D39" s="374">
        <f t="shared" si="9"/>
        <v>0.10277784875613641</v>
      </c>
    </row>
    <row r="40" spans="1:4" ht="15" customHeight="1">
      <c r="A40" s="358" t="s">
        <v>467</v>
      </c>
      <c r="B40" s="377" t="s">
        <v>280</v>
      </c>
      <c r="C40" s="378">
        <f>SUM(F78)</f>
        <v>500</v>
      </c>
      <c r="D40" s="374">
        <f t="shared" si="9"/>
        <v>4.4454086832238938E-3</v>
      </c>
    </row>
    <row r="41" spans="1:4" ht="15" customHeight="1">
      <c r="A41" s="358" t="s">
        <v>468</v>
      </c>
      <c r="B41" s="377" t="s">
        <v>280</v>
      </c>
      <c r="C41" s="378">
        <f>SUM(F87)</f>
        <v>3400</v>
      </c>
      <c r="D41" s="374">
        <f t="shared" si="9"/>
        <v>3.0228779045922475E-2</v>
      </c>
    </row>
    <row r="42" spans="1:4" ht="15" customHeight="1">
      <c r="A42" s="358" t="s">
        <v>469</v>
      </c>
      <c r="B42" s="377" t="s">
        <v>280</v>
      </c>
      <c r="C42" s="378">
        <f>SUM(F88:F89)</f>
        <v>6186.78</v>
      </c>
      <c r="D42" s="374">
        <f t="shared" si="9"/>
        <v>5.5005531066391833E-2</v>
      </c>
    </row>
    <row r="43" spans="1:4" ht="15" customHeight="1">
      <c r="A43" s="358" t="s">
        <v>470</v>
      </c>
      <c r="B43" s="377" t="s">
        <v>280</v>
      </c>
      <c r="C43" s="378">
        <f>SUM(F90:F92)</f>
        <v>19750</v>
      </c>
      <c r="D43" s="374">
        <f t="shared" si="9"/>
        <v>0.17559364298734378</v>
      </c>
    </row>
    <row r="44" spans="1:4" ht="15" customHeight="1">
      <c r="A44" s="358" t="s">
        <v>471</v>
      </c>
      <c r="B44" s="377" t="s">
        <v>280</v>
      </c>
      <c r="C44" s="378">
        <f>SUM(F93)</f>
        <v>864</v>
      </c>
      <c r="D44" s="374">
        <f t="shared" si="9"/>
        <v>7.6816662046108874E-3</v>
      </c>
    </row>
    <row r="45" spans="1:4" ht="15" customHeight="1">
      <c r="A45" s="358" t="s">
        <v>472</v>
      </c>
      <c r="B45" s="377" t="s">
        <v>280</v>
      </c>
      <c r="C45" s="378">
        <f>SUM(F94:F95)</f>
        <v>17112</v>
      </c>
      <c r="D45" s="374">
        <f t="shared" si="9"/>
        <v>0.15213966677465454</v>
      </c>
    </row>
    <row r="46" spans="1:4" ht="15" customHeight="1">
      <c r="A46" s="358" t="s">
        <v>473</v>
      </c>
      <c r="B46" s="377" t="s">
        <v>280</v>
      </c>
      <c r="C46" s="378">
        <f>SUM(F96)</f>
        <v>658</v>
      </c>
      <c r="D46" s="374">
        <f t="shared" si="9"/>
        <v>5.8501578271226437E-3</v>
      </c>
    </row>
    <row r="47" spans="1:4" ht="15" customHeight="1">
      <c r="C47" s="354">
        <f>SUM(C29:C46)</f>
        <v>11247559.800000001</v>
      </c>
    </row>
    <row r="49" spans="1:26" ht="23.4" customHeight="1">
      <c r="A49" s="311" t="s">
        <v>474</v>
      </c>
    </row>
    <row r="50" spans="1:26" ht="14.25" customHeight="1">
      <c r="A50" s="1341" t="s">
        <v>417</v>
      </c>
      <c r="B50" s="1343" t="s">
        <v>418</v>
      </c>
      <c r="C50" s="1343" t="s">
        <v>419</v>
      </c>
      <c r="D50" s="1345" t="s">
        <v>420</v>
      </c>
      <c r="E50" s="1345" t="s">
        <v>269</v>
      </c>
      <c r="F50" s="364" t="s">
        <v>421</v>
      </c>
      <c r="G50" s="1345" t="s">
        <v>422</v>
      </c>
      <c r="H50" s="1338" t="s">
        <v>271</v>
      </c>
      <c r="I50" s="1339"/>
      <c r="J50" s="1339"/>
      <c r="K50" s="1339"/>
      <c r="L50" s="1339"/>
      <c r="M50" s="1339"/>
      <c r="N50" s="1339"/>
      <c r="O50" s="1339"/>
      <c r="P50" s="1339"/>
      <c r="Q50" s="1339"/>
      <c r="R50" s="1339"/>
      <c r="S50" s="1340"/>
    </row>
    <row r="51" spans="1:26" ht="14.25" customHeight="1">
      <c r="A51" s="1342"/>
      <c r="B51" s="1344"/>
      <c r="C51" s="1344"/>
      <c r="D51" s="1346"/>
      <c r="E51" s="1346"/>
      <c r="F51" s="364" t="s">
        <v>423</v>
      </c>
      <c r="G51" s="1346"/>
      <c r="H51" s="364" t="s">
        <v>424</v>
      </c>
      <c r="I51" s="364" t="s">
        <v>425</v>
      </c>
      <c r="J51" s="364" t="s">
        <v>426</v>
      </c>
      <c r="K51" s="364" t="s">
        <v>427</v>
      </c>
      <c r="L51" s="364" t="s">
        <v>428</v>
      </c>
      <c r="M51" s="364" t="s">
        <v>429</v>
      </c>
      <c r="N51" s="364" t="s">
        <v>430</v>
      </c>
      <c r="O51" s="364" t="s">
        <v>431</v>
      </c>
      <c r="P51" s="364" t="s">
        <v>432</v>
      </c>
      <c r="Q51" s="364" t="s">
        <v>433</v>
      </c>
      <c r="R51" s="364" t="s">
        <v>434</v>
      </c>
      <c r="S51" s="364" t="s">
        <v>435</v>
      </c>
    </row>
    <row r="52" spans="1:26" ht="15" customHeight="1">
      <c r="A52" s="379" t="s">
        <v>437</v>
      </c>
      <c r="B52" s="380" t="s">
        <v>438</v>
      </c>
      <c r="C52" s="380" t="s">
        <v>439</v>
      </c>
      <c r="D52" s="379" t="s">
        <v>436</v>
      </c>
      <c r="E52" s="380" t="s">
        <v>280</v>
      </c>
      <c r="F52" s="381">
        <f>SUM(H52:S52)</f>
        <v>1262250</v>
      </c>
      <c r="G52" s="379" t="s">
        <v>440</v>
      </c>
      <c r="H52" s="278"/>
      <c r="I52" s="278"/>
      <c r="J52" s="278"/>
      <c r="K52" s="278"/>
      <c r="L52" s="278"/>
      <c r="M52" s="278"/>
      <c r="N52" s="278">
        <v>297000</v>
      </c>
      <c r="O52" s="278">
        <v>198000</v>
      </c>
      <c r="P52" s="278">
        <v>297000</v>
      </c>
      <c r="Q52" s="278">
        <v>123750</v>
      </c>
      <c r="R52" s="278">
        <v>346500</v>
      </c>
      <c r="S52" s="278"/>
      <c r="T52" s="309"/>
      <c r="U52" s="309"/>
      <c r="V52" s="309"/>
      <c r="W52" s="309"/>
      <c r="X52" s="309"/>
      <c r="Y52" s="309"/>
      <c r="Z52" s="309"/>
    </row>
    <row r="53" spans="1:26" ht="15" customHeight="1">
      <c r="A53" s="379" t="s">
        <v>437</v>
      </c>
      <c r="B53" s="380" t="s">
        <v>438</v>
      </c>
      <c r="C53" s="380" t="s">
        <v>439</v>
      </c>
      <c r="D53" s="379" t="s">
        <v>436</v>
      </c>
      <c r="E53" s="380" t="s">
        <v>280</v>
      </c>
      <c r="F53" s="381">
        <f>SUM(H53:S53)</f>
        <v>2625000</v>
      </c>
      <c r="G53" s="382" t="s">
        <v>441</v>
      </c>
      <c r="H53" s="368">
        <v>255000</v>
      </c>
      <c r="I53" s="368">
        <v>375000</v>
      </c>
      <c r="J53" s="368">
        <v>375000</v>
      </c>
      <c r="K53" s="368">
        <v>375000</v>
      </c>
      <c r="L53" s="368">
        <v>375000</v>
      </c>
      <c r="M53" s="368">
        <v>375000</v>
      </c>
      <c r="N53" s="368"/>
      <c r="O53" s="368">
        <v>60000</v>
      </c>
      <c r="P53" s="368">
        <v>150000</v>
      </c>
      <c r="Q53" s="368">
        <v>45000</v>
      </c>
      <c r="R53" s="368">
        <v>135000</v>
      </c>
      <c r="S53" s="368">
        <v>105000</v>
      </c>
    </row>
    <row r="54" spans="1:26" ht="15" customHeight="1">
      <c r="A54" s="358" t="s">
        <v>442</v>
      </c>
      <c r="B54" s="308" t="s">
        <v>438</v>
      </c>
      <c r="C54" s="308" t="s">
        <v>439</v>
      </c>
      <c r="D54" s="358" t="s">
        <v>436</v>
      </c>
      <c r="E54" s="308" t="s">
        <v>280</v>
      </c>
      <c r="F54" s="278">
        <f>SUM(H54:S54)</f>
        <v>1559250</v>
      </c>
      <c r="G54" s="369" t="s">
        <v>440</v>
      </c>
      <c r="H54" s="368">
        <v>222750</v>
      </c>
      <c r="I54" s="368">
        <v>74250</v>
      </c>
      <c r="J54" s="368">
        <v>222750</v>
      </c>
      <c r="K54" s="368">
        <v>222750</v>
      </c>
      <c r="L54" s="368">
        <v>148500</v>
      </c>
      <c r="M54" s="368">
        <v>222750</v>
      </c>
      <c r="N54" s="368">
        <v>297000</v>
      </c>
      <c r="O54" s="368"/>
      <c r="P54" s="368"/>
      <c r="Q54" s="368">
        <v>148500</v>
      </c>
      <c r="R54" s="368"/>
      <c r="S54" s="368"/>
    </row>
    <row r="55" spans="1:26" ht="15" customHeight="1">
      <c r="A55" s="358" t="s">
        <v>442</v>
      </c>
      <c r="B55" s="308" t="s">
        <v>438</v>
      </c>
      <c r="C55" s="308" t="s">
        <v>439</v>
      </c>
      <c r="D55" s="358" t="s">
        <v>436</v>
      </c>
      <c r="E55" s="308" t="s">
        <v>280</v>
      </c>
      <c r="F55" s="278">
        <f t="shared" ref="F55:F96" si="10">SUM(H55:S55)</f>
        <v>2103750</v>
      </c>
      <c r="G55" s="369" t="s">
        <v>443</v>
      </c>
      <c r="H55" s="368">
        <v>767250</v>
      </c>
      <c r="I55" s="368">
        <v>198000</v>
      </c>
      <c r="J55" s="368"/>
      <c r="K55" s="368"/>
      <c r="L55" s="368">
        <v>99000</v>
      </c>
      <c r="M55" s="368"/>
      <c r="N55" s="368">
        <v>99000</v>
      </c>
      <c r="O55" s="368">
        <v>99000</v>
      </c>
      <c r="P55" s="368">
        <v>396000</v>
      </c>
      <c r="Q55" s="368"/>
      <c r="R55" s="368">
        <v>198000</v>
      </c>
      <c r="S55" s="368">
        <v>247500</v>
      </c>
    </row>
    <row r="56" spans="1:26" ht="15" customHeight="1">
      <c r="A56" s="358" t="s">
        <v>442</v>
      </c>
      <c r="B56" s="308" t="s">
        <v>438</v>
      </c>
      <c r="C56" s="308" t="s">
        <v>439</v>
      </c>
      <c r="D56" s="358" t="s">
        <v>436</v>
      </c>
      <c r="E56" s="308" t="s">
        <v>280</v>
      </c>
      <c r="F56" s="278">
        <f t="shared" si="10"/>
        <v>60000</v>
      </c>
      <c r="G56" s="369" t="s">
        <v>444</v>
      </c>
      <c r="H56" s="368"/>
      <c r="I56" s="368">
        <v>15000</v>
      </c>
      <c r="J56" s="368"/>
      <c r="K56" s="368"/>
      <c r="L56" s="368">
        <v>15000</v>
      </c>
      <c r="M56" s="368"/>
      <c r="N56" s="368"/>
      <c r="O56" s="368"/>
      <c r="P56" s="368">
        <v>15000</v>
      </c>
      <c r="Q56" s="368"/>
      <c r="R56" s="368">
        <v>15000</v>
      </c>
      <c r="S56" s="368"/>
    </row>
    <row r="57" spans="1:26" ht="15" customHeight="1">
      <c r="A57" s="358" t="s">
        <v>442</v>
      </c>
      <c r="B57" s="308" t="s">
        <v>438</v>
      </c>
      <c r="C57" s="308" t="s">
        <v>439</v>
      </c>
      <c r="D57" s="358" t="s">
        <v>436</v>
      </c>
      <c r="E57" s="308" t="s">
        <v>280</v>
      </c>
      <c r="F57" s="278">
        <f t="shared" si="10"/>
        <v>30000</v>
      </c>
      <c r="G57" s="369" t="s">
        <v>441</v>
      </c>
      <c r="H57" s="368">
        <v>15000</v>
      </c>
      <c r="I57" s="368"/>
      <c r="J57" s="368"/>
      <c r="K57" s="368"/>
      <c r="L57" s="368"/>
      <c r="M57" s="368"/>
      <c r="N57" s="368"/>
      <c r="O57" s="368">
        <v>15000</v>
      </c>
      <c r="P57" s="368"/>
      <c r="Q57" s="368"/>
      <c r="R57" s="368"/>
      <c r="S57" s="368"/>
    </row>
    <row r="58" spans="1:26" ht="15" customHeight="1">
      <c r="A58" s="379" t="s">
        <v>445</v>
      </c>
      <c r="B58" s="380" t="s">
        <v>438</v>
      </c>
      <c r="C58" s="380" t="s">
        <v>439</v>
      </c>
      <c r="D58" s="379" t="s">
        <v>436</v>
      </c>
      <c r="E58" s="380" t="s">
        <v>280</v>
      </c>
      <c r="F58" s="381">
        <f t="shared" si="10"/>
        <v>74250</v>
      </c>
      <c r="G58" s="383" t="s">
        <v>443</v>
      </c>
      <c r="H58" s="368"/>
      <c r="I58" s="368"/>
      <c r="J58" s="368"/>
      <c r="K58" s="368"/>
      <c r="L58" s="368"/>
      <c r="M58" s="368"/>
      <c r="N58" s="368">
        <v>24750</v>
      </c>
      <c r="O58" s="368"/>
      <c r="P58" s="368"/>
      <c r="Q58" s="368"/>
      <c r="R58" s="368"/>
      <c r="S58" s="368">
        <v>49500</v>
      </c>
    </row>
    <row r="59" spans="1:26" ht="15" customHeight="1">
      <c r="A59" s="379" t="s">
        <v>445</v>
      </c>
      <c r="B59" s="380" t="s">
        <v>438</v>
      </c>
      <c r="C59" s="380" t="s">
        <v>439</v>
      </c>
      <c r="D59" s="379" t="s">
        <v>436</v>
      </c>
      <c r="E59" s="380" t="s">
        <v>280</v>
      </c>
      <c r="F59" s="381">
        <f t="shared" si="10"/>
        <v>795000</v>
      </c>
      <c r="G59" s="383" t="s">
        <v>444</v>
      </c>
      <c r="H59" s="368">
        <v>30000</v>
      </c>
      <c r="I59" s="368">
        <v>90000</v>
      </c>
      <c r="J59" s="368">
        <v>90000</v>
      </c>
      <c r="K59" s="368">
        <v>30000</v>
      </c>
      <c r="L59" s="368">
        <v>45000</v>
      </c>
      <c r="M59" s="368">
        <v>90000</v>
      </c>
      <c r="N59" s="368">
        <v>45000</v>
      </c>
      <c r="O59" s="368">
        <v>45000</v>
      </c>
      <c r="P59" s="368">
        <v>60000</v>
      </c>
      <c r="Q59" s="368">
        <v>75000</v>
      </c>
      <c r="R59" s="368">
        <v>90000</v>
      </c>
      <c r="S59" s="368">
        <v>105000</v>
      </c>
    </row>
    <row r="60" spans="1:26" ht="15" customHeight="1">
      <c r="A60" s="358" t="s">
        <v>460</v>
      </c>
      <c r="B60" s="308" t="s">
        <v>438</v>
      </c>
      <c r="C60" s="308" t="s">
        <v>439</v>
      </c>
      <c r="D60" s="358" t="s">
        <v>436</v>
      </c>
      <c r="E60" s="308" t="s">
        <v>280</v>
      </c>
      <c r="F60" s="278">
        <f t="shared" si="10"/>
        <v>74250</v>
      </c>
      <c r="G60" s="369" t="s">
        <v>475</v>
      </c>
      <c r="H60" s="368"/>
      <c r="I60" s="368"/>
      <c r="J60" s="368"/>
      <c r="K60" s="368"/>
      <c r="L60" s="368"/>
      <c r="M60" s="368"/>
      <c r="N60" s="368"/>
      <c r="O60" s="368"/>
      <c r="P60" s="368"/>
      <c r="Q60" s="368">
        <v>49500</v>
      </c>
      <c r="R60" s="368"/>
      <c r="S60" s="368">
        <v>24750</v>
      </c>
    </row>
    <row r="61" spans="1:26" ht="15" customHeight="1">
      <c r="A61" s="358" t="s">
        <v>460</v>
      </c>
      <c r="B61" s="308" t="s">
        <v>438</v>
      </c>
      <c r="C61" s="308" t="s">
        <v>439</v>
      </c>
      <c r="D61" s="358" t="s">
        <v>436</v>
      </c>
      <c r="E61" s="308" t="s">
        <v>280</v>
      </c>
      <c r="F61" s="278">
        <f t="shared" si="10"/>
        <v>49500</v>
      </c>
      <c r="G61" s="369" t="s">
        <v>476</v>
      </c>
      <c r="H61" s="368"/>
      <c r="I61" s="368"/>
      <c r="J61" s="368"/>
      <c r="K61" s="368"/>
      <c r="L61" s="368"/>
      <c r="M61" s="368"/>
      <c r="N61" s="368"/>
      <c r="O61" s="368"/>
      <c r="P61" s="368">
        <v>24750</v>
      </c>
      <c r="Q61" s="368">
        <v>24750</v>
      </c>
      <c r="R61" s="368"/>
      <c r="S61" s="368"/>
    </row>
    <row r="62" spans="1:26" ht="15" customHeight="1">
      <c r="A62" s="379" t="s">
        <v>461</v>
      </c>
      <c r="B62" s="380" t="s">
        <v>438</v>
      </c>
      <c r="C62" s="380" t="s">
        <v>439</v>
      </c>
      <c r="D62" s="379" t="s">
        <v>436</v>
      </c>
      <c r="E62" s="380" t="s">
        <v>280</v>
      </c>
      <c r="F62" s="381">
        <f t="shared" si="10"/>
        <v>234000</v>
      </c>
      <c r="G62" s="384" t="s">
        <v>440</v>
      </c>
      <c r="H62" s="368"/>
      <c r="I62" s="368"/>
      <c r="J62" s="368"/>
      <c r="K62" s="368">
        <v>22000</v>
      </c>
      <c r="L62" s="368"/>
      <c r="M62" s="368"/>
      <c r="N62" s="368"/>
      <c r="O62" s="368"/>
      <c r="P62" s="368"/>
      <c r="Q62" s="368"/>
      <c r="R62" s="368"/>
      <c r="S62" s="368">
        <v>212000</v>
      </c>
    </row>
    <row r="63" spans="1:26" ht="15" customHeight="1">
      <c r="A63" s="379" t="s">
        <v>461</v>
      </c>
      <c r="B63" s="380" t="s">
        <v>438</v>
      </c>
      <c r="C63" s="380" t="s">
        <v>439</v>
      </c>
      <c r="D63" s="379" t="s">
        <v>436</v>
      </c>
      <c r="E63" s="380" t="s">
        <v>280</v>
      </c>
      <c r="F63" s="381">
        <f t="shared" si="10"/>
        <v>12800</v>
      </c>
      <c r="G63" s="384" t="s">
        <v>477</v>
      </c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>
        <v>12800</v>
      </c>
      <c r="S63" s="368"/>
    </row>
    <row r="64" spans="1:26" ht="15" customHeight="1">
      <c r="A64" s="379" t="s">
        <v>461</v>
      </c>
      <c r="B64" s="380" t="s">
        <v>438</v>
      </c>
      <c r="C64" s="380" t="s">
        <v>439</v>
      </c>
      <c r="D64" s="379" t="s">
        <v>436</v>
      </c>
      <c r="E64" s="380" t="s">
        <v>280</v>
      </c>
      <c r="F64" s="381">
        <f t="shared" si="10"/>
        <v>600</v>
      </c>
      <c r="G64" s="384" t="s">
        <v>444</v>
      </c>
      <c r="H64" s="368"/>
      <c r="I64" s="368"/>
      <c r="J64" s="368"/>
      <c r="K64" s="368"/>
      <c r="L64" s="368"/>
      <c r="M64" s="368"/>
      <c r="N64" s="368"/>
      <c r="O64" s="368"/>
      <c r="P64" s="368">
        <v>600</v>
      </c>
      <c r="Q64" s="368"/>
      <c r="R64" s="368"/>
      <c r="S64" s="368"/>
    </row>
    <row r="65" spans="1:19" ht="15" customHeight="1">
      <c r="A65" s="358" t="s">
        <v>462</v>
      </c>
      <c r="B65" s="308" t="s">
        <v>438</v>
      </c>
      <c r="C65" s="308" t="s">
        <v>439</v>
      </c>
      <c r="D65" s="358" t="s">
        <v>436</v>
      </c>
      <c r="E65" s="308" t="s">
        <v>280</v>
      </c>
      <c r="F65" s="278">
        <f t="shared" si="10"/>
        <v>27204</v>
      </c>
      <c r="G65" s="368" t="s">
        <v>478</v>
      </c>
      <c r="H65" s="368">
        <v>3099</v>
      </c>
      <c r="I65" s="368">
        <v>100</v>
      </c>
      <c r="J65" s="368">
        <v>1050</v>
      </c>
      <c r="K65" s="368">
        <v>100</v>
      </c>
      <c r="L65" s="368">
        <v>5250</v>
      </c>
      <c r="M65" s="368">
        <v>4095</v>
      </c>
      <c r="N65" s="368">
        <v>1748</v>
      </c>
      <c r="O65" s="368">
        <v>2619</v>
      </c>
      <c r="P65" s="368">
        <v>2300</v>
      </c>
      <c r="Q65" s="368">
        <v>350</v>
      </c>
      <c r="R65" s="368">
        <v>5793</v>
      </c>
      <c r="S65" s="368">
        <v>700</v>
      </c>
    </row>
    <row r="66" spans="1:19" ht="15" customHeight="1">
      <c r="A66" s="358" t="s">
        <v>462</v>
      </c>
      <c r="B66" s="308" t="s">
        <v>438</v>
      </c>
      <c r="C66" s="308" t="s">
        <v>439</v>
      </c>
      <c r="D66" s="358" t="s">
        <v>436</v>
      </c>
      <c r="E66" s="308" t="s">
        <v>280</v>
      </c>
      <c r="F66" s="278">
        <f t="shared" si="10"/>
        <v>213894.1</v>
      </c>
      <c r="G66" s="368" t="s">
        <v>479</v>
      </c>
      <c r="H66" s="368">
        <v>33546.5</v>
      </c>
      <c r="I66" s="368">
        <v>22268.2</v>
      </c>
      <c r="J66" s="368">
        <v>13845.300000000001</v>
      </c>
      <c r="K66" s="368">
        <v>8047.1</v>
      </c>
      <c r="L66" s="368">
        <v>16746.8</v>
      </c>
      <c r="M66" s="368">
        <v>14698.4</v>
      </c>
      <c r="N66" s="368">
        <v>15495.3</v>
      </c>
      <c r="O66" s="368">
        <v>7744.9999999999991</v>
      </c>
      <c r="P66" s="368">
        <v>20219.399999999998</v>
      </c>
      <c r="Q66" s="368">
        <v>19594.400000000001</v>
      </c>
      <c r="R66" s="368">
        <v>19692.7</v>
      </c>
      <c r="S66" s="368">
        <v>21995</v>
      </c>
    </row>
    <row r="67" spans="1:19" ht="15" customHeight="1">
      <c r="A67" s="358" t="s">
        <v>462</v>
      </c>
      <c r="B67" s="308" t="s">
        <v>438</v>
      </c>
      <c r="C67" s="308" t="s">
        <v>439</v>
      </c>
      <c r="D67" s="358" t="s">
        <v>436</v>
      </c>
      <c r="E67" s="308" t="s">
        <v>280</v>
      </c>
      <c r="F67" s="278">
        <f t="shared" si="10"/>
        <v>3500</v>
      </c>
      <c r="G67" s="368" t="s">
        <v>480</v>
      </c>
      <c r="H67" s="368"/>
      <c r="I67" s="368">
        <v>300</v>
      </c>
      <c r="J67" s="368">
        <v>250</v>
      </c>
      <c r="K67" s="368">
        <v>350</v>
      </c>
      <c r="L67" s="368">
        <v>300</v>
      </c>
      <c r="M67" s="368">
        <v>300</v>
      </c>
      <c r="N67" s="368">
        <v>300</v>
      </c>
      <c r="O67" s="368">
        <v>600</v>
      </c>
      <c r="P67" s="368"/>
      <c r="Q67" s="368">
        <v>300</v>
      </c>
      <c r="R67" s="368">
        <v>500</v>
      </c>
      <c r="S67" s="368">
        <v>300</v>
      </c>
    </row>
    <row r="68" spans="1:19" ht="15" customHeight="1">
      <c r="A68" s="358" t="s">
        <v>462</v>
      </c>
      <c r="B68" s="308" t="s">
        <v>438</v>
      </c>
      <c r="C68" s="308" t="s">
        <v>439</v>
      </c>
      <c r="D68" s="358" t="s">
        <v>436</v>
      </c>
      <c r="E68" s="308" t="s">
        <v>280</v>
      </c>
      <c r="F68" s="278">
        <f t="shared" si="10"/>
        <v>2441.1999999999998</v>
      </c>
      <c r="G68" s="368" t="s">
        <v>481</v>
      </c>
      <c r="H68" s="368">
        <v>25</v>
      </c>
      <c r="I68" s="368">
        <v>300</v>
      </c>
      <c r="J68" s="368"/>
      <c r="K68" s="368">
        <v>273.39999999999998</v>
      </c>
      <c r="L68" s="368">
        <v>675</v>
      </c>
      <c r="M68" s="368"/>
      <c r="N68" s="368"/>
      <c r="O68" s="368">
        <v>571.79999999999995</v>
      </c>
      <c r="P68" s="368"/>
      <c r="Q68" s="368"/>
      <c r="R68" s="368">
        <v>299.39999999999998</v>
      </c>
      <c r="S68" s="368">
        <v>296.60000000000002</v>
      </c>
    </row>
    <row r="69" spans="1:19" ht="15" customHeight="1">
      <c r="A69" s="379" t="s">
        <v>463</v>
      </c>
      <c r="B69" s="380" t="s">
        <v>438</v>
      </c>
      <c r="C69" s="380" t="s">
        <v>439</v>
      </c>
      <c r="D69" s="379" t="s">
        <v>436</v>
      </c>
      <c r="E69" s="380" t="s">
        <v>280</v>
      </c>
      <c r="F69" s="381">
        <f t="shared" si="10"/>
        <v>142425</v>
      </c>
      <c r="G69" s="383" t="s">
        <v>479</v>
      </c>
      <c r="H69" s="368">
        <v>16250</v>
      </c>
      <c r="I69" s="368">
        <v>12100</v>
      </c>
      <c r="J69" s="368">
        <v>11450</v>
      </c>
      <c r="K69" s="368">
        <v>6000</v>
      </c>
      <c r="L69" s="368">
        <v>10050</v>
      </c>
      <c r="M69" s="368">
        <v>11100</v>
      </c>
      <c r="N69" s="368">
        <v>10900</v>
      </c>
      <c r="O69" s="368">
        <v>6000</v>
      </c>
      <c r="P69" s="368">
        <v>14425</v>
      </c>
      <c r="Q69" s="368">
        <v>18400</v>
      </c>
      <c r="R69" s="368">
        <v>12150</v>
      </c>
      <c r="S69" s="368">
        <v>13600</v>
      </c>
    </row>
    <row r="70" spans="1:19" ht="15" customHeight="1">
      <c r="A70" s="358" t="s">
        <v>464</v>
      </c>
      <c r="B70" s="308" t="s">
        <v>438</v>
      </c>
      <c r="C70" s="308" t="s">
        <v>439</v>
      </c>
      <c r="D70" s="358" t="s">
        <v>436</v>
      </c>
      <c r="E70" s="308" t="s">
        <v>280</v>
      </c>
      <c r="F70" s="278">
        <f t="shared" si="10"/>
        <v>2005</v>
      </c>
      <c r="G70" s="369" t="s">
        <v>482</v>
      </c>
      <c r="H70" s="368">
        <v>355</v>
      </c>
      <c r="I70" s="368">
        <v>30</v>
      </c>
      <c r="J70" s="368">
        <v>60</v>
      </c>
      <c r="K70" s="368"/>
      <c r="L70" s="368">
        <v>275</v>
      </c>
      <c r="M70" s="368">
        <v>505</v>
      </c>
      <c r="N70" s="368">
        <v>15</v>
      </c>
      <c r="O70" s="368">
        <v>160</v>
      </c>
      <c r="P70" s="368">
        <v>100</v>
      </c>
      <c r="Q70" s="368">
        <v>355</v>
      </c>
      <c r="R70" s="368"/>
      <c r="S70" s="368">
        <v>150</v>
      </c>
    </row>
    <row r="71" spans="1:19" ht="15" customHeight="1">
      <c r="A71" s="358" t="s">
        <v>464</v>
      </c>
      <c r="B71" s="308" t="s">
        <v>438</v>
      </c>
      <c r="C71" s="308" t="s">
        <v>439</v>
      </c>
      <c r="D71" s="358" t="s">
        <v>436</v>
      </c>
      <c r="E71" s="308" t="s">
        <v>280</v>
      </c>
      <c r="F71" s="278">
        <f t="shared" si="10"/>
        <v>2328</v>
      </c>
      <c r="G71" s="369" t="s">
        <v>483</v>
      </c>
      <c r="H71" s="368"/>
      <c r="I71" s="368">
        <v>604</v>
      </c>
      <c r="J71" s="368">
        <v>304</v>
      </c>
      <c r="K71" s="368"/>
      <c r="L71" s="368">
        <v>400</v>
      </c>
      <c r="M71" s="368">
        <v>300</v>
      </c>
      <c r="N71" s="368">
        <v>300</v>
      </c>
      <c r="O71" s="368"/>
      <c r="P71" s="368"/>
      <c r="Q71" s="368"/>
      <c r="R71" s="368">
        <v>300</v>
      </c>
      <c r="S71" s="368">
        <v>120</v>
      </c>
    </row>
    <row r="72" spans="1:19" ht="15" customHeight="1">
      <c r="A72" s="358" t="s">
        <v>464</v>
      </c>
      <c r="B72" s="308" t="s">
        <v>438</v>
      </c>
      <c r="C72" s="308" t="s">
        <v>439</v>
      </c>
      <c r="D72" s="358" t="s">
        <v>436</v>
      </c>
      <c r="E72" s="308" t="s">
        <v>280</v>
      </c>
      <c r="F72" s="278">
        <f t="shared" si="10"/>
        <v>62930</v>
      </c>
      <c r="G72" s="369" t="s">
        <v>484</v>
      </c>
      <c r="H72" s="368">
        <v>3972</v>
      </c>
      <c r="I72" s="368">
        <v>2954</v>
      </c>
      <c r="J72" s="368">
        <v>4902</v>
      </c>
      <c r="K72" s="368">
        <v>2952</v>
      </c>
      <c r="L72" s="368">
        <v>6806</v>
      </c>
      <c r="M72" s="368">
        <v>5982</v>
      </c>
      <c r="N72" s="368">
        <v>5764</v>
      </c>
      <c r="O72" s="368">
        <v>5590</v>
      </c>
      <c r="P72" s="368">
        <v>6704</v>
      </c>
      <c r="Q72" s="368">
        <v>7230</v>
      </c>
      <c r="R72" s="368">
        <v>6038</v>
      </c>
      <c r="S72" s="368">
        <v>4036</v>
      </c>
    </row>
    <row r="73" spans="1:19" ht="15" customHeight="1">
      <c r="A73" s="379" t="s">
        <v>465</v>
      </c>
      <c r="B73" s="380" t="s">
        <v>438</v>
      </c>
      <c r="C73" s="380" t="s">
        <v>439</v>
      </c>
      <c r="D73" s="379" t="s">
        <v>436</v>
      </c>
      <c r="E73" s="380" t="s">
        <v>280</v>
      </c>
      <c r="F73" s="381">
        <f t="shared" si="10"/>
        <v>19100</v>
      </c>
      <c r="G73" s="383" t="s">
        <v>478</v>
      </c>
      <c r="H73" s="368"/>
      <c r="I73" s="368">
        <v>1000</v>
      </c>
      <c r="J73" s="368">
        <v>2500</v>
      </c>
      <c r="K73" s="368"/>
      <c r="L73" s="368">
        <v>1000</v>
      </c>
      <c r="M73" s="368">
        <v>2700</v>
      </c>
      <c r="N73" s="368">
        <v>1100</v>
      </c>
      <c r="O73" s="368">
        <v>2400</v>
      </c>
      <c r="P73" s="368">
        <v>1050</v>
      </c>
      <c r="Q73" s="368">
        <v>2800</v>
      </c>
      <c r="R73" s="368">
        <v>1450</v>
      </c>
      <c r="S73" s="368">
        <v>3100</v>
      </c>
    </row>
    <row r="74" spans="1:19" ht="15" customHeight="1">
      <c r="A74" s="379" t="s">
        <v>465</v>
      </c>
      <c r="B74" s="380" t="s">
        <v>438</v>
      </c>
      <c r="C74" s="380" t="s">
        <v>439</v>
      </c>
      <c r="D74" s="379" t="s">
        <v>436</v>
      </c>
      <c r="E74" s="380" t="s">
        <v>280</v>
      </c>
      <c r="F74" s="381">
        <f t="shared" si="10"/>
        <v>7875</v>
      </c>
      <c r="G74" s="383" t="s">
        <v>485</v>
      </c>
      <c r="H74" s="368"/>
      <c r="I74" s="368">
        <v>1000</v>
      </c>
      <c r="J74" s="368"/>
      <c r="K74" s="368">
        <v>1375</v>
      </c>
      <c r="L74" s="368">
        <v>2000</v>
      </c>
      <c r="M74" s="368"/>
      <c r="N74" s="368">
        <v>1250</v>
      </c>
      <c r="O74" s="368"/>
      <c r="P74" s="368"/>
      <c r="Q74" s="368"/>
      <c r="R74" s="368">
        <v>2250</v>
      </c>
      <c r="S74" s="368"/>
    </row>
    <row r="75" spans="1:19" ht="15" customHeight="1">
      <c r="A75" s="379" t="s">
        <v>465</v>
      </c>
      <c r="B75" s="380" t="s">
        <v>438</v>
      </c>
      <c r="C75" s="380" t="s">
        <v>439</v>
      </c>
      <c r="D75" s="379" t="s">
        <v>436</v>
      </c>
      <c r="E75" s="380" t="s">
        <v>280</v>
      </c>
      <c r="F75" s="381">
        <f t="shared" si="10"/>
        <v>25430</v>
      </c>
      <c r="G75" s="383" t="s">
        <v>486</v>
      </c>
      <c r="H75" s="368"/>
      <c r="I75" s="368"/>
      <c r="J75" s="368"/>
      <c r="K75" s="368">
        <v>12715</v>
      </c>
      <c r="L75" s="368"/>
      <c r="M75" s="368"/>
      <c r="N75" s="368"/>
      <c r="O75" s="368"/>
      <c r="P75" s="368"/>
      <c r="Q75" s="368"/>
      <c r="R75" s="368"/>
      <c r="S75" s="368">
        <v>12715</v>
      </c>
    </row>
    <row r="76" spans="1:19" ht="15" customHeight="1">
      <c r="A76" s="358" t="s">
        <v>466</v>
      </c>
      <c r="B76" s="308" t="s">
        <v>438</v>
      </c>
      <c r="C76" s="308" t="s">
        <v>487</v>
      </c>
      <c r="D76" s="358" t="s">
        <v>436</v>
      </c>
      <c r="E76" s="308" t="s">
        <v>280</v>
      </c>
      <c r="F76" s="278">
        <f t="shared" si="10"/>
        <v>760</v>
      </c>
      <c r="G76" s="369" t="s">
        <v>488</v>
      </c>
      <c r="H76" s="368"/>
      <c r="I76" s="368"/>
      <c r="J76" s="368"/>
      <c r="K76" s="368"/>
      <c r="L76" s="368"/>
      <c r="M76" s="368"/>
      <c r="N76" s="368"/>
      <c r="O76" s="368"/>
      <c r="P76" s="368">
        <v>380</v>
      </c>
      <c r="Q76" s="368"/>
      <c r="R76" s="368">
        <v>380</v>
      </c>
      <c r="S76" s="368"/>
    </row>
    <row r="77" spans="1:19" ht="15" customHeight="1">
      <c r="A77" s="358" t="s">
        <v>466</v>
      </c>
      <c r="B77" s="308" t="s">
        <v>438</v>
      </c>
      <c r="C77" s="308" t="s">
        <v>487</v>
      </c>
      <c r="D77" s="358" t="s">
        <v>436</v>
      </c>
      <c r="E77" s="308" t="s">
        <v>280</v>
      </c>
      <c r="F77" s="278">
        <f t="shared" si="10"/>
        <v>10800</v>
      </c>
      <c r="G77" s="369" t="s">
        <v>489</v>
      </c>
      <c r="H77" s="368">
        <v>200</v>
      </c>
      <c r="I77" s="368"/>
      <c r="J77" s="368">
        <v>200</v>
      </c>
      <c r="K77" s="368">
        <v>700</v>
      </c>
      <c r="L77" s="368">
        <v>3500</v>
      </c>
      <c r="M77" s="368">
        <v>200</v>
      </c>
      <c r="N77" s="368">
        <v>1500</v>
      </c>
      <c r="O77" s="368"/>
      <c r="P77" s="368">
        <v>4400</v>
      </c>
      <c r="Q77" s="368">
        <v>100</v>
      </c>
      <c r="R77" s="368"/>
      <c r="S77" s="368"/>
    </row>
    <row r="78" spans="1:19" ht="15" customHeight="1">
      <c r="A78" s="379" t="s">
        <v>467</v>
      </c>
      <c r="B78" s="380" t="s">
        <v>438</v>
      </c>
      <c r="C78" s="380" t="s">
        <v>307</v>
      </c>
      <c r="D78" s="379" t="s">
        <v>436</v>
      </c>
      <c r="E78" s="380" t="s">
        <v>280</v>
      </c>
      <c r="F78" s="381">
        <f t="shared" si="10"/>
        <v>500</v>
      </c>
      <c r="G78" s="383" t="s">
        <v>490</v>
      </c>
      <c r="H78" s="368">
        <v>200</v>
      </c>
      <c r="I78" s="368"/>
      <c r="J78" s="368"/>
      <c r="K78" s="368"/>
      <c r="L78" s="368"/>
      <c r="M78" s="368">
        <v>300</v>
      </c>
      <c r="N78" s="368"/>
      <c r="O78" s="368"/>
      <c r="P78" s="368"/>
      <c r="Q78" s="368"/>
      <c r="R78" s="368"/>
      <c r="S78" s="368"/>
    </row>
    <row r="79" spans="1:19" ht="15" customHeight="1">
      <c r="A79" s="793" t="s">
        <v>2723</v>
      </c>
      <c r="B79" s="308" t="s">
        <v>447</v>
      </c>
      <c r="C79" s="308" t="s">
        <v>439</v>
      </c>
      <c r="D79" s="358" t="s">
        <v>436</v>
      </c>
      <c r="E79" s="308" t="s">
        <v>280</v>
      </c>
      <c r="F79" s="278">
        <f>SUM(H79:S79)</f>
        <v>219427.43800000002</v>
      </c>
      <c r="G79" s="369" t="s">
        <v>449</v>
      </c>
      <c r="H79" s="368">
        <v>8637.27</v>
      </c>
      <c r="I79" s="368">
        <v>14898.159999999996</v>
      </c>
      <c r="J79" s="368">
        <v>38001.372000000003</v>
      </c>
      <c r="K79" s="368">
        <v>29176.530000000002</v>
      </c>
      <c r="L79" s="368">
        <v>17209.189999999999</v>
      </c>
      <c r="M79" s="368">
        <v>21197.480000000003</v>
      </c>
      <c r="N79" s="368">
        <v>9096.9</v>
      </c>
      <c r="O79" s="368">
        <v>15680.760000000002</v>
      </c>
      <c r="P79" s="368">
        <v>4173.2560000000003</v>
      </c>
      <c r="Q79" s="368">
        <v>16213.348000000002</v>
      </c>
      <c r="R79" s="368">
        <v>26229.134000000005</v>
      </c>
      <c r="S79" s="368">
        <v>18914.038</v>
      </c>
    </row>
    <row r="80" spans="1:19" ht="15" customHeight="1">
      <c r="A80" s="793" t="s">
        <v>2723</v>
      </c>
      <c r="B80" s="308" t="s">
        <v>447</v>
      </c>
      <c r="C80" s="308" t="s">
        <v>439</v>
      </c>
      <c r="D80" s="358" t="s">
        <v>436</v>
      </c>
      <c r="E80" s="308" t="s">
        <v>280</v>
      </c>
      <c r="F80" s="278">
        <f t="shared" si="10"/>
        <v>6720.1</v>
      </c>
      <c r="G80" s="369" t="s">
        <v>450</v>
      </c>
      <c r="H80" s="368">
        <v>1400.1000000000001</v>
      </c>
      <c r="I80" s="368">
        <v>960</v>
      </c>
      <c r="J80" s="368">
        <v>1380</v>
      </c>
      <c r="K80" s="368">
        <v>0</v>
      </c>
      <c r="L80" s="368">
        <v>0</v>
      </c>
      <c r="M80" s="368">
        <v>0</v>
      </c>
      <c r="N80" s="368">
        <v>0</v>
      </c>
      <c r="O80" s="368">
        <v>640</v>
      </c>
      <c r="P80" s="368">
        <v>1380</v>
      </c>
      <c r="Q80" s="368">
        <v>960</v>
      </c>
      <c r="R80" s="368">
        <v>0</v>
      </c>
      <c r="S80" s="368">
        <v>0</v>
      </c>
    </row>
    <row r="81" spans="1:19" ht="15" customHeight="1">
      <c r="A81" s="793" t="s">
        <v>2723</v>
      </c>
      <c r="B81" s="308" t="s">
        <v>447</v>
      </c>
      <c r="C81" s="308" t="s">
        <v>439</v>
      </c>
      <c r="D81" s="358" t="s">
        <v>436</v>
      </c>
      <c r="E81" s="308" t="s">
        <v>280</v>
      </c>
      <c r="F81" s="278">
        <f t="shared" si="10"/>
        <v>723526.15599999996</v>
      </c>
      <c r="G81" s="369" t="s">
        <v>456</v>
      </c>
      <c r="H81" s="368">
        <v>54667.88</v>
      </c>
      <c r="I81" s="368">
        <v>58140.336000000025</v>
      </c>
      <c r="J81" s="368">
        <v>47572.51999999999</v>
      </c>
      <c r="K81" s="368">
        <v>26476.752000000004</v>
      </c>
      <c r="L81" s="368">
        <v>78932.952000000019</v>
      </c>
      <c r="M81" s="368">
        <v>65650.023999999976</v>
      </c>
      <c r="N81" s="368">
        <v>70489.484000000011</v>
      </c>
      <c r="O81" s="368">
        <v>78357.414000000004</v>
      </c>
      <c r="P81" s="368">
        <v>56931.32</v>
      </c>
      <c r="Q81" s="368">
        <v>67031.29800000001</v>
      </c>
      <c r="R81" s="368">
        <v>71114.556000000026</v>
      </c>
      <c r="S81" s="368">
        <v>48161.619999999995</v>
      </c>
    </row>
    <row r="82" spans="1:19" ht="15" customHeight="1">
      <c r="A82" s="358" t="s">
        <v>2811</v>
      </c>
      <c r="B82" s="308" t="s">
        <v>447</v>
      </c>
      <c r="C82" s="308" t="s">
        <v>439</v>
      </c>
      <c r="D82" s="358" t="s">
        <v>436</v>
      </c>
      <c r="E82" s="308" t="s">
        <v>280</v>
      </c>
      <c r="F82" s="278">
        <f t="shared" si="10"/>
        <v>94775.371999999988</v>
      </c>
      <c r="G82" s="369" t="s">
        <v>449</v>
      </c>
      <c r="H82" s="368">
        <v>205.27500000000001</v>
      </c>
      <c r="I82" s="368">
        <v>4102.1840000000002</v>
      </c>
      <c r="J82" s="368">
        <v>4773.3899999999994</v>
      </c>
      <c r="K82" s="368">
        <v>4393.6359999999995</v>
      </c>
      <c r="L82" s="368">
        <v>7258.4809999999998</v>
      </c>
      <c r="M82" s="368">
        <v>11263.309999999996</v>
      </c>
      <c r="N82" s="368">
        <v>9333.7980000000007</v>
      </c>
      <c r="O82" s="368">
        <v>9803.64</v>
      </c>
      <c r="P82" s="368">
        <v>14696.654999999999</v>
      </c>
      <c r="Q82" s="368">
        <v>12131.504000000001</v>
      </c>
      <c r="R82" s="368">
        <v>10727.901999999998</v>
      </c>
      <c r="S82" s="368">
        <v>6085.5969999999998</v>
      </c>
    </row>
    <row r="83" spans="1:19" ht="15" customHeight="1">
      <c r="A83" s="358" t="s">
        <v>2811</v>
      </c>
      <c r="B83" s="308" t="s">
        <v>447</v>
      </c>
      <c r="C83" s="308" t="s">
        <v>439</v>
      </c>
      <c r="D83" s="358" t="s">
        <v>436</v>
      </c>
      <c r="E83" s="308" t="s">
        <v>280</v>
      </c>
      <c r="F83" s="278">
        <f t="shared" si="10"/>
        <v>423883.75700000004</v>
      </c>
      <c r="G83" s="369" t="s">
        <v>451</v>
      </c>
      <c r="H83" s="368">
        <v>29647.315000000006</v>
      </c>
      <c r="I83" s="368">
        <v>31891.753000000004</v>
      </c>
      <c r="J83" s="368">
        <v>34086.95199999999</v>
      </c>
      <c r="K83" s="368">
        <v>12368.174000000003</v>
      </c>
      <c r="L83" s="368">
        <v>31471.975000000006</v>
      </c>
      <c r="M83" s="368">
        <v>40571.310000000005</v>
      </c>
      <c r="N83" s="368">
        <v>32534.58</v>
      </c>
      <c r="O83" s="368">
        <v>47329.815000000002</v>
      </c>
      <c r="P83" s="368">
        <v>30237.795000000013</v>
      </c>
      <c r="Q83" s="368">
        <v>44144.949000000022</v>
      </c>
      <c r="R83" s="368">
        <v>57992.322000000036</v>
      </c>
      <c r="S83" s="368">
        <v>31606.817000000003</v>
      </c>
    </row>
    <row r="84" spans="1:19" ht="15" customHeight="1">
      <c r="A84" s="358" t="s">
        <v>2811</v>
      </c>
      <c r="B84" s="308" t="s">
        <v>447</v>
      </c>
      <c r="C84" s="308" t="s">
        <v>439</v>
      </c>
      <c r="D84" s="358" t="s">
        <v>436</v>
      </c>
      <c r="E84" s="308" t="s">
        <v>280</v>
      </c>
      <c r="F84" s="278">
        <f t="shared" si="10"/>
        <v>268107.20500000002</v>
      </c>
      <c r="G84" s="369" t="s">
        <v>453</v>
      </c>
      <c r="H84" s="368">
        <v>22459.650000000005</v>
      </c>
      <c r="I84" s="368">
        <v>21515.391999999993</v>
      </c>
      <c r="J84" s="368">
        <v>24639.293000000009</v>
      </c>
      <c r="K84" s="368">
        <v>16926.279999999995</v>
      </c>
      <c r="L84" s="368">
        <v>40608.391999999993</v>
      </c>
      <c r="M84" s="368">
        <v>28433.09</v>
      </c>
      <c r="N84" s="368">
        <v>22674.176999999985</v>
      </c>
      <c r="O84" s="368">
        <v>21616.799999999999</v>
      </c>
      <c r="P84" s="368">
        <v>14048.225</v>
      </c>
      <c r="Q84" s="368">
        <v>15446.786</v>
      </c>
      <c r="R84" s="368">
        <v>21501.46000000001</v>
      </c>
      <c r="S84" s="368">
        <v>18237.66</v>
      </c>
    </row>
    <row r="85" spans="1:19" ht="15" customHeight="1">
      <c r="A85" s="358" t="s">
        <v>2811</v>
      </c>
      <c r="B85" s="308" t="s">
        <v>447</v>
      </c>
      <c r="C85" s="308" t="s">
        <v>439</v>
      </c>
      <c r="D85" s="358" t="s">
        <v>436</v>
      </c>
      <c r="E85" s="308" t="s">
        <v>280</v>
      </c>
      <c r="F85" s="278">
        <f t="shared" si="10"/>
        <v>36449.251000000004</v>
      </c>
      <c r="G85" s="369" t="s">
        <v>454</v>
      </c>
      <c r="H85" s="368">
        <v>620</v>
      </c>
      <c r="I85" s="368">
        <v>4336.4159999999993</v>
      </c>
      <c r="J85" s="368">
        <v>1004.9999999999999</v>
      </c>
      <c r="K85" s="368">
        <v>1869.654</v>
      </c>
      <c r="L85" s="368">
        <v>1239.1599999999999</v>
      </c>
      <c r="M85" s="368">
        <v>5049.5</v>
      </c>
      <c r="N85" s="368">
        <v>5514.5889999999999</v>
      </c>
      <c r="O85" s="368">
        <v>1116.018</v>
      </c>
      <c r="P85" s="368">
        <v>4728.5519999999997</v>
      </c>
      <c r="Q85" s="368">
        <v>4307.4859999999999</v>
      </c>
      <c r="R85" s="368">
        <v>3978.826</v>
      </c>
      <c r="S85" s="368">
        <v>2684.0499999999997</v>
      </c>
    </row>
    <row r="86" spans="1:19" ht="15" customHeight="1">
      <c r="A86" s="358" t="s">
        <v>2811</v>
      </c>
      <c r="B86" s="308" t="s">
        <v>447</v>
      </c>
      <c r="C86" s="308" t="s">
        <v>439</v>
      </c>
      <c r="D86" s="358" t="s">
        <v>436</v>
      </c>
      <c r="E86" s="308" t="s">
        <v>280</v>
      </c>
      <c r="F86" s="278">
        <f t="shared" si="10"/>
        <v>24857.441000000003</v>
      </c>
      <c r="G86" s="369" t="s">
        <v>457</v>
      </c>
      <c r="H86" s="368">
        <v>2564.5310000000004</v>
      </c>
      <c r="I86" s="368">
        <v>4196.9849999999997</v>
      </c>
      <c r="J86" s="368">
        <v>1981</v>
      </c>
      <c r="K86" s="368">
        <v>398.3</v>
      </c>
      <c r="L86" s="368">
        <v>933</v>
      </c>
      <c r="M86" s="368">
        <v>852.1</v>
      </c>
      <c r="N86" s="368">
        <v>1088.365</v>
      </c>
      <c r="O86" s="368">
        <v>3131.2299999999991</v>
      </c>
      <c r="P86" s="368">
        <v>1941.2</v>
      </c>
      <c r="Q86" s="368">
        <v>3882.4</v>
      </c>
      <c r="R86" s="368">
        <v>2099.1999999999998</v>
      </c>
      <c r="S86" s="368">
        <v>1789.1299999999997</v>
      </c>
    </row>
    <row r="87" spans="1:19" ht="15" customHeight="1">
      <c r="A87" s="379" t="s">
        <v>468</v>
      </c>
      <c r="B87" s="380"/>
      <c r="C87" s="380" t="s">
        <v>439</v>
      </c>
      <c r="D87" s="379" t="s">
        <v>436</v>
      </c>
      <c r="E87" s="380" t="s">
        <v>280</v>
      </c>
      <c r="F87" s="381">
        <f t="shared" si="10"/>
        <v>3400</v>
      </c>
      <c r="G87" s="383" t="s">
        <v>491</v>
      </c>
      <c r="H87" s="368"/>
      <c r="I87" s="368">
        <v>850</v>
      </c>
      <c r="J87" s="368"/>
      <c r="K87" s="368"/>
      <c r="L87" s="368"/>
      <c r="M87" s="368">
        <v>850</v>
      </c>
      <c r="N87" s="368"/>
      <c r="O87" s="368">
        <v>850</v>
      </c>
      <c r="P87" s="368"/>
      <c r="Q87" s="368">
        <v>850</v>
      </c>
      <c r="R87" s="368"/>
      <c r="S87" s="368"/>
    </row>
    <row r="88" spans="1:19" ht="15" customHeight="1">
      <c r="A88" s="358" t="s">
        <v>469</v>
      </c>
      <c r="B88" s="308" t="s">
        <v>447</v>
      </c>
      <c r="C88" s="308" t="s">
        <v>439</v>
      </c>
      <c r="D88" s="358" t="s">
        <v>436</v>
      </c>
      <c r="E88" s="308" t="s">
        <v>280</v>
      </c>
      <c r="F88" s="278">
        <f t="shared" si="10"/>
        <v>2954.88</v>
      </c>
      <c r="G88" s="369" t="s">
        <v>492</v>
      </c>
      <c r="H88" s="368"/>
      <c r="I88" s="368">
        <v>492.48</v>
      </c>
      <c r="J88" s="368"/>
      <c r="K88" s="368"/>
      <c r="L88" s="368">
        <v>492.48</v>
      </c>
      <c r="M88" s="368"/>
      <c r="N88" s="368">
        <v>492.48</v>
      </c>
      <c r="O88" s="368">
        <v>492.48</v>
      </c>
      <c r="P88" s="368"/>
      <c r="Q88" s="368">
        <v>984.96</v>
      </c>
      <c r="R88" s="368"/>
      <c r="S88" s="368"/>
    </row>
    <row r="89" spans="1:19" ht="15" customHeight="1">
      <c r="A89" s="358" t="s">
        <v>469</v>
      </c>
      <c r="B89" s="308" t="s">
        <v>447</v>
      </c>
      <c r="C89" s="308" t="s">
        <v>439</v>
      </c>
      <c r="D89" s="358" t="s">
        <v>436</v>
      </c>
      <c r="E89" s="308" t="s">
        <v>280</v>
      </c>
      <c r="F89" s="278">
        <f t="shared" si="10"/>
        <v>3231.8999999999996</v>
      </c>
      <c r="G89" s="369" t="s">
        <v>493</v>
      </c>
      <c r="H89" s="368">
        <v>461.70000000000005</v>
      </c>
      <c r="I89" s="368"/>
      <c r="J89" s="368"/>
      <c r="K89" s="368">
        <v>461.70000000000005</v>
      </c>
      <c r="L89" s="368"/>
      <c r="M89" s="368">
        <v>461.70000000000005</v>
      </c>
      <c r="N89" s="368">
        <v>461.70000000000005</v>
      </c>
      <c r="O89" s="368"/>
      <c r="P89" s="368">
        <v>461.70000000000005</v>
      </c>
      <c r="Q89" s="368"/>
      <c r="R89" s="368">
        <v>461.70000000000005</v>
      </c>
      <c r="S89" s="368">
        <v>461.70000000000005</v>
      </c>
    </row>
    <row r="90" spans="1:19" ht="15" customHeight="1">
      <c r="A90" s="379" t="s">
        <v>470</v>
      </c>
      <c r="B90" s="380" t="s">
        <v>447</v>
      </c>
      <c r="C90" s="380" t="s">
        <v>439</v>
      </c>
      <c r="D90" s="379" t="s">
        <v>436</v>
      </c>
      <c r="E90" s="380" t="s">
        <v>280</v>
      </c>
      <c r="F90" s="381">
        <f t="shared" si="10"/>
        <v>3250</v>
      </c>
      <c r="G90" s="383" t="s">
        <v>494</v>
      </c>
      <c r="H90" s="368"/>
      <c r="I90" s="368"/>
      <c r="J90" s="368"/>
      <c r="K90" s="368">
        <v>550</v>
      </c>
      <c r="L90" s="368">
        <v>550</v>
      </c>
      <c r="M90" s="368">
        <v>500</v>
      </c>
      <c r="N90" s="368"/>
      <c r="O90" s="368">
        <v>550</v>
      </c>
      <c r="P90" s="368"/>
      <c r="Q90" s="368">
        <v>550</v>
      </c>
      <c r="R90" s="368"/>
      <c r="S90" s="368">
        <v>550</v>
      </c>
    </row>
    <row r="91" spans="1:19" ht="15" customHeight="1">
      <c r="A91" s="379" t="s">
        <v>470</v>
      </c>
      <c r="B91" s="380" t="s">
        <v>447</v>
      </c>
      <c r="C91" s="380" t="s">
        <v>439</v>
      </c>
      <c r="D91" s="379" t="s">
        <v>436</v>
      </c>
      <c r="E91" s="380" t="s">
        <v>280</v>
      </c>
      <c r="F91" s="381">
        <f t="shared" si="10"/>
        <v>14500</v>
      </c>
      <c r="G91" s="383" t="s">
        <v>495</v>
      </c>
      <c r="H91" s="368">
        <v>2000</v>
      </c>
      <c r="I91" s="368">
        <v>1500</v>
      </c>
      <c r="J91" s="368">
        <v>1000</v>
      </c>
      <c r="K91" s="368">
        <v>1000</v>
      </c>
      <c r="L91" s="368">
        <v>1000</v>
      </c>
      <c r="M91" s="368">
        <v>2000</v>
      </c>
      <c r="N91" s="368">
        <v>1000</v>
      </c>
      <c r="O91" s="368"/>
      <c r="P91" s="368">
        <v>1000</v>
      </c>
      <c r="Q91" s="368">
        <v>1000</v>
      </c>
      <c r="R91" s="368">
        <v>1000</v>
      </c>
      <c r="S91" s="368">
        <v>2000</v>
      </c>
    </row>
    <row r="92" spans="1:19" ht="15" customHeight="1">
      <c r="A92" s="379" t="s">
        <v>470</v>
      </c>
      <c r="B92" s="380" t="s">
        <v>447</v>
      </c>
      <c r="C92" s="380" t="s">
        <v>439</v>
      </c>
      <c r="D92" s="379" t="s">
        <v>436</v>
      </c>
      <c r="E92" s="380" t="s">
        <v>280</v>
      </c>
      <c r="F92" s="381">
        <f t="shared" si="10"/>
        <v>2000</v>
      </c>
      <c r="G92" s="383" t="s">
        <v>496</v>
      </c>
      <c r="H92" s="368"/>
      <c r="I92" s="368"/>
      <c r="J92" s="368"/>
      <c r="K92" s="368"/>
      <c r="L92" s="368"/>
      <c r="M92" s="368"/>
      <c r="N92" s="368">
        <v>1000</v>
      </c>
      <c r="O92" s="368">
        <v>1000</v>
      </c>
      <c r="P92" s="368"/>
      <c r="Q92" s="368"/>
      <c r="R92" s="368"/>
      <c r="S92" s="368"/>
    </row>
    <row r="93" spans="1:19" ht="15" customHeight="1">
      <c r="A93" s="358" t="s">
        <v>471</v>
      </c>
      <c r="B93" s="308"/>
      <c r="C93" s="308" t="s">
        <v>439</v>
      </c>
      <c r="D93" s="358" t="s">
        <v>436</v>
      </c>
      <c r="E93" s="308" t="s">
        <v>280</v>
      </c>
      <c r="F93" s="278">
        <f t="shared" si="10"/>
        <v>864</v>
      </c>
      <c r="G93" s="369" t="s">
        <v>497</v>
      </c>
      <c r="H93" s="368">
        <v>90</v>
      </c>
      <c r="I93" s="368">
        <v>90</v>
      </c>
      <c r="J93" s="368">
        <v>90</v>
      </c>
      <c r="K93" s="368"/>
      <c r="L93" s="368">
        <v>144</v>
      </c>
      <c r="M93" s="368">
        <v>90</v>
      </c>
      <c r="N93" s="368">
        <v>90</v>
      </c>
      <c r="O93" s="368">
        <v>90</v>
      </c>
      <c r="P93" s="368">
        <v>90</v>
      </c>
      <c r="Q93" s="368">
        <v>90</v>
      </c>
      <c r="R93" s="368"/>
      <c r="S93" s="368"/>
    </row>
    <row r="94" spans="1:19" ht="15" customHeight="1">
      <c r="A94" s="379" t="s">
        <v>472</v>
      </c>
      <c r="B94" s="380" t="s">
        <v>447</v>
      </c>
      <c r="C94" s="380" t="s">
        <v>439</v>
      </c>
      <c r="D94" s="379" t="s">
        <v>436</v>
      </c>
      <c r="E94" s="380" t="s">
        <v>280</v>
      </c>
      <c r="F94" s="381">
        <f t="shared" si="10"/>
        <v>6348</v>
      </c>
      <c r="G94" s="383" t="s">
        <v>498</v>
      </c>
      <c r="H94" s="368"/>
      <c r="I94" s="368"/>
      <c r="J94" s="368"/>
      <c r="K94" s="368"/>
      <c r="L94" s="368"/>
      <c r="M94" s="368">
        <v>1242</v>
      </c>
      <c r="N94" s="368">
        <v>1932</v>
      </c>
      <c r="O94" s="368">
        <v>690</v>
      </c>
      <c r="P94" s="368">
        <v>2484</v>
      </c>
      <c r="Q94" s="368"/>
      <c r="R94" s="368"/>
      <c r="S94" s="368"/>
    </row>
    <row r="95" spans="1:19" ht="15" customHeight="1">
      <c r="A95" s="379" t="s">
        <v>472</v>
      </c>
      <c r="B95" s="380" t="s">
        <v>447</v>
      </c>
      <c r="C95" s="380" t="s">
        <v>439</v>
      </c>
      <c r="D95" s="379" t="s">
        <v>436</v>
      </c>
      <c r="E95" s="380" t="s">
        <v>280</v>
      </c>
      <c r="F95" s="381">
        <f t="shared" si="10"/>
        <v>10764</v>
      </c>
      <c r="G95" s="383" t="s">
        <v>499</v>
      </c>
      <c r="H95" s="368">
        <v>2484</v>
      </c>
      <c r="I95" s="368">
        <v>1242</v>
      </c>
      <c r="J95" s="368">
        <v>690</v>
      </c>
      <c r="K95" s="368"/>
      <c r="L95" s="368">
        <v>1242</v>
      </c>
      <c r="M95" s="368"/>
      <c r="N95" s="368"/>
      <c r="O95" s="368">
        <v>1242</v>
      </c>
      <c r="P95" s="368"/>
      <c r="Q95" s="368">
        <v>690</v>
      </c>
      <c r="R95" s="368">
        <v>1242</v>
      </c>
      <c r="S95" s="368">
        <v>1932</v>
      </c>
    </row>
    <row r="96" spans="1:19" ht="15" customHeight="1">
      <c r="A96" s="358" t="s">
        <v>473</v>
      </c>
      <c r="B96" s="308" t="s">
        <v>447</v>
      </c>
      <c r="C96" s="308" t="s">
        <v>439</v>
      </c>
      <c r="D96" s="358" t="s">
        <v>436</v>
      </c>
      <c r="E96" s="308" t="s">
        <v>280</v>
      </c>
      <c r="F96" s="278">
        <f t="shared" si="10"/>
        <v>658</v>
      </c>
      <c r="G96" s="369" t="s">
        <v>500</v>
      </c>
      <c r="H96" s="368"/>
      <c r="I96" s="368"/>
      <c r="J96" s="368"/>
      <c r="K96" s="368"/>
      <c r="L96" s="368"/>
      <c r="M96" s="368"/>
      <c r="N96" s="368"/>
      <c r="O96" s="368"/>
      <c r="P96" s="368"/>
      <c r="Q96" s="368">
        <v>658</v>
      </c>
      <c r="R96" s="368"/>
      <c r="S96" s="368"/>
    </row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</sheetData>
  <mergeCells count="14">
    <mergeCell ref="H2:S2"/>
    <mergeCell ref="A50:A51"/>
    <mergeCell ref="B50:B51"/>
    <mergeCell ref="C50:C51"/>
    <mergeCell ref="D50:D51"/>
    <mergeCell ref="E50:E51"/>
    <mergeCell ref="G50:G51"/>
    <mergeCell ref="H50:S50"/>
    <mergeCell ref="A2:A3"/>
    <mergeCell ref="B2:B3"/>
    <mergeCell ref="C2:C3"/>
    <mergeCell ref="D2:D3"/>
    <mergeCell ref="E2:E3"/>
    <mergeCell ref="G2:G3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5C16-5EFD-4CED-A84D-97BDD8BA528E}">
  <sheetPr>
    <tabColor theme="9" tint="0.39997558519241921"/>
  </sheetPr>
  <dimension ref="A1:Q1002"/>
  <sheetViews>
    <sheetView topLeftCell="C1" workbookViewId="0">
      <selection activeCell="L19" sqref="L19"/>
    </sheetView>
  </sheetViews>
  <sheetFormatPr defaultColWidth="14.3984375" defaultRowHeight="13.2"/>
  <cols>
    <col min="1" max="1" width="20.796875" style="228" customWidth="1"/>
    <col min="2" max="2" width="17.796875" style="228" customWidth="1"/>
    <col min="3" max="3" width="24.09765625" style="228" customWidth="1"/>
    <col min="4" max="4" width="8.796875" style="228" customWidth="1"/>
    <col min="5" max="5" width="12.796875" style="228" customWidth="1"/>
    <col min="6" max="17" width="11.59765625" style="228" customWidth="1"/>
    <col min="18" max="26" width="8.796875" style="228" customWidth="1"/>
    <col min="27" max="16384" width="14.3984375" style="228"/>
  </cols>
  <sheetData>
    <row r="1" spans="1:17" ht="14.25" customHeight="1">
      <c r="B1" s="385"/>
    </row>
    <row r="2" spans="1:17" ht="31.5" customHeight="1">
      <c r="A2" s="386" t="s">
        <v>4</v>
      </c>
      <c r="B2" s="387" t="s">
        <v>501</v>
      </c>
      <c r="C2" s="387" t="s">
        <v>268</v>
      </c>
      <c r="D2" s="386" t="s">
        <v>269</v>
      </c>
      <c r="E2" s="388" t="s">
        <v>270</v>
      </c>
      <c r="F2" s="389">
        <v>243254</v>
      </c>
      <c r="G2" s="389">
        <v>243285</v>
      </c>
      <c r="H2" s="389">
        <v>243313</v>
      </c>
      <c r="I2" s="389">
        <v>243344</v>
      </c>
      <c r="J2" s="389">
        <v>243374</v>
      </c>
      <c r="K2" s="389">
        <v>243405</v>
      </c>
      <c r="L2" s="389">
        <v>243435</v>
      </c>
      <c r="M2" s="389">
        <v>243466</v>
      </c>
      <c r="N2" s="389">
        <v>243497</v>
      </c>
      <c r="O2" s="389">
        <v>243527</v>
      </c>
      <c r="P2" s="389">
        <v>243558</v>
      </c>
      <c r="Q2" s="389">
        <v>243588</v>
      </c>
    </row>
    <row r="3" spans="1:17" ht="21.6" customHeight="1">
      <c r="A3" s="390" t="s">
        <v>502</v>
      </c>
      <c r="B3" s="391"/>
      <c r="C3" s="392" t="s">
        <v>503</v>
      </c>
      <c r="D3" s="393" t="s">
        <v>504</v>
      </c>
      <c r="E3" s="344">
        <f>SUM(E4:E7)</f>
        <v>58363</v>
      </c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</row>
    <row r="4" spans="1:17" ht="16.2" customHeight="1">
      <c r="A4" s="395" t="s">
        <v>505</v>
      </c>
      <c r="B4" s="396" t="s">
        <v>506</v>
      </c>
      <c r="C4" s="397" t="s">
        <v>503</v>
      </c>
      <c r="D4" s="398" t="s">
        <v>504</v>
      </c>
      <c r="E4" s="368">
        <f>SUM(F4:Q4)</f>
        <v>21803</v>
      </c>
      <c r="F4" s="278">
        <v>1281</v>
      </c>
      <c r="G4" s="278">
        <v>1970</v>
      </c>
      <c r="H4" s="278">
        <v>1872</v>
      </c>
      <c r="I4" s="278">
        <v>1225</v>
      </c>
      <c r="J4" s="278">
        <v>2031</v>
      </c>
      <c r="K4" s="278">
        <v>1884</v>
      </c>
      <c r="L4" s="278">
        <v>1595</v>
      </c>
      <c r="M4" s="278">
        <v>3128</v>
      </c>
      <c r="N4" s="278">
        <v>1810</v>
      </c>
      <c r="O4" s="278">
        <v>1499</v>
      </c>
      <c r="P4" s="278">
        <v>2484</v>
      </c>
      <c r="Q4" s="278">
        <v>1024</v>
      </c>
    </row>
    <row r="5" spans="1:17" ht="16.2" customHeight="1">
      <c r="A5" s="395" t="s">
        <v>505</v>
      </c>
      <c r="B5" s="396" t="s">
        <v>307</v>
      </c>
      <c r="C5" s="397" t="s">
        <v>503</v>
      </c>
      <c r="D5" s="398" t="s">
        <v>504</v>
      </c>
      <c r="E5" s="368">
        <f t="shared" ref="E5:E7" si="0">SUM(F5:Q5)</f>
        <v>19091</v>
      </c>
      <c r="F5" s="278">
        <v>1650</v>
      </c>
      <c r="G5" s="278">
        <v>1335</v>
      </c>
      <c r="H5" s="278">
        <v>1493</v>
      </c>
      <c r="I5" s="278">
        <v>1432</v>
      </c>
      <c r="J5" s="278">
        <v>1745</v>
      </c>
      <c r="K5" s="278">
        <v>1766</v>
      </c>
      <c r="L5" s="278">
        <v>1644</v>
      </c>
      <c r="M5" s="278">
        <v>1658</v>
      </c>
      <c r="N5" s="278">
        <v>1540</v>
      </c>
      <c r="O5" s="278">
        <v>1599</v>
      </c>
      <c r="P5" s="278">
        <v>1613</v>
      </c>
      <c r="Q5" s="278">
        <v>1616</v>
      </c>
    </row>
    <row r="6" spans="1:17" ht="16.2" customHeight="1">
      <c r="A6" s="395" t="s">
        <v>505</v>
      </c>
      <c r="B6" s="396" t="s">
        <v>309</v>
      </c>
      <c r="C6" s="397" t="s">
        <v>503</v>
      </c>
      <c r="D6" s="398" t="s">
        <v>504</v>
      </c>
      <c r="E6" s="368">
        <f t="shared" si="0"/>
        <v>11195</v>
      </c>
      <c r="F6" s="278">
        <v>1234</v>
      </c>
      <c r="G6" s="278">
        <v>888</v>
      </c>
      <c r="H6" s="278">
        <v>925</v>
      </c>
      <c r="I6" s="278">
        <v>792</v>
      </c>
      <c r="J6" s="278">
        <v>1334</v>
      </c>
      <c r="K6" s="278">
        <v>1020</v>
      </c>
      <c r="L6" s="278">
        <v>878</v>
      </c>
      <c r="M6" s="278">
        <v>883</v>
      </c>
      <c r="N6" s="278">
        <v>770</v>
      </c>
      <c r="O6" s="278">
        <v>761</v>
      </c>
      <c r="P6" s="278">
        <v>816</v>
      </c>
      <c r="Q6" s="278">
        <v>894</v>
      </c>
    </row>
    <row r="7" spans="1:17" ht="16.2" customHeight="1">
      <c r="A7" s="395" t="s">
        <v>505</v>
      </c>
      <c r="B7" s="396" t="s">
        <v>310</v>
      </c>
      <c r="C7" s="397" t="s">
        <v>503</v>
      </c>
      <c r="D7" s="398" t="s">
        <v>504</v>
      </c>
      <c r="E7" s="368">
        <f t="shared" si="0"/>
        <v>6274</v>
      </c>
      <c r="F7" s="278">
        <v>636</v>
      </c>
      <c r="G7" s="278">
        <v>569</v>
      </c>
      <c r="H7" s="278">
        <v>606</v>
      </c>
      <c r="I7" s="278">
        <v>363</v>
      </c>
      <c r="J7" s="278">
        <v>387</v>
      </c>
      <c r="K7" s="278">
        <v>480</v>
      </c>
      <c r="L7" s="278">
        <v>487</v>
      </c>
      <c r="M7" s="278">
        <v>585</v>
      </c>
      <c r="N7" s="278">
        <v>507</v>
      </c>
      <c r="O7" s="278">
        <v>443</v>
      </c>
      <c r="P7" s="278">
        <v>631</v>
      </c>
      <c r="Q7" s="278">
        <v>580</v>
      </c>
    </row>
    <row r="8" spans="1:17" ht="22.2" customHeight="1">
      <c r="A8" s="390" t="s">
        <v>507</v>
      </c>
      <c r="B8" s="343"/>
      <c r="C8" s="392" t="s">
        <v>503</v>
      </c>
      <c r="D8" s="393" t="s">
        <v>504</v>
      </c>
      <c r="E8" s="399">
        <f>SUM(E9:E10)</f>
        <v>759</v>
      </c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</row>
    <row r="9" spans="1:17" ht="16.2" customHeight="1">
      <c r="A9" s="369" t="s">
        <v>508</v>
      </c>
      <c r="B9" s="396" t="s">
        <v>509</v>
      </c>
      <c r="C9" s="397" t="s">
        <v>503</v>
      </c>
      <c r="D9" s="398" t="s">
        <v>504</v>
      </c>
      <c r="E9" s="400">
        <v>465</v>
      </c>
      <c r="F9" s="400">
        <v>38</v>
      </c>
      <c r="G9" s="400">
        <v>42</v>
      </c>
      <c r="H9" s="400">
        <v>35</v>
      </c>
      <c r="I9" s="400">
        <v>29</v>
      </c>
      <c r="J9" s="400">
        <v>38</v>
      </c>
      <c r="K9" s="400">
        <v>30</v>
      </c>
      <c r="L9" s="400">
        <v>47</v>
      </c>
      <c r="M9" s="400">
        <v>40</v>
      </c>
      <c r="N9" s="400">
        <v>47</v>
      </c>
      <c r="O9" s="400">
        <v>44</v>
      </c>
      <c r="P9" s="400">
        <v>39</v>
      </c>
      <c r="Q9" s="400">
        <v>36</v>
      </c>
    </row>
    <row r="10" spans="1:17" ht="16.2" customHeight="1">
      <c r="A10" s="369" t="s">
        <v>508</v>
      </c>
      <c r="B10" s="396" t="s">
        <v>510</v>
      </c>
      <c r="C10" s="397" t="s">
        <v>503</v>
      </c>
      <c r="D10" s="398" t="s">
        <v>504</v>
      </c>
      <c r="E10" s="400">
        <v>294</v>
      </c>
      <c r="F10" s="400">
        <v>26</v>
      </c>
      <c r="G10" s="400">
        <v>22</v>
      </c>
      <c r="H10" s="400">
        <v>21</v>
      </c>
      <c r="I10" s="400">
        <v>36</v>
      </c>
      <c r="J10" s="400">
        <v>19</v>
      </c>
      <c r="K10" s="400">
        <v>18</v>
      </c>
      <c r="L10" s="400">
        <v>19</v>
      </c>
      <c r="M10" s="400">
        <v>16</v>
      </c>
      <c r="N10" s="400">
        <v>18</v>
      </c>
      <c r="O10" s="400">
        <v>18</v>
      </c>
      <c r="P10" s="400">
        <v>31</v>
      </c>
      <c r="Q10" s="400">
        <v>50</v>
      </c>
    </row>
    <row r="11" spans="1:17" ht="14.25" customHeight="1">
      <c r="B11" s="385"/>
    </row>
    <row r="12" spans="1:17" ht="14.25" customHeight="1">
      <c r="B12" s="385"/>
    </row>
    <row r="13" spans="1:17" ht="14.25" customHeight="1">
      <c r="B13" s="385"/>
    </row>
    <row r="14" spans="1:17" ht="14.25" customHeight="1">
      <c r="A14" s="228" t="s">
        <v>511</v>
      </c>
      <c r="B14" s="385"/>
    </row>
    <row r="15" spans="1:17" ht="14.25" customHeight="1">
      <c r="A15" s="385" t="s">
        <v>512</v>
      </c>
      <c r="B15" s="228" t="s">
        <v>513</v>
      </c>
    </row>
    <row r="16" spans="1:17" ht="14.25" customHeight="1">
      <c r="A16" s="385" t="s">
        <v>514</v>
      </c>
      <c r="B16" s="401" t="s">
        <v>515</v>
      </c>
    </row>
    <row r="17" spans="2:2" ht="14.25" customHeight="1">
      <c r="B17" s="385"/>
    </row>
    <row r="18" spans="2:2" ht="14.25" customHeight="1">
      <c r="B18" s="385"/>
    </row>
    <row r="19" spans="2:2" ht="14.25" customHeight="1">
      <c r="B19" s="385"/>
    </row>
    <row r="20" spans="2:2" ht="14.25" customHeight="1">
      <c r="B20" s="385"/>
    </row>
    <row r="21" spans="2:2" ht="14.25" customHeight="1">
      <c r="B21" s="385"/>
    </row>
    <row r="22" spans="2:2" ht="14.25" customHeight="1">
      <c r="B22" s="385"/>
    </row>
    <row r="23" spans="2:2" ht="14.25" customHeight="1">
      <c r="B23" s="385"/>
    </row>
    <row r="24" spans="2:2" ht="14.25" customHeight="1">
      <c r="B24" s="385"/>
    </row>
    <row r="25" spans="2:2" ht="14.25" customHeight="1">
      <c r="B25" s="385"/>
    </row>
    <row r="26" spans="2:2" ht="14.25" customHeight="1">
      <c r="B26" s="385"/>
    </row>
    <row r="27" spans="2:2" ht="14.25" customHeight="1">
      <c r="B27" s="385"/>
    </row>
    <row r="28" spans="2:2" ht="14.25" customHeight="1">
      <c r="B28" s="385"/>
    </row>
    <row r="29" spans="2:2" ht="14.25" customHeight="1">
      <c r="B29" s="385"/>
    </row>
    <row r="30" spans="2:2" ht="14.25" customHeight="1">
      <c r="B30" s="385"/>
    </row>
    <row r="31" spans="2:2" ht="14.25" customHeight="1">
      <c r="B31" s="385"/>
    </row>
    <row r="32" spans="2:2" ht="14.25" customHeight="1">
      <c r="B32" s="385"/>
    </row>
    <row r="33" spans="2:2" ht="14.25" customHeight="1">
      <c r="B33" s="385"/>
    </row>
    <row r="34" spans="2:2" ht="14.25" customHeight="1">
      <c r="B34" s="385"/>
    </row>
    <row r="35" spans="2:2" ht="14.25" customHeight="1">
      <c r="B35" s="385"/>
    </row>
    <row r="36" spans="2:2" ht="14.25" customHeight="1">
      <c r="B36" s="385"/>
    </row>
    <row r="37" spans="2:2" ht="14.25" customHeight="1">
      <c r="B37" s="385"/>
    </row>
    <row r="38" spans="2:2" ht="14.25" customHeight="1">
      <c r="B38" s="385"/>
    </row>
    <row r="39" spans="2:2" ht="14.25" customHeight="1">
      <c r="B39" s="385"/>
    </row>
    <row r="40" spans="2:2" ht="14.25" customHeight="1">
      <c r="B40" s="385"/>
    </row>
    <row r="41" spans="2:2" ht="14.25" customHeight="1">
      <c r="B41" s="385"/>
    </row>
    <row r="42" spans="2:2" ht="14.25" customHeight="1">
      <c r="B42" s="385"/>
    </row>
    <row r="43" spans="2:2" ht="14.25" customHeight="1">
      <c r="B43" s="385"/>
    </row>
    <row r="44" spans="2:2" ht="14.25" customHeight="1">
      <c r="B44" s="385"/>
    </row>
    <row r="45" spans="2:2" ht="14.25" customHeight="1">
      <c r="B45" s="385"/>
    </row>
    <row r="46" spans="2:2" ht="14.25" customHeight="1">
      <c r="B46" s="385"/>
    </row>
    <row r="47" spans="2:2" ht="14.25" customHeight="1">
      <c r="B47" s="385"/>
    </row>
    <row r="48" spans="2:2" ht="14.25" customHeight="1">
      <c r="B48" s="385"/>
    </row>
    <row r="49" spans="2:2" ht="14.25" customHeight="1">
      <c r="B49" s="385"/>
    </row>
    <row r="50" spans="2:2" ht="14.25" customHeight="1">
      <c r="B50" s="385"/>
    </row>
    <row r="51" spans="2:2" ht="14.25" customHeight="1">
      <c r="B51" s="385"/>
    </row>
    <row r="52" spans="2:2" ht="14.25" customHeight="1">
      <c r="B52" s="385"/>
    </row>
    <row r="53" spans="2:2" ht="14.25" customHeight="1">
      <c r="B53" s="385"/>
    </row>
    <row r="54" spans="2:2" ht="14.25" customHeight="1">
      <c r="B54" s="385"/>
    </row>
    <row r="55" spans="2:2" ht="14.25" customHeight="1">
      <c r="B55" s="385"/>
    </row>
    <row r="56" spans="2:2" ht="14.25" customHeight="1">
      <c r="B56" s="385"/>
    </row>
    <row r="57" spans="2:2" ht="14.25" customHeight="1">
      <c r="B57" s="385"/>
    </row>
    <row r="58" spans="2:2" ht="14.25" customHeight="1">
      <c r="B58" s="385"/>
    </row>
    <row r="59" spans="2:2" ht="14.25" customHeight="1">
      <c r="B59" s="385"/>
    </row>
    <row r="60" spans="2:2" ht="14.25" customHeight="1">
      <c r="B60" s="385"/>
    </row>
    <row r="61" spans="2:2" ht="14.25" customHeight="1">
      <c r="B61" s="385"/>
    </row>
    <row r="62" spans="2:2" ht="14.25" customHeight="1">
      <c r="B62" s="385"/>
    </row>
    <row r="63" spans="2:2" ht="14.25" customHeight="1">
      <c r="B63" s="385"/>
    </row>
    <row r="64" spans="2:2" ht="14.25" customHeight="1">
      <c r="B64" s="385"/>
    </row>
    <row r="65" spans="2:2" ht="14.25" customHeight="1">
      <c r="B65" s="385"/>
    </row>
    <row r="66" spans="2:2" ht="14.25" customHeight="1">
      <c r="B66" s="385"/>
    </row>
    <row r="67" spans="2:2" ht="14.25" customHeight="1">
      <c r="B67" s="385"/>
    </row>
    <row r="68" spans="2:2" ht="14.25" customHeight="1">
      <c r="B68" s="385"/>
    </row>
    <row r="69" spans="2:2" ht="14.25" customHeight="1">
      <c r="B69" s="385"/>
    </row>
    <row r="70" spans="2:2" ht="14.25" customHeight="1">
      <c r="B70" s="385"/>
    </row>
    <row r="71" spans="2:2" ht="14.25" customHeight="1">
      <c r="B71" s="385"/>
    </row>
    <row r="72" spans="2:2" ht="14.25" customHeight="1">
      <c r="B72" s="385"/>
    </row>
    <row r="73" spans="2:2" ht="14.25" customHeight="1">
      <c r="B73" s="385"/>
    </row>
    <row r="74" spans="2:2" ht="14.25" customHeight="1">
      <c r="B74" s="385"/>
    </row>
    <row r="75" spans="2:2" ht="14.25" customHeight="1">
      <c r="B75" s="385"/>
    </row>
    <row r="76" spans="2:2" ht="14.25" customHeight="1">
      <c r="B76" s="385"/>
    </row>
    <row r="77" spans="2:2" ht="14.25" customHeight="1">
      <c r="B77" s="385"/>
    </row>
    <row r="78" spans="2:2" ht="14.25" customHeight="1">
      <c r="B78" s="385"/>
    </row>
    <row r="79" spans="2:2" ht="14.25" customHeight="1">
      <c r="B79" s="385"/>
    </row>
    <row r="80" spans="2:2" ht="14.25" customHeight="1">
      <c r="B80" s="385"/>
    </row>
    <row r="81" spans="2:2" ht="14.25" customHeight="1">
      <c r="B81" s="385"/>
    </row>
    <row r="82" spans="2:2" ht="14.25" customHeight="1">
      <c r="B82" s="385"/>
    </row>
    <row r="83" spans="2:2" ht="14.25" customHeight="1">
      <c r="B83" s="385"/>
    </row>
    <row r="84" spans="2:2" ht="14.25" customHeight="1">
      <c r="B84" s="385"/>
    </row>
    <row r="85" spans="2:2" ht="14.25" customHeight="1">
      <c r="B85" s="385"/>
    </row>
    <row r="86" spans="2:2" ht="14.25" customHeight="1">
      <c r="B86" s="385"/>
    </row>
    <row r="87" spans="2:2" ht="14.25" customHeight="1">
      <c r="B87" s="385"/>
    </row>
    <row r="88" spans="2:2" ht="14.25" customHeight="1">
      <c r="B88" s="385"/>
    </row>
    <row r="89" spans="2:2" ht="14.25" customHeight="1">
      <c r="B89" s="385"/>
    </row>
    <row r="90" spans="2:2" ht="14.25" customHeight="1">
      <c r="B90" s="385"/>
    </row>
    <row r="91" spans="2:2" ht="14.25" customHeight="1">
      <c r="B91" s="385"/>
    </row>
    <row r="92" spans="2:2" ht="14.25" customHeight="1">
      <c r="B92" s="385"/>
    </row>
    <row r="93" spans="2:2" ht="14.25" customHeight="1">
      <c r="B93" s="385"/>
    </row>
    <row r="94" spans="2:2" ht="14.25" customHeight="1">
      <c r="B94" s="385"/>
    </row>
    <row r="95" spans="2:2" ht="14.25" customHeight="1">
      <c r="B95" s="385"/>
    </row>
    <row r="96" spans="2:2" ht="14.25" customHeight="1">
      <c r="B96" s="385"/>
    </row>
    <row r="97" spans="2:2" ht="14.25" customHeight="1">
      <c r="B97" s="385"/>
    </row>
    <row r="98" spans="2:2" ht="14.25" customHeight="1">
      <c r="B98" s="385"/>
    </row>
    <row r="99" spans="2:2" ht="14.25" customHeight="1">
      <c r="B99" s="385"/>
    </row>
    <row r="100" spans="2:2" ht="14.25" customHeight="1">
      <c r="B100" s="385"/>
    </row>
    <row r="101" spans="2:2" ht="14.25" customHeight="1">
      <c r="B101" s="385"/>
    </row>
    <row r="102" spans="2:2" ht="14.25" customHeight="1">
      <c r="B102" s="385"/>
    </row>
    <row r="103" spans="2:2" ht="14.25" customHeight="1">
      <c r="B103" s="385"/>
    </row>
    <row r="104" spans="2:2" ht="14.25" customHeight="1">
      <c r="B104" s="385"/>
    </row>
    <row r="105" spans="2:2" ht="14.25" customHeight="1">
      <c r="B105" s="385"/>
    </row>
    <row r="106" spans="2:2" ht="14.25" customHeight="1">
      <c r="B106" s="385"/>
    </row>
    <row r="107" spans="2:2" ht="14.25" customHeight="1">
      <c r="B107" s="385"/>
    </row>
    <row r="108" spans="2:2" ht="14.25" customHeight="1">
      <c r="B108" s="385"/>
    </row>
    <row r="109" spans="2:2" ht="14.25" customHeight="1">
      <c r="B109" s="385"/>
    </row>
    <row r="110" spans="2:2" ht="14.25" customHeight="1">
      <c r="B110" s="385"/>
    </row>
    <row r="111" spans="2:2" ht="14.25" customHeight="1">
      <c r="B111" s="385"/>
    </row>
    <row r="112" spans="2:2" ht="14.25" customHeight="1">
      <c r="B112" s="385"/>
    </row>
    <row r="113" spans="2:2" ht="14.25" customHeight="1">
      <c r="B113" s="385"/>
    </row>
    <row r="114" spans="2:2" ht="14.25" customHeight="1">
      <c r="B114" s="385"/>
    </row>
    <row r="115" spans="2:2" ht="14.25" customHeight="1">
      <c r="B115" s="385"/>
    </row>
    <row r="116" spans="2:2" ht="14.25" customHeight="1">
      <c r="B116" s="385"/>
    </row>
    <row r="117" spans="2:2" ht="14.25" customHeight="1">
      <c r="B117" s="385"/>
    </row>
    <row r="118" spans="2:2" ht="14.25" customHeight="1">
      <c r="B118" s="385"/>
    </row>
    <row r="119" spans="2:2" ht="14.25" customHeight="1">
      <c r="B119" s="385"/>
    </row>
    <row r="120" spans="2:2" ht="14.25" customHeight="1">
      <c r="B120" s="385"/>
    </row>
    <row r="121" spans="2:2" ht="14.25" customHeight="1">
      <c r="B121" s="385"/>
    </row>
    <row r="122" spans="2:2" ht="14.25" customHeight="1">
      <c r="B122" s="385"/>
    </row>
    <row r="123" spans="2:2" ht="14.25" customHeight="1">
      <c r="B123" s="385"/>
    </row>
    <row r="124" spans="2:2" ht="14.25" customHeight="1">
      <c r="B124" s="385"/>
    </row>
    <row r="125" spans="2:2" ht="14.25" customHeight="1">
      <c r="B125" s="385"/>
    </row>
    <row r="126" spans="2:2" ht="14.25" customHeight="1">
      <c r="B126" s="385"/>
    </row>
    <row r="127" spans="2:2" ht="14.25" customHeight="1">
      <c r="B127" s="385"/>
    </row>
    <row r="128" spans="2:2" ht="14.25" customHeight="1">
      <c r="B128" s="385"/>
    </row>
    <row r="129" spans="2:2" ht="14.25" customHeight="1">
      <c r="B129" s="385"/>
    </row>
    <row r="130" spans="2:2" ht="14.25" customHeight="1">
      <c r="B130" s="385"/>
    </row>
    <row r="131" spans="2:2" ht="14.25" customHeight="1">
      <c r="B131" s="385"/>
    </row>
    <row r="132" spans="2:2" ht="14.25" customHeight="1">
      <c r="B132" s="385"/>
    </row>
    <row r="133" spans="2:2" ht="14.25" customHeight="1">
      <c r="B133" s="385"/>
    </row>
    <row r="134" spans="2:2" ht="14.25" customHeight="1">
      <c r="B134" s="385"/>
    </row>
    <row r="135" spans="2:2" ht="14.25" customHeight="1">
      <c r="B135" s="385"/>
    </row>
    <row r="136" spans="2:2" ht="14.25" customHeight="1">
      <c r="B136" s="385"/>
    </row>
    <row r="137" spans="2:2" ht="14.25" customHeight="1">
      <c r="B137" s="385"/>
    </row>
    <row r="138" spans="2:2" ht="14.25" customHeight="1">
      <c r="B138" s="385"/>
    </row>
    <row r="139" spans="2:2" ht="14.25" customHeight="1">
      <c r="B139" s="385"/>
    </row>
    <row r="140" spans="2:2" ht="14.25" customHeight="1">
      <c r="B140" s="385"/>
    </row>
    <row r="141" spans="2:2" ht="14.25" customHeight="1">
      <c r="B141" s="385"/>
    </row>
    <row r="142" spans="2:2" ht="14.25" customHeight="1">
      <c r="B142" s="385"/>
    </row>
    <row r="143" spans="2:2" ht="14.25" customHeight="1">
      <c r="B143" s="385"/>
    </row>
    <row r="144" spans="2:2" ht="14.25" customHeight="1">
      <c r="B144" s="385"/>
    </row>
    <row r="145" spans="2:2" ht="14.25" customHeight="1">
      <c r="B145" s="385"/>
    </row>
    <row r="146" spans="2:2" ht="14.25" customHeight="1">
      <c r="B146" s="385"/>
    </row>
    <row r="147" spans="2:2" ht="14.25" customHeight="1">
      <c r="B147" s="385"/>
    </row>
    <row r="148" spans="2:2" ht="14.25" customHeight="1">
      <c r="B148" s="385"/>
    </row>
    <row r="149" spans="2:2" ht="14.25" customHeight="1">
      <c r="B149" s="385"/>
    </row>
    <row r="150" spans="2:2" ht="14.25" customHeight="1">
      <c r="B150" s="385"/>
    </row>
    <row r="151" spans="2:2" ht="14.25" customHeight="1">
      <c r="B151" s="385"/>
    </row>
    <row r="152" spans="2:2" ht="14.25" customHeight="1">
      <c r="B152" s="385"/>
    </row>
    <row r="153" spans="2:2" ht="14.25" customHeight="1">
      <c r="B153" s="385"/>
    </row>
    <row r="154" spans="2:2" ht="14.25" customHeight="1">
      <c r="B154" s="385"/>
    </row>
    <row r="155" spans="2:2" ht="14.25" customHeight="1">
      <c r="B155" s="385"/>
    </row>
    <row r="156" spans="2:2" ht="14.25" customHeight="1">
      <c r="B156" s="385"/>
    </row>
    <row r="157" spans="2:2" ht="14.25" customHeight="1">
      <c r="B157" s="385"/>
    </row>
    <row r="158" spans="2:2" ht="14.25" customHeight="1">
      <c r="B158" s="385"/>
    </row>
    <row r="159" spans="2:2" ht="14.25" customHeight="1">
      <c r="B159" s="385"/>
    </row>
    <row r="160" spans="2:2" ht="14.25" customHeight="1">
      <c r="B160" s="385"/>
    </row>
    <row r="161" spans="2:2" ht="14.25" customHeight="1">
      <c r="B161" s="385"/>
    </row>
    <row r="162" spans="2:2" ht="14.25" customHeight="1">
      <c r="B162" s="385"/>
    </row>
    <row r="163" spans="2:2" ht="14.25" customHeight="1">
      <c r="B163" s="385"/>
    </row>
    <row r="164" spans="2:2" ht="14.25" customHeight="1">
      <c r="B164" s="385"/>
    </row>
    <row r="165" spans="2:2" ht="14.25" customHeight="1">
      <c r="B165" s="385"/>
    </row>
    <row r="166" spans="2:2" ht="14.25" customHeight="1">
      <c r="B166" s="385"/>
    </row>
    <row r="167" spans="2:2" ht="14.25" customHeight="1">
      <c r="B167" s="385"/>
    </row>
    <row r="168" spans="2:2" ht="14.25" customHeight="1">
      <c r="B168" s="385"/>
    </row>
    <row r="169" spans="2:2" ht="14.25" customHeight="1">
      <c r="B169" s="385"/>
    </row>
    <row r="170" spans="2:2" ht="14.25" customHeight="1">
      <c r="B170" s="385"/>
    </row>
    <row r="171" spans="2:2" ht="14.25" customHeight="1">
      <c r="B171" s="385"/>
    </row>
    <row r="172" spans="2:2" ht="14.25" customHeight="1">
      <c r="B172" s="385"/>
    </row>
    <row r="173" spans="2:2" ht="14.25" customHeight="1">
      <c r="B173" s="385"/>
    </row>
    <row r="174" spans="2:2" ht="14.25" customHeight="1">
      <c r="B174" s="385"/>
    </row>
    <row r="175" spans="2:2" ht="14.25" customHeight="1">
      <c r="B175" s="385"/>
    </row>
    <row r="176" spans="2:2" ht="14.25" customHeight="1">
      <c r="B176" s="385"/>
    </row>
    <row r="177" spans="2:2" ht="14.25" customHeight="1">
      <c r="B177" s="385"/>
    </row>
    <row r="178" spans="2:2" ht="14.25" customHeight="1">
      <c r="B178" s="385"/>
    </row>
    <row r="179" spans="2:2" ht="14.25" customHeight="1">
      <c r="B179" s="385"/>
    </row>
    <row r="180" spans="2:2" ht="14.25" customHeight="1">
      <c r="B180" s="385"/>
    </row>
    <row r="181" spans="2:2" ht="14.25" customHeight="1">
      <c r="B181" s="385"/>
    </row>
    <row r="182" spans="2:2" ht="14.25" customHeight="1">
      <c r="B182" s="385"/>
    </row>
    <row r="183" spans="2:2" ht="14.25" customHeight="1">
      <c r="B183" s="385"/>
    </row>
    <row r="184" spans="2:2" ht="14.25" customHeight="1">
      <c r="B184" s="385"/>
    </row>
    <row r="185" spans="2:2" ht="14.25" customHeight="1">
      <c r="B185" s="385"/>
    </row>
    <row r="186" spans="2:2" ht="14.25" customHeight="1">
      <c r="B186" s="385"/>
    </row>
    <row r="187" spans="2:2" ht="14.25" customHeight="1">
      <c r="B187" s="385"/>
    </row>
    <row r="188" spans="2:2" ht="14.25" customHeight="1">
      <c r="B188" s="385"/>
    </row>
    <row r="189" spans="2:2" ht="14.25" customHeight="1">
      <c r="B189" s="385"/>
    </row>
    <row r="190" spans="2:2" ht="14.25" customHeight="1">
      <c r="B190" s="385"/>
    </row>
    <row r="191" spans="2:2" ht="14.25" customHeight="1">
      <c r="B191" s="385"/>
    </row>
    <row r="192" spans="2:2" ht="14.25" customHeight="1">
      <c r="B192" s="385"/>
    </row>
    <row r="193" spans="2:2" ht="14.25" customHeight="1">
      <c r="B193" s="385"/>
    </row>
    <row r="194" spans="2:2" ht="14.25" customHeight="1">
      <c r="B194" s="385"/>
    </row>
    <row r="195" spans="2:2" ht="14.25" customHeight="1">
      <c r="B195" s="385"/>
    </row>
    <row r="196" spans="2:2" ht="14.25" customHeight="1">
      <c r="B196" s="385"/>
    </row>
    <row r="197" spans="2:2" ht="14.25" customHeight="1">
      <c r="B197" s="385"/>
    </row>
    <row r="198" spans="2:2" ht="14.25" customHeight="1">
      <c r="B198" s="385"/>
    </row>
    <row r="199" spans="2:2" ht="14.25" customHeight="1">
      <c r="B199" s="385"/>
    </row>
    <row r="200" spans="2:2" ht="14.25" customHeight="1">
      <c r="B200" s="385"/>
    </row>
    <row r="201" spans="2:2" ht="14.25" customHeight="1">
      <c r="B201" s="385"/>
    </row>
    <row r="202" spans="2:2" ht="14.25" customHeight="1">
      <c r="B202" s="385"/>
    </row>
    <row r="203" spans="2:2" ht="14.25" customHeight="1">
      <c r="B203" s="385"/>
    </row>
    <row r="204" spans="2:2" ht="14.25" customHeight="1">
      <c r="B204" s="385"/>
    </row>
    <row r="205" spans="2:2" ht="14.25" customHeight="1">
      <c r="B205" s="385"/>
    </row>
    <row r="206" spans="2:2" ht="14.25" customHeight="1">
      <c r="B206" s="385"/>
    </row>
    <row r="207" spans="2:2" ht="14.25" customHeight="1">
      <c r="B207" s="385"/>
    </row>
    <row r="208" spans="2:2" ht="14.25" customHeight="1">
      <c r="B208" s="385"/>
    </row>
    <row r="209" spans="2:2" ht="14.25" customHeight="1">
      <c r="B209" s="385"/>
    </row>
    <row r="210" spans="2:2" ht="14.25" customHeight="1">
      <c r="B210" s="385"/>
    </row>
    <row r="211" spans="2:2" ht="14.25" customHeight="1">
      <c r="B211" s="385"/>
    </row>
    <row r="212" spans="2:2" ht="14.25" customHeight="1">
      <c r="B212" s="385"/>
    </row>
    <row r="213" spans="2:2" ht="14.25" customHeight="1">
      <c r="B213" s="385"/>
    </row>
    <row r="214" spans="2:2" ht="14.25" customHeight="1">
      <c r="B214" s="385"/>
    </row>
    <row r="215" spans="2:2" ht="14.25" customHeight="1">
      <c r="B215" s="385"/>
    </row>
    <row r="216" spans="2:2" ht="14.25" customHeight="1">
      <c r="B216" s="385"/>
    </row>
    <row r="217" spans="2:2" ht="14.25" customHeight="1">
      <c r="B217" s="385"/>
    </row>
    <row r="218" spans="2:2" ht="14.25" customHeight="1">
      <c r="B218" s="385"/>
    </row>
    <row r="219" spans="2:2" ht="14.25" customHeight="1">
      <c r="B219" s="385"/>
    </row>
    <row r="220" spans="2:2" ht="14.25" customHeight="1">
      <c r="B220" s="385"/>
    </row>
    <row r="221" spans="2:2" ht="14.25" customHeight="1">
      <c r="B221" s="385"/>
    </row>
    <row r="222" spans="2:2" ht="14.25" customHeight="1">
      <c r="B222" s="385"/>
    </row>
    <row r="223" spans="2:2" ht="14.25" customHeight="1">
      <c r="B223" s="385"/>
    </row>
    <row r="224" spans="2:2" ht="14.25" customHeight="1">
      <c r="B224" s="385"/>
    </row>
    <row r="225" spans="2:2" ht="14.25" customHeight="1">
      <c r="B225" s="385"/>
    </row>
    <row r="226" spans="2:2" ht="14.25" customHeight="1">
      <c r="B226" s="385"/>
    </row>
    <row r="227" spans="2:2" ht="14.25" customHeight="1">
      <c r="B227" s="385"/>
    </row>
    <row r="228" spans="2:2" ht="14.25" customHeight="1">
      <c r="B228" s="385"/>
    </row>
    <row r="229" spans="2:2" ht="14.25" customHeight="1">
      <c r="B229" s="385"/>
    </row>
    <row r="230" spans="2:2" ht="14.25" customHeight="1">
      <c r="B230" s="385"/>
    </row>
    <row r="231" spans="2:2" ht="14.25" customHeight="1">
      <c r="B231" s="385"/>
    </row>
    <row r="232" spans="2:2" ht="14.25" customHeight="1">
      <c r="B232" s="385"/>
    </row>
    <row r="233" spans="2:2" ht="14.25" customHeight="1">
      <c r="B233" s="385"/>
    </row>
    <row r="234" spans="2:2" ht="14.25" customHeight="1">
      <c r="B234" s="385"/>
    </row>
    <row r="235" spans="2:2" ht="14.25" customHeight="1">
      <c r="B235" s="385"/>
    </row>
    <row r="236" spans="2:2" ht="14.25" customHeight="1">
      <c r="B236" s="385"/>
    </row>
    <row r="237" spans="2:2" ht="14.25" customHeight="1">
      <c r="B237" s="385"/>
    </row>
    <row r="238" spans="2:2" ht="14.25" customHeight="1">
      <c r="B238" s="385"/>
    </row>
    <row r="239" spans="2:2" ht="14.25" customHeight="1">
      <c r="B239" s="385"/>
    </row>
    <row r="240" spans="2:2" ht="14.25" customHeight="1">
      <c r="B240" s="385"/>
    </row>
    <row r="241" spans="2:2" ht="14.25" customHeight="1">
      <c r="B241" s="385"/>
    </row>
    <row r="242" spans="2:2" ht="14.25" customHeight="1">
      <c r="B242" s="385"/>
    </row>
    <row r="243" spans="2:2" ht="14.25" customHeight="1">
      <c r="B243" s="385"/>
    </row>
    <row r="244" spans="2:2" ht="14.25" customHeight="1">
      <c r="B244" s="385"/>
    </row>
    <row r="245" spans="2:2" ht="14.25" customHeight="1">
      <c r="B245" s="385"/>
    </row>
    <row r="246" spans="2:2" ht="14.25" customHeight="1">
      <c r="B246" s="385"/>
    </row>
    <row r="247" spans="2:2" ht="14.25" customHeight="1">
      <c r="B247" s="385"/>
    </row>
    <row r="248" spans="2:2" ht="14.25" customHeight="1">
      <c r="B248" s="385"/>
    </row>
    <row r="249" spans="2:2" ht="14.25" customHeight="1">
      <c r="B249" s="385"/>
    </row>
    <row r="250" spans="2:2" ht="14.25" customHeight="1">
      <c r="B250" s="385"/>
    </row>
    <row r="251" spans="2:2" ht="14.25" customHeight="1">
      <c r="B251" s="385"/>
    </row>
    <row r="252" spans="2:2" ht="14.25" customHeight="1">
      <c r="B252" s="385"/>
    </row>
    <row r="253" spans="2:2" ht="14.25" customHeight="1">
      <c r="B253" s="385"/>
    </row>
    <row r="254" spans="2:2" ht="14.25" customHeight="1">
      <c r="B254" s="385"/>
    </row>
    <row r="255" spans="2:2" ht="14.25" customHeight="1">
      <c r="B255" s="385"/>
    </row>
    <row r="256" spans="2:2" ht="14.25" customHeight="1">
      <c r="B256" s="385"/>
    </row>
    <row r="257" spans="2:2" ht="14.25" customHeight="1">
      <c r="B257" s="385"/>
    </row>
    <row r="258" spans="2:2" ht="14.25" customHeight="1">
      <c r="B258" s="385"/>
    </row>
    <row r="259" spans="2:2" ht="14.25" customHeight="1">
      <c r="B259" s="385"/>
    </row>
    <row r="260" spans="2:2" ht="14.25" customHeight="1">
      <c r="B260" s="385"/>
    </row>
    <row r="261" spans="2:2" ht="14.25" customHeight="1">
      <c r="B261" s="385"/>
    </row>
    <row r="262" spans="2:2" ht="14.25" customHeight="1">
      <c r="B262" s="385"/>
    </row>
    <row r="263" spans="2:2" ht="14.25" customHeight="1">
      <c r="B263" s="385"/>
    </row>
    <row r="264" spans="2:2" ht="14.25" customHeight="1">
      <c r="B264" s="385"/>
    </row>
    <row r="265" spans="2:2" ht="14.25" customHeight="1">
      <c r="B265" s="385"/>
    </row>
    <row r="266" spans="2:2" ht="14.25" customHeight="1">
      <c r="B266" s="385"/>
    </row>
    <row r="267" spans="2:2" ht="14.25" customHeight="1">
      <c r="B267" s="385"/>
    </row>
    <row r="268" spans="2:2" ht="14.25" customHeight="1">
      <c r="B268" s="385"/>
    </row>
    <row r="269" spans="2:2" ht="14.25" customHeight="1">
      <c r="B269" s="385"/>
    </row>
    <row r="270" spans="2:2" ht="14.25" customHeight="1">
      <c r="B270" s="385"/>
    </row>
    <row r="271" spans="2:2" ht="14.25" customHeight="1">
      <c r="B271" s="385"/>
    </row>
    <row r="272" spans="2:2" ht="14.25" customHeight="1">
      <c r="B272" s="385"/>
    </row>
    <row r="273" spans="2:2" ht="14.25" customHeight="1">
      <c r="B273" s="385"/>
    </row>
    <row r="274" spans="2:2" ht="14.25" customHeight="1">
      <c r="B274" s="385"/>
    </row>
    <row r="275" spans="2:2" ht="14.25" customHeight="1">
      <c r="B275" s="385"/>
    </row>
    <row r="276" spans="2:2" ht="14.25" customHeight="1">
      <c r="B276" s="385"/>
    </row>
    <row r="277" spans="2:2" ht="14.25" customHeight="1">
      <c r="B277" s="385"/>
    </row>
    <row r="278" spans="2:2" ht="14.25" customHeight="1">
      <c r="B278" s="385"/>
    </row>
    <row r="279" spans="2:2" ht="14.25" customHeight="1">
      <c r="B279" s="385"/>
    </row>
    <row r="280" spans="2:2" ht="14.25" customHeight="1">
      <c r="B280" s="385"/>
    </row>
    <row r="281" spans="2:2" ht="14.25" customHeight="1">
      <c r="B281" s="385"/>
    </row>
    <row r="282" spans="2:2" ht="14.25" customHeight="1">
      <c r="B282" s="385"/>
    </row>
    <row r="283" spans="2:2" ht="14.25" customHeight="1">
      <c r="B283" s="385"/>
    </row>
    <row r="284" spans="2:2" ht="14.25" customHeight="1">
      <c r="B284" s="385"/>
    </row>
    <row r="285" spans="2:2" ht="14.25" customHeight="1">
      <c r="B285" s="385"/>
    </row>
    <row r="286" spans="2:2" ht="14.25" customHeight="1">
      <c r="B286" s="385"/>
    </row>
    <row r="287" spans="2:2" ht="14.25" customHeight="1">
      <c r="B287" s="385"/>
    </row>
    <row r="288" spans="2:2" ht="14.25" customHeight="1">
      <c r="B288" s="385"/>
    </row>
    <row r="289" spans="2:2" ht="14.25" customHeight="1">
      <c r="B289" s="385"/>
    </row>
    <row r="290" spans="2:2" ht="14.25" customHeight="1">
      <c r="B290" s="385"/>
    </row>
    <row r="291" spans="2:2" ht="14.25" customHeight="1">
      <c r="B291" s="385"/>
    </row>
    <row r="292" spans="2:2" ht="14.25" customHeight="1">
      <c r="B292" s="385"/>
    </row>
    <row r="293" spans="2:2" ht="14.25" customHeight="1">
      <c r="B293" s="385"/>
    </row>
    <row r="294" spans="2:2" ht="14.25" customHeight="1">
      <c r="B294" s="385"/>
    </row>
    <row r="295" spans="2:2" ht="14.25" customHeight="1">
      <c r="B295" s="385"/>
    </row>
    <row r="296" spans="2:2" ht="14.25" customHeight="1">
      <c r="B296" s="385"/>
    </row>
    <row r="297" spans="2:2" ht="14.25" customHeight="1">
      <c r="B297" s="385"/>
    </row>
    <row r="298" spans="2:2" ht="14.25" customHeight="1">
      <c r="B298" s="385"/>
    </row>
    <row r="299" spans="2:2" ht="14.25" customHeight="1">
      <c r="B299" s="385"/>
    </row>
    <row r="300" spans="2:2" ht="14.25" customHeight="1">
      <c r="B300" s="385"/>
    </row>
    <row r="301" spans="2:2" ht="14.25" customHeight="1">
      <c r="B301" s="385"/>
    </row>
    <row r="302" spans="2:2" ht="14.25" customHeight="1">
      <c r="B302" s="385"/>
    </row>
    <row r="303" spans="2:2" ht="14.25" customHeight="1">
      <c r="B303" s="385"/>
    </row>
    <row r="304" spans="2:2" ht="14.25" customHeight="1">
      <c r="B304" s="385"/>
    </row>
    <row r="305" spans="2:2" ht="14.25" customHeight="1">
      <c r="B305" s="385"/>
    </row>
    <row r="306" spans="2:2" ht="14.25" customHeight="1">
      <c r="B306" s="385"/>
    </row>
    <row r="307" spans="2:2" ht="14.25" customHeight="1">
      <c r="B307" s="385"/>
    </row>
    <row r="308" spans="2:2" ht="14.25" customHeight="1">
      <c r="B308" s="385"/>
    </row>
    <row r="309" spans="2:2" ht="14.25" customHeight="1">
      <c r="B309" s="385"/>
    </row>
    <row r="310" spans="2:2" ht="14.25" customHeight="1">
      <c r="B310" s="385"/>
    </row>
    <row r="311" spans="2:2" ht="14.25" customHeight="1">
      <c r="B311" s="385"/>
    </row>
    <row r="312" spans="2:2" ht="14.25" customHeight="1">
      <c r="B312" s="385"/>
    </row>
    <row r="313" spans="2:2" ht="14.25" customHeight="1">
      <c r="B313" s="385"/>
    </row>
    <row r="314" spans="2:2" ht="14.25" customHeight="1">
      <c r="B314" s="385"/>
    </row>
    <row r="315" spans="2:2" ht="14.25" customHeight="1">
      <c r="B315" s="385"/>
    </row>
    <row r="316" spans="2:2" ht="14.25" customHeight="1">
      <c r="B316" s="385"/>
    </row>
    <row r="317" spans="2:2" ht="14.25" customHeight="1">
      <c r="B317" s="385"/>
    </row>
    <row r="318" spans="2:2" ht="14.25" customHeight="1">
      <c r="B318" s="385"/>
    </row>
    <row r="319" spans="2:2" ht="14.25" customHeight="1">
      <c r="B319" s="385"/>
    </row>
    <row r="320" spans="2:2" ht="14.25" customHeight="1">
      <c r="B320" s="385"/>
    </row>
    <row r="321" spans="2:2" ht="14.25" customHeight="1">
      <c r="B321" s="385"/>
    </row>
    <row r="322" spans="2:2" ht="14.25" customHeight="1">
      <c r="B322" s="385"/>
    </row>
    <row r="323" spans="2:2" ht="14.25" customHeight="1">
      <c r="B323" s="385"/>
    </row>
    <row r="324" spans="2:2" ht="14.25" customHeight="1">
      <c r="B324" s="385"/>
    </row>
    <row r="325" spans="2:2" ht="14.25" customHeight="1">
      <c r="B325" s="385"/>
    </row>
    <row r="326" spans="2:2" ht="14.25" customHeight="1">
      <c r="B326" s="385"/>
    </row>
    <row r="327" spans="2:2" ht="14.25" customHeight="1">
      <c r="B327" s="385"/>
    </row>
    <row r="328" spans="2:2" ht="14.25" customHeight="1">
      <c r="B328" s="385"/>
    </row>
    <row r="329" spans="2:2" ht="14.25" customHeight="1">
      <c r="B329" s="385"/>
    </row>
    <row r="330" spans="2:2" ht="14.25" customHeight="1">
      <c r="B330" s="385"/>
    </row>
    <row r="331" spans="2:2" ht="14.25" customHeight="1">
      <c r="B331" s="385"/>
    </row>
    <row r="332" spans="2:2" ht="14.25" customHeight="1">
      <c r="B332" s="385"/>
    </row>
    <row r="333" spans="2:2" ht="14.25" customHeight="1">
      <c r="B333" s="385"/>
    </row>
    <row r="334" spans="2:2" ht="14.25" customHeight="1">
      <c r="B334" s="385"/>
    </row>
    <row r="335" spans="2:2" ht="14.25" customHeight="1">
      <c r="B335" s="385"/>
    </row>
    <row r="336" spans="2:2" ht="14.25" customHeight="1">
      <c r="B336" s="385"/>
    </row>
    <row r="337" spans="2:2" ht="14.25" customHeight="1">
      <c r="B337" s="385"/>
    </row>
    <row r="338" spans="2:2" ht="14.25" customHeight="1">
      <c r="B338" s="385"/>
    </row>
    <row r="339" spans="2:2" ht="14.25" customHeight="1">
      <c r="B339" s="385"/>
    </row>
    <row r="340" spans="2:2" ht="14.25" customHeight="1">
      <c r="B340" s="385"/>
    </row>
    <row r="341" spans="2:2" ht="14.25" customHeight="1">
      <c r="B341" s="385"/>
    </row>
    <row r="342" spans="2:2" ht="14.25" customHeight="1">
      <c r="B342" s="385"/>
    </row>
    <row r="343" spans="2:2" ht="14.25" customHeight="1">
      <c r="B343" s="385"/>
    </row>
    <row r="344" spans="2:2" ht="14.25" customHeight="1">
      <c r="B344" s="385"/>
    </row>
    <row r="345" spans="2:2" ht="14.25" customHeight="1">
      <c r="B345" s="385"/>
    </row>
    <row r="346" spans="2:2" ht="14.25" customHeight="1">
      <c r="B346" s="385"/>
    </row>
    <row r="347" spans="2:2" ht="14.25" customHeight="1">
      <c r="B347" s="385"/>
    </row>
    <row r="348" spans="2:2" ht="14.25" customHeight="1">
      <c r="B348" s="385"/>
    </row>
    <row r="349" spans="2:2" ht="14.25" customHeight="1">
      <c r="B349" s="385"/>
    </row>
    <row r="350" spans="2:2" ht="14.25" customHeight="1">
      <c r="B350" s="385"/>
    </row>
    <row r="351" spans="2:2" ht="14.25" customHeight="1">
      <c r="B351" s="385"/>
    </row>
    <row r="352" spans="2:2" ht="14.25" customHeight="1">
      <c r="B352" s="385"/>
    </row>
    <row r="353" spans="2:2" ht="14.25" customHeight="1">
      <c r="B353" s="385"/>
    </row>
    <row r="354" spans="2:2" ht="14.25" customHeight="1">
      <c r="B354" s="385"/>
    </row>
    <row r="355" spans="2:2" ht="14.25" customHeight="1">
      <c r="B355" s="385"/>
    </row>
    <row r="356" spans="2:2" ht="14.25" customHeight="1">
      <c r="B356" s="385"/>
    </row>
    <row r="357" spans="2:2" ht="14.25" customHeight="1">
      <c r="B357" s="385"/>
    </row>
    <row r="358" spans="2:2" ht="14.25" customHeight="1">
      <c r="B358" s="385"/>
    </row>
    <row r="359" spans="2:2" ht="14.25" customHeight="1">
      <c r="B359" s="385"/>
    </row>
    <row r="360" spans="2:2" ht="14.25" customHeight="1">
      <c r="B360" s="385"/>
    </row>
    <row r="361" spans="2:2" ht="14.25" customHeight="1">
      <c r="B361" s="385"/>
    </row>
    <row r="362" spans="2:2" ht="14.25" customHeight="1">
      <c r="B362" s="385"/>
    </row>
    <row r="363" spans="2:2" ht="14.25" customHeight="1">
      <c r="B363" s="385"/>
    </row>
    <row r="364" spans="2:2" ht="14.25" customHeight="1">
      <c r="B364" s="385"/>
    </row>
    <row r="365" spans="2:2" ht="14.25" customHeight="1">
      <c r="B365" s="385"/>
    </row>
    <row r="366" spans="2:2" ht="14.25" customHeight="1">
      <c r="B366" s="385"/>
    </row>
    <row r="367" spans="2:2" ht="14.25" customHeight="1">
      <c r="B367" s="385"/>
    </row>
    <row r="368" spans="2:2" ht="14.25" customHeight="1">
      <c r="B368" s="385"/>
    </row>
    <row r="369" spans="2:2" ht="14.25" customHeight="1">
      <c r="B369" s="385"/>
    </row>
    <row r="370" spans="2:2" ht="14.25" customHeight="1">
      <c r="B370" s="385"/>
    </row>
    <row r="371" spans="2:2" ht="14.25" customHeight="1">
      <c r="B371" s="385"/>
    </row>
    <row r="372" spans="2:2" ht="14.25" customHeight="1">
      <c r="B372" s="385"/>
    </row>
    <row r="373" spans="2:2" ht="14.25" customHeight="1">
      <c r="B373" s="385"/>
    </row>
    <row r="374" spans="2:2" ht="14.25" customHeight="1">
      <c r="B374" s="385"/>
    </row>
    <row r="375" spans="2:2" ht="14.25" customHeight="1">
      <c r="B375" s="385"/>
    </row>
    <row r="376" spans="2:2" ht="14.25" customHeight="1">
      <c r="B376" s="385"/>
    </row>
    <row r="377" spans="2:2" ht="14.25" customHeight="1">
      <c r="B377" s="385"/>
    </row>
    <row r="378" spans="2:2" ht="14.25" customHeight="1">
      <c r="B378" s="385"/>
    </row>
    <row r="379" spans="2:2" ht="14.25" customHeight="1">
      <c r="B379" s="385"/>
    </row>
    <row r="380" spans="2:2" ht="14.25" customHeight="1">
      <c r="B380" s="385"/>
    </row>
    <row r="381" spans="2:2" ht="14.25" customHeight="1">
      <c r="B381" s="385"/>
    </row>
    <row r="382" spans="2:2" ht="14.25" customHeight="1">
      <c r="B382" s="385"/>
    </row>
    <row r="383" spans="2:2" ht="14.25" customHeight="1">
      <c r="B383" s="385"/>
    </row>
    <row r="384" spans="2:2" ht="14.25" customHeight="1">
      <c r="B384" s="385"/>
    </row>
    <row r="385" spans="2:2" ht="14.25" customHeight="1">
      <c r="B385" s="385"/>
    </row>
    <row r="386" spans="2:2" ht="14.25" customHeight="1">
      <c r="B386" s="385"/>
    </row>
    <row r="387" spans="2:2" ht="14.25" customHeight="1">
      <c r="B387" s="385"/>
    </row>
    <row r="388" spans="2:2" ht="14.25" customHeight="1">
      <c r="B388" s="385"/>
    </row>
    <row r="389" spans="2:2" ht="14.25" customHeight="1">
      <c r="B389" s="385"/>
    </row>
    <row r="390" spans="2:2" ht="14.25" customHeight="1">
      <c r="B390" s="385"/>
    </row>
    <row r="391" spans="2:2" ht="14.25" customHeight="1">
      <c r="B391" s="385"/>
    </row>
    <row r="392" spans="2:2" ht="14.25" customHeight="1">
      <c r="B392" s="385"/>
    </row>
    <row r="393" spans="2:2" ht="14.25" customHeight="1">
      <c r="B393" s="385"/>
    </row>
    <row r="394" spans="2:2" ht="14.25" customHeight="1">
      <c r="B394" s="385"/>
    </row>
    <row r="395" spans="2:2" ht="14.25" customHeight="1">
      <c r="B395" s="385"/>
    </row>
    <row r="396" spans="2:2" ht="14.25" customHeight="1">
      <c r="B396" s="385"/>
    </row>
    <row r="397" spans="2:2" ht="14.25" customHeight="1">
      <c r="B397" s="385"/>
    </row>
    <row r="398" spans="2:2" ht="14.25" customHeight="1">
      <c r="B398" s="385"/>
    </row>
    <row r="399" spans="2:2" ht="14.25" customHeight="1">
      <c r="B399" s="385"/>
    </row>
    <row r="400" spans="2:2" ht="14.25" customHeight="1">
      <c r="B400" s="385"/>
    </row>
    <row r="401" spans="2:2" ht="14.25" customHeight="1">
      <c r="B401" s="385"/>
    </row>
    <row r="402" spans="2:2" ht="14.25" customHeight="1">
      <c r="B402" s="385"/>
    </row>
    <row r="403" spans="2:2" ht="14.25" customHeight="1">
      <c r="B403" s="385"/>
    </row>
    <row r="404" spans="2:2" ht="14.25" customHeight="1">
      <c r="B404" s="385"/>
    </row>
    <row r="405" spans="2:2" ht="14.25" customHeight="1">
      <c r="B405" s="385"/>
    </row>
    <row r="406" spans="2:2" ht="14.25" customHeight="1">
      <c r="B406" s="385"/>
    </row>
    <row r="407" spans="2:2" ht="14.25" customHeight="1">
      <c r="B407" s="385"/>
    </row>
    <row r="408" spans="2:2" ht="14.25" customHeight="1">
      <c r="B408" s="385"/>
    </row>
    <row r="409" spans="2:2" ht="14.25" customHeight="1">
      <c r="B409" s="385"/>
    </row>
    <row r="410" spans="2:2" ht="14.25" customHeight="1">
      <c r="B410" s="385"/>
    </row>
    <row r="411" spans="2:2" ht="14.25" customHeight="1">
      <c r="B411" s="385"/>
    </row>
    <row r="412" spans="2:2" ht="14.25" customHeight="1">
      <c r="B412" s="385"/>
    </row>
    <row r="413" spans="2:2" ht="14.25" customHeight="1">
      <c r="B413" s="385"/>
    </row>
    <row r="414" spans="2:2" ht="14.25" customHeight="1">
      <c r="B414" s="385"/>
    </row>
    <row r="415" spans="2:2" ht="14.25" customHeight="1">
      <c r="B415" s="385"/>
    </row>
    <row r="416" spans="2:2" ht="14.25" customHeight="1">
      <c r="B416" s="385"/>
    </row>
    <row r="417" spans="2:2" ht="14.25" customHeight="1">
      <c r="B417" s="385"/>
    </row>
    <row r="418" spans="2:2" ht="14.25" customHeight="1">
      <c r="B418" s="385"/>
    </row>
    <row r="419" spans="2:2" ht="14.25" customHeight="1">
      <c r="B419" s="385"/>
    </row>
    <row r="420" spans="2:2" ht="14.25" customHeight="1">
      <c r="B420" s="385"/>
    </row>
    <row r="421" spans="2:2" ht="14.25" customHeight="1">
      <c r="B421" s="385"/>
    </row>
    <row r="422" spans="2:2" ht="14.25" customHeight="1">
      <c r="B422" s="385"/>
    </row>
    <row r="423" spans="2:2" ht="14.25" customHeight="1">
      <c r="B423" s="385"/>
    </row>
    <row r="424" spans="2:2" ht="14.25" customHeight="1">
      <c r="B424" s="385"/>
    </row>
    <row r="425" spans="2:2" ht="14.25" customHeight="1">
      <c r="B425" s="385"/>
    </row>
    <row r="426" spans="2:2" ht="14.25" customHeight="1">
      <c r="B426" s="385"/>
    </row>
    <row r="427" spans="2:2" ht="14.25" customHeight="1">
      <c r="B427" s="385"/>
    </row>
    <row r="428" spans="2:2" ht="14.25" customHeight="1">
      <c r="B428" s="385"/>
    </row>
    <row r="429" spans="2:2" ht="14.25" customHeight="1">
      <c r="B429" s="385"/>
    </row>
    <row r="430" spans="2:2" ht="14.25" customHeight="1">
      <c r="B430" s="385"/>
    </row>
    <row r="431" spans="2:2" ht="14.25" customHeight="1">
      <c r="B431" s="385"/>
    </row>
    <row r="432" spans="2:2" ht="14.25" customHeight="1">
      <c r="B432" s="385"/>
    </row>
    <row r="433" spans="2:2" ht="14.25" customHeight="1">
      <c r="B433" s="385"/>
    </row>
    <row r="434" spans="2:2" ht="14.25" customHeight="1">
      <c r="B434" s="385"/>
    </row>
    <row r="435" spans="2:2" ht="14.25" customHeight="1">
      <c r="B435" s="385"/>
    </row>
    <row r="436" spans="2:2" ht="14.25" customHeight="1">
      <c r="B436" s="385"/>
    </row>
    <row r="437" spans="2:2" ht="14.25" customHeight="1">
      <c r="B437" s="385"/>
    </row>
    <row r="438" spans="2:2" ht="14.25" customHeight="1">
      <c r="B438" s="385"/>
    </row>
    <row r="439" spans="2:2" ht="14.25" customHeight="1">
      <c r="B439" s="385"/>
    </row>
    <row r="440" spans="2:2" ht="14.25" customHeight="1">
      <c r="B440" s="385"/>
    </row>
    <row r="441" spans="2:2" ht="14.25" customHeight="1">
      <c r="B441" s="385"/>
    </row>
    <row r="442" spans="2:2" ht="14.25" customHeight="1">
      <c r="B442" s="385"/>
    </row>
    <row r="443" spans="2:2" ht="14.25" customHeight="1">
      <c r="B443" s="385"/>
    </row>
    <row r="444" spans="2:2" ht="14.25" customHeight="1">
      <c r="B444" s="385"/>
    </row>
    <row r="445" spans="2:2" ht="14.25" customHeight="1">
      <c r="B445" s="385"/>
    </row>
    <row r="446" spans="2:2" ht="14.25" customHeight="1">
      <c r="B446" s="385"/>
    </row>
    <row r="447" spans="2:2" ht="14.25" customHeight="1">
      <c r="B447" s="385"/>
    </row>
    <row r="448" spans="2:2" ht="14.25" customHeight="1">
      <c r="B448" s="385"/>
    </row>
    <row r="449" spans="2:2" ht="14.25" customHeight="1">
      <c r="B449" s="385"/>
    </row>
    <row r="450" spans="2:2" ht="14.25" customHeight="1">
      <c r="B450" s="385"/>
    </row>
    <row r="451" spans="2:2" ht="14.25" customHeight="1">
      <c r="B451" s="385"/>
    </row>
    <row r="452" spans="2:2" ht="14.25" customHeight="1">
      <c r="B452" s="385"/>
    </row>
    <row r="453" spans="2:2" ht="14.25" customHeight="1">
      <c r="B453" s="385"/>
    </row>
    <row r="454" spans="2:2" ht="14.25" customHeight="1">
      <c r="B454" s="385"/>
    </row>
    <row r="455" spans="2:2" ht="14.25" customHeight="1">
      <c r="B455" s="385"/>
    </row>
    <row r="456" spans="2:2" ht="14.25" customHeight="1">
      <c r="B456" s="385"/>
    </row>
    <row r="457" spans="2:2" ht="14.25" customHeight="1">
      <c r="B457" s="385"/>
    </row>
    <row r="458" spans="2:2" ht="14.25" customHeight="1">
      <c r="B458" s="385"/>
    </row>
    <row r="459" spans="2:2" ht="14.25" customHeight="1">
      <c r="B459" s="385"/>
    </row>
    <row r="460" spans="2:2" ht="14.25" customHeight="1">
      <c r="B460" s="385"/>
    </row>
    <row r="461" spans="2:2" ht="14.25" customHeight="1">
      <c r="B461" s="385"/>
    </row>
    <row r="462" spans="2:2" ht="14.25" customHeight="1">
      <c r="B462" s="385"/>
    </row>
    <row r="463" spans="2:2" ht="14.25" customHeight="1">
      <c r="B463" s="385"/>
    </row>
    <row r="464" spans="2:2" ht="14.25" customHeight="1">
      <c r="B464" s="385"/>
    </row>
    <row r="465" spans="2:2" ht="14.25" customHeight="1">
      <c r="B465" s="385"/>
    </row>
    <row r="466" spans="2:2" ht="14.25" customHeight="1">
      <c r="B466" s="385"/>
    </row>
    <row r="467" spans="2:2" ht="14.25" customHeight="1">
      <c r="B467" s="385"/>
    </row>
    <row r="468" spans="2:2" ht="14.25" customHeight="1">
      <c r="B468" s="385"/>
    </row>
    <row r="469" spans="2:2" ht="14.25" customHeight="1">
      <c r="B469" s="385"/>
    </row>
    <row r="470" spans="2:2" ht="14.25" customHeight="1">
      <c r="B470" s="385"/>
    </row>
    <row r="471" spans="2:2" ht="14.25" customHeight="1">
      <c r="B471" s="385"/>
    </row>
    <row r="472" spans="2:2" ht="14.25" customHeight="1">
      <c r="B472" s="385"/>
    </row>
    <row r="473" spans="2:2" ht="14.25" customHeight="1">
      <c r="B473" s="385"/>
    </row>
    <row r="474" spans="2:2" ht="14.25" customHeight="1">
      <c r="B474" s="385"/>
    </row>
    <row r="475" spans="2:2" ht="14.25" customHeight="1">
      <c r="B475" s="385"/>
    </row>
    <row r="476" spans="2:2" ht="14.25" customHeight="1">
      <c r="B476" s="385"/>
    </row>
    <row r="477" spans="2:2" ht="14.25" customHeight="1">
      <c r="B477" s="385"/>
    </row>
    <row r="478" spans="2:2" ht="14.25" customHeight="1">
      <c r="B478" s="385"/>
    </row>
    <row r="479" spans="2:2" ht="14.25" customHeight="1">
      <c r="B479" s="385"/>
    </row>
    <row r="480" spans="2:2" ht="14.25" customHeight="1">
      <c r="B480" s="385"/>
    </row>
    <row r="481" spans="2:2" ht="14.25" customHeight="1">
      <c r="B481" s="385"/>
    </row>
    <row r="482" spans="2:2" ht="14.25" customHeight="1">
      <c r="B482" s="385"/>
    </row>
    <row r="483" spans="2:2" ht="14.25" customHeight="1">
      <c r="B483" s="385"/>
    </row>
    <row r="484" spans="2:2" ht="14.25" customHeight="1">
      <c r="B484" s="385"/>
    </row>
    <row r="485" spans="2:2" ht="14.25" customHeight="1">
      <c r="B485" s="385"/>
    </row>
    <row r="486" spans="2:2" ht="14.25" customHeight="1">
      <c r="B486" s="385"/>
    </row>
    <row r="487" spans="2:2" ht="14.25" customHeight="1">
      <c r="B487" s="385"/>
    </row>
    <row r="488" spans="2:2" ht="14.25" customHeight="1">
      <c r="B488" s="385"/>
    </row>
    <row r="489" spans="2:2" ht="14.25" customHeight="1">
      <c r="B489" s="385"/>
    </row>
    <row r="490" spans="2:2" ht="14.25" customHeight="1">
      <c r="B490" s="385"/>
    </row>
    <row r="491" spans="2:2" ht="14.25" customHeight="1">
      <c r="B491" s="385"/>
    </row>
    <row r="492" spans="2:2" ht="14.25" customHeight="1">
      <c r="B492" s="385"/>
    </row>
    <row r="493" spans="2:2" ht="14.25" customHeight="1">
      <c r="B493" s="385"/>
    </row>
    <row r="494" spans="2:2" ht="14.25" customHeight="1">
      <c r="B494" s="385"/>
    </row>
    <row r="495" spans="2:2" ht="14.25" customHeight="1">
      <c r="B495" s="385"/>
    </row>
    <row r="496" spans="2:2" ht="14.25" customHeight="1">
      <c r="B496" s="385"/>
    </row>
    <row r="497" spans="2:2" ht="14.25" customHeight="1">
      <c r="B497" s="385"/>
    </row>
    <row r="498" spans="2:2" ht="14.25" customHeight="1">
      <c r="B498" s="385"/>
    </row>
    <row r="499" spans="2:2" ht="14.25" customHeight="1">
      <c r="B499" s="385"/>
    </row>
    <row r="500" spans="2:2" ht="14.25" customHeight="1">
      <c r="B500" s="385"/>
    </row>
    <row r="501" spans="2:2" ht="14.25" customHeight="1">
      <c r="B501" s="385"/>
    </row>
    <row r="502" spans="2:2" ht="14.25" customHeight="1">
      <c r="B502" s="385"/>
    </row>
    <row r="503" spans="2:2" ht="14.25" customHeight="1">
      <c r="B503" s="385"/>
    </row>
    <row r="504" spans="2:2" ht="14.25" customHeight="1">
      <c r="B504" s="385"/>
    </row>
    <row r="505" spans="2:2" ht="14.25" customHeight="1">
      <c r="B505" s="385"/>
    </row>
    <row r="506" spans="2:2" ht="14.25" customHeight="1">
      <c r="B506" s="385"/>
    </row>
    <row r="507" spans="2:2" ht="14.25" customHeight="1">
      <c r="B507" s="385"/>
    </row>
    <row r="508" spans="2:2" ht="14.25" customHeight="1">
      <c r="B508" s="385"/>
    </row>
    <row r="509" spans="2:2" ht="14.25" customHeight="1">
      <c r="B509" s="385"/>
    </row>
    <row r="510" spans="2:2" ht="14.25" customHeight="1">
      <c r="B510" s="385"/>
    </row>
    <row r="511" spans="2:2" ht="14.25" customHeight="1">
      <c r="B511" s="385"/>
    </row>
    <row r="512" spans="2:2" ht="14.25" customHeight="1">
      <c r="B512" s="385"/>
    </row>
    <row r="513" spans="2:2" ht="14.25" customHeight="1">
      <c r="B513" s="385"/>
    </row>
    <row r="514" spans="2:2" ht="14.25" customHeight="1">
      <c r="B514" s="385"/>
    </row>
    <row r="515" spans="2:2" ht="14.25" customHeight="1">
      <c r="B515" s="385"/>
    </row>
    <row r="516" spans="2:2" ht="14.25" customHeight="1">
      <c r="B516" s="385"/>
    </row>
    <row r="517" spans="2:2" ht="14.25" customHeight="1">
      <c r="B517" s="385"/>
    </row>
    <row r="518" spans="2:2" ht="14.25" customHeight="1">
      <c r="B518" s="385"/>
    </row>
    <row r="519" spans="2:2" ht="14.25" customHeight="1">
      <c r="B519" s="385"/>
    </row>
    <row r="520" spans="2:2" ht="14.25" customHeight="1">
      <c r="B520" s="385"/>
    </row>
    <row r="521" spans="2:2" ht="14.25" customHeight="1">
      <c r="B521" s="385"/>
    </row>
    <row r="522" spans="2:2" ht="14.25" customHeight="1">
      <c r="B522" s="385"/>
    </row>
    <row r="523" spans="2:2" ht="14.25" customHeight="1">
      <c r="B523" s="385"/>
    </row>
    <row r="524" spans="2:2" ht="14.25" customHeight="1">
      <c r="B524" s="385"/>
    </row>
    <row r="525" spans="2:2" ht="14.25" customHeight="1">
      <c r="B525" s="385"/>
    </row>
    <row r="526" spans="2:2" ht="14.25" customHeight="1">
      <c r="B526" s="385"/>
    </row>
    <row r="527" spans="2:2" ht="14.25" customHeight="1">
      <c r="B527" s="385"/>
    </row>
    <row r="528" spans="2:2" ht="14.25" customHeight="1">
      <c r="B528" s="385"/>
    </row>
    <row r="529" spans="2:2" ht="14.25" customHeight="1">
      <c r="B529" s="385"/>
    </row>
    <row r="530" spans="2:2" ht="14.25" customHeight="1">
      <c r="B530" s="385"/>
    </row>
    <row r="531" spans="2:2" ht="14.25" customHeight="1">
      <c r="B531" s="385"/>
    </row>
    <row r="532" spans="2:2" ht="14.25" customHeight="1">
      <c r="B532" s="385"/>
    </row>
    <row r="533" spans="2:2" ht="14.25" customHeight="1">
      <c r="B533" s="385"/>
    </row>
    <row r="534" spans="2:2" ht="14.25" customHeight="1">
      <c r="B534" s="385"/>
    </row>
    <row r="535" spans="2:2" ht="14.25" customHeight="1">
      <c r="B535" s="385"/>
    </row>
    <row r="536" spans="2:2" ht="14.25" customHeight="1">
      <c r="B536" s="385"/>
    </row>
    <row r="537" spans="2:2" ht="14.25" customHeight="1">
      <c r="B537" s="385"/>
    </row>
    <row r="538" spans="2:2" ht="14.25" customHeight="1">
      <c r="B538" s="385"/>
    </row>
    <row r="539" spans="2:2" ht="14.25" customHeight="1">
      <c r="B539" s="385"/>
    </row>
    <row r="540" spans="2:2" ht="14.25" customHeight="1">
      <c r="B540" s="385"/>
    </row>
    <row r="541" spans="2:2" ht="14.25" customHeight="1">
      <c r="B541" s="385"/>
    </row>
    <row r="542" spans="2:2" ht="14.25" customHeight="1">
      <c r="B542" s="385"/>
    </row>
    <row r="543" spans="2:2" ht="14.25" customHeight="1">
      <c r="B543" s="385"/>
    </row>
    <row r="544" spans="2:2" ht="14.25" customHeight="1">
      <c r="B544" s="385"/>
    </row>
    <row r="545" spans="2:2" ht="14.25" customHeight="1">
      <c r="B545" s="385"/>
    </row>
    <row r="546" spans="2:2" ht="14.25" customHeight="1">
      <c r="B546" s="385"/>
    </row>
    <row r="547" spans="2:2" ht="14.25" customHeight="1">
      <c r="B547" s="385"/>
    </row>
    <row r="548" spans="2:2" ht="14.25" customHeight="1">
      <c r="B548" s="385"/>
    </row>
    <row r="549" spans="2:2" ht="14.25" customHeight="1">
      <c r="B549" s="385"/>
    </row>
    <row r="550" spans="2:2" ht="14.25" customHeight="1">
      <c r="B550" s="385"/>
    </row>
    <row r="551" spans="2:2" ht="14.25" customHeight="1">
      <c r="B551" s="385"/>
    </row>
    <row r="552" spans="2:2" ht="14.25" customHeight="1">
      <c r="B552" s="385"/>
    </row>
    <row r="553" spans="2:2" ht="14.25" customHeight="1">
      <c r="B553" s="385"/>
    </row>
    <row r="554" spans="2:2" ht="14.25" customHeight="1">
      <c r="B554" s="385"/>
    </row>
    <row r="555" spans="2:2" ht="14.25" customHeight="1">
      <c r="B555" s="385"/>
    </row>
    <row r="556" spans="2:2" ht="14.25" customHeight="1">
      <c r="B556" s="385"/>
    </row>
    <row r="557" spans="2:2" ht="14.25" customHeight="1">
      <c r="B557" s="385"/>
    </row>
    <row r="558" spans="2:2" ht="14.25" customHeight="1">
      <c r="B558" s="385"/>
    </row>
    <row r="559" spans="2:2" ht="14.25" customHeight="1">
      <c r="B559" s="385"/>
    </row>
    <row r="560" spans="2:2" ht="14.25" customHeight="1">
      <c r="B560" s="385"/>
    </row>
    <row r="561" spans="2:2" ht="14.25" customHeight="1">
      <c r="B561" s="385"/>
    </row>
    <row r="562" spans="2:2" ht="14.25" customHeight="1">
      <c r="B562" s="385"/>
    </row>
    <row r="563" spans="2:2" ht="14.25" customHeight="1">
      <c r="B563" s="385"/>
    </row>
    <row r="564" spans="2:2" ht="14.25" customHeight="1">
      <c r="B564" s="385"/>
    </row>
    <row r="565" spans="2:2" ht="14.25" customHeight="1">
      <c r="B565" s="385"/>
    </row>
    <row r="566" spans="2:2" ht="14.25" customHeight="1">
      <c r="B566" s="385"/>
    </row>
    <row r="567" spans="2:2" ht="14.25" customHeight="1">
      <c r="B567" s="385"/>
    </row>
    <row r="568" spans="2:2" ht="14.25" customHeight="1">
      <c r="B568" s="385"/>
    </row>
    <row r="569" spans="2:2" ht="14.25" customHeight="1">
      <c r="B569" s="385"/>
    </row>
    <row r="570" spans="2:2" ht="14.25" customHeight="1">
      <c r="B570" s="385"/>
    </row>
    <row r="571" spans="2:2" ht="14.25" customHeight="1">
      <c r="B571" s="385"/>
    </row>
    <row r="572" spans="2:2" ht="14.25" customHeight="1">
      <c r="B572" s="385"/>
    </row>
    <row r="573" spans="2:2" ht="14.25" customHeight="1">
      <c r="B573" s="385"/>
    </row>
    <row r="574" spans="2:2" ht="14.25" customHeight="1">
      <c r="B574" s="385"/>
    </row>
    <row r="575" spans="2:2" ht="14.25" customHeight="1">
      <c r="B575" s="385"/>
    </row>
    <row r="576" spans="2:2" ht="14.25" customHeight="1">
      <c r="B576" s="385"/>
    </row>
    <row r="577" spans="2:2" ht="14.25" customHeight="1">
      <c r="B577" s="385"/>
    </row>
    <row r="578" spans="2:2" ht="14.25" customHeight="1">
      <c r="B578" s="385"/>
    </row>
    <row r="579" spans="2:2" ht="14.25" customHeight="1">
      <c r="B579" s="385"/>
    </row>
    <row r="580" spans="2:2" ht="14.25" customHeight="1">
      <c r="B580" s="385"/>
    </row>
    <row r="581" spans="2:2" ht="14.25" customHeight="1">
      <c r="B581" s="385"/>
    </row>
    <row r="582" spans="2:2" ht="14.25" customHeight="1">
      <c r="B582" s="385"/>
    </row>
    <row r="583" spans="2:2" ht="14.25" customHeight="1">
      <c r="B583" s="385"/>
    </row>
    <row r="584" spans="2:2" ht="14.25" customHeight="1">
      <c r="B584" s="385"/>
    </row>
    <row r="585" spans="2:2" ht="14.25" customHeight="1">
      <c r="B585" s="385"/>
    </row>
    <row r="586" spans="2:2" ht="14.25" customHeight="1">
      <c r="B586" s="385"/>
    </row>
    <row r="587" spans="2:2" ht="14.25" customHeight="1">
      <c r="B587" s="385"/>
    </row>
    <row r="588" spans="2:2" ht="14.25" customHeight="1">
      <c r="B588" s="385"/>
    </row>
    <row r="589" spans="2:2" ht="14.25" customHeight="1">
      <c r="B589" s="385"/>
    </row>
    <row r="590" spans="2:2" ht="14.25" customHeight="1">
      <c r="B590" s="385"/>
    </row>
    <row r="591" spans="2:2" ht="14.25" customHeight="1">
      <c r="B591" s="385"/>
    </row>
    <row r="592" spans="2:2" ht="14.25" customHeight="1">
      <c r="B592" s="385"/>
    </row>
    <row r="593" spans="2:2" ht="14.25" customHeight="1">
      <c r="B593" s="385"/>
    </row>
    <row r="594" spans="2:2" ht="14.25" customHeight="1">
      <c r="B594" s="385"/>
    </row>
    <row r="595" spans="2:2" ht="14.25" customHeight="1">
      <c r="B595" s="385"/>
    </row>
    <row r="596" spans="2:2" ht="14.25" customHeight="1">
      <c r="B596" s="385"/>
    </row>
    <row r="597" spans="2:2" ht="14.25" customHeight="1">
      <c r="B597" s="385"/>
    </row>
    <row r="598" spans="2:2" ht="14.25" customHeight="1">
      <c r="B598" s="385"/>
    </row>
    <row r="599" spans="2:2" ht="14.25" customHeight="1">
      <c r="B599" s="385"/>
    </row>
    <row r="600" spans="2:2" ht="14.25" customHeight="1">
      <c r="B600" s="385"/>
    </row>
    <row r="601" spans="2:2" ht="14.25" customHeight="1">
      <c r="B601" s="385"/>
    </row>
    <row r="602" spans="2:2" ht="14.25" customHeight="1">
      <c r="B602" s="385"/>
    </row>
    <row r="603" spans="2:2" ht="14.25" customHeight="1">
      <c r="B603" s="385"/>
    </row>
    <row r="604" spans="2:2" ht="14.25" customHeight="1">
      <c r="B604" s="385"/>
    </row>
    <row r="605" spans="2:2" ht="14.25" customHeight="1">
      <c r="B605" s="385"/>
    </row>
    <row r="606" spans="2:2" ht="14.25" customHeight="1">
      <c r="B606" s="385"/>
    </row>
    <row r="607" spans="2:2" ht="14.25" customHeight="1">
      <c r="B607" s="385"/>
    </row>
    <row r="608" spans="2:2" ht="14.25" customHeight="1">
      <c r="B608" s="385"/>
    </row>
    <row r="609" spans="2:2" ht="14.25" customHeight="1">
      <c r="B609" s="385"/>
    </row>
    <row r="610" spans="2:2" ht="14.25" customHeight="1">
      <c r="B610" s="385"/>
    </row>
    <row r="611" spans="2:2" ht="14.25" customHeight="1">
      <c r="B611" s="385"/>
    </row>
    <row r="612" spans="2:2" ht="14.25" customHeight="1">
      <c r="B612" s="385"/>
    </row>
    <row r="613" spans="2:2" ht="14.25" customHeight="1">
      <c r="B613" s="385"/>
    </row>
    <row r="614" spans="2:2" ht="14.25" customHeight="1">
      <c r="B614" s="385"/>
    </row>
    <row r="615" spans="2:2" ht="14.25" customHeight="1">
      <c r="B615" s="385"/>
    </row>
    <row r="616" spans="2:2" ht="14.25" customHeight="1">
      <c r="B616" s="385"/>
    </row>
    <row r="617" spans="2:2" ht="14.25" customHeight="1">
      <c r="B617" s="385"/>
    </row>
    <row r="618" spans="2:2" ht="14.25" customHeight="1">
      <c r="B618" s="385"/>
    </row>
    <row r="619" spans="2:2" ht="14.25" customHeight="1">
      <c r="B619" s="385"/>
    </row>
    <row r="620" spans="2:2" ht="14.25" customHeight="1">
      <c r="B620" s="385"/>
    </row>
    <row r="621" spans="2:2" ht="14.25" customHeight="1">
      <c r="B621" s="385"/>
    </row>
    <row r="622" spans="2:2" ht="14.25" customHeight="1">
      <c r="B622" s="385"/>
    </row>
    <row r="623" spans="2:2" ht="14.25" customHeight="1">
      <c r="B623" s="385"/>
    </row>
    <row r="624" spans="2:2" ht="14.25" customHeight="1">
      <c r="B624" s="385"/>
    </row>
    <row r="625" spans="2:2" ht="14.25" customHeight="1">
      <c r="B625" s="385"/>
    </row>
    <row r="626" spans="2:2" ht="14.25" customHeight="1">
      <c r="B626" s="385"/>
    </row>
    <row r="627" spans="2:2" ht="14.25" customHeight="1">
      <c r="B627" s="385"/>
    </row>
    <row r="628" spans="2:2" ht="14.25" customHeight="1">
      <c r="B628" s="385"/>
    </row>
    <row r="629" spans="2:2" ht="14.25" customHeight="1">
      <c r="B629" s="385"/>
    </row>
    <row r="630" spans="2:2" ht="14.25" customHeight="1">
      <c r="B630" s="385"/>
    </row>
    <row r="631" spans="2:2" ht="14.25" customHeight="1">
      <c r="B631" s="385"/>
    </row>
    <row r="632" spans="2:2" ht="14.25" customHeight="1">
      <c r="B632" s="385"/>
    </row>
    <row r="633" spans="2:2" ht="14.25" customHeight="1">
      <c r="B633" s="385"/>
    </row>
    <row r="634" spans="2:2" ht="14.25" customHeight="1">
      <c r="B634" s="385"/>
    </row>
    <row r="635" spans="2:2" ht="14.25" customHeight="1">
      <c r="B635" s="385"/>
    </row>
    <row r="636" spans="2:2" ht="14.25" customHeight="1">
      <c r="B636" s="385"/>
    </row>
    <row r="637" spans="2:2" ht="14.25" customHeight="1">
      <c r="B637" s="385"/>
    </row>
    <row r="638" spans="2:2" ht="14.25" customHeight="1">
      <c r="B638" s="385"/>
    </row>
    <row r="639" spans="2:2" ht="14.25" customHeight="1">
      <c r="B639" s="385"/>
    </row>
    <row r="640" spans="2:2" ht="14.25" customHeight="1">
      <c r="B640" s="385"/>
    </row>
    <row r="641" spans="2:2" ht="14.25" customHeight="1">
      <c r="B641" s="385"/>
    </row>
    <row r="642" spans="2:2" ht="14.25" customHeight="1">
      <c r="B642" s="385"/>
    </row>
    <row r="643" spans="2:2" ht="14.25" customHeight="1">
      <c r="B643" s="385"/>
    </row>
    <row r="644" spans="2:2" ht="14.25" customHeight="1">
      <c r="B644" s="385"/>
    </row>
    <row r="645" spans="2:2" ht="14.25" customHeight="1">
      <c r="B645" s="385"/>
    </row>
    <row r="646" spans="2:2" ht="14.25" customHeight="1">
      <c r="B646" s="385"/>
    </row>
    <row r="647" spans="2:2" ht="14.25" customHeight="1">
      <c r="B647" s="385"/>
    </row>
    <row r="648" spans="2:2" ht="14.25" customHeight="1">
      <c r="B648" s="385"/>
    </row>
    <row r="649" spans="2:2" ht="14.25" customHeight="1">
      <c r="B649" s="385"/>
    </row>
    <row r="650" spans="2:2" ht="14.25" customHeight="1">
      <c r="B650" s="385"/>
    </row>
    <row r="651" spans="2:2" ht="14.25" customHeight="1">
      <c r="B651" s="385"/>
    </row>
    <row r="652" spans="2:2" ht="14.25" customHeight="1">
      <c r="B652" s="385"/>
    </row>
    <row r="653" spans="2:2" ht="14.25" customHeight="1">
      <c r="B653" s="385"/>
    </row>
    <row r="654" spans="2:2" ht="14.25" customHeight="1">
      <c r="B654" s="385"/>
    </row>
    <row r="655" spans="2:2" ht="14.25" customHeight="1">
      <c r="B655" s="385"/>
    </row>
    <row r="656" spans="2:2" ht="14.25" customHeight="1">
      <c r="B656" s="385"/>
    </row>
    <row r="657" spans="2:2" ht="14.25" customHeight="1">
      <c r="B657" s="385"/>
    </row>
    <row r="658" spans="2:2" ht="14.25" customHeight="1">
      <c r="B658" s="385"/>
    </row>
    <row r="659" spans="2:2" ht="14.25" customHeight="1">
      <c r="B659" s="385"/>
    </row>
    <row r="660" spans="2:2" ht="14.25" customHeight="1">
      <c r="B660" s="385"/>
    </row>
    <row r="661" spans="2:2" ht="14.25" customHeight="1">
      <c r="B661" s="385"/>
    </row>
    <row r="662" spans="2:2" ht="14.25" customHeight="1">
      <c r="B662" s="385"/>
    </row>
    <row r="663" spans="2:2" ht="14.25" customHeight="1">
      <c r="B663" s="385"/>
    </row>
    <row r="664" spans="2:2" ht="14.25" customHeight="1">
      <c r="B664" s="385"/>
    </row>
    <row r="665" spans="2:2" ht="14.25" customHeight="1">
      <c r="B665" s="385"/>
    </row>
    <row r="666" spans="2:2" ht="14.25" customHeight="1">
      <c r="B666" s="385"/>
    </row>
    <row r="667" spans="2:2" ht="14.25" customHeight="1">
      <c r="B667" s="385"/>
    </row>
    <row r="668" spans="2:2" ht="14.25" customHeight="1">
      <c r="B668" s="385"/>
    </row>
    <row r="669" spans="2:2" ht="14.25" customHeight="1">
      <c r="B669" s="385"/>
    </row>
    <row r="670" spans="2:2" ht="14.25" customHeight="1">
      <c r="B670" s="385"/>
    </row>
    <row r="671" spans="2:2" ht="14.25" customHeight="1">
      <c r="B671" s="385"/>
    </row>
    <row r="672" spans="2:2" ht="14.25" customHeight="1">
      <c r="B672" s="385"/>
    </row>
    <row r="673" spans="2:2" ht="14.25" customHeight="1">
      <c r="B673" s="385"/>
    </row>
    <row r="674" spans="2:2" ht="14.25" customHeight="1">
      <c r="B674" s="385"/>
    </row>
    <row r="675" spans="2:2" ht="14.25" customHeight="1">
      <c r="B675" s="385"/>
    </row>
    <row r="676" spans="2:2" ht="14.25" customHeight="1">
      <c r="B676" s="385"/>
    </row>
    <row r="677" spans="2:2" ht="14.25" customHeight="1">
      <c r="B677" s="385"/>
    </row>
    <row r="678" spans="2:2" ht="14.25" customHeight="1">
      <c r="B678" s="385"/>
    </row>
    <row r="679" spans="2:2" ht="14.25" customHeight="1">
      <c r="B679" s="385"/>
    </row>
    <row r="680" spans="2:2" ht="14.25" customHeight="1">
      <c r="B680" s="385"/>
    </row>
    <row r="681" spans="2:2" ht="14.25" customHeight="1">
      <c r="B681" s="385"/>
    </row>
    <row r="682" spans="2:2" ht="14.25" customHeight="1">
      <c r="B682" s="385"/>
    </row>
    <row r="683" spans="2:2" ht="14.25" customHeight="1">
      <c r="B683" s="385"/>
    </row>
    <row r="684" spans="2:2" ht="14.25" customHeight="1">
      <c r="B684" s="385"/>
    </row>
    <row r="685" spans="2:2" ht="14.25" customHeight="1">
      <c r="B685" s="385"/>
    </row>
    <row r="686" spans="2:2" ht="14.25" customHeight="1">
      <c r="B686" s="385"/>
    </row>
    <row r="687" spans="2:2" ht="14.25" customHeight="1">
      <c r="B687" s="385"/>
    </row>
    <row r="688" spans="2:2" ht="14.25" customHeight="1">
      <c r="B688" s="385"/>
    </row>
    <row r="689" spans="2:2" ht="14.25" customHeight="1">
      <c r="B689" s="385"/>
    </row>
    <row r="690" spans="2:2" ht="14.25" customHeight="1">
      <c r="B690" s="385"/>
    </row>
    <row r="691" spans="2:2" ht="14.25" customHeight="1">
      <c r="B691" s="385"/>
    </row>
    <row r="692" spans="2:2" ht="14.25" customHeight="1">
      <c r="B692" s="385"/>
    </row>
    <row r="693" spans="2:2" ht="14.25" customHeight="1">
      <c r="B693" s="385"/>
    </row>
    <row r="694" spans="2:2" ht="14.25" customHeight="1">
      <c r="B694" s="385"/>
    </row>
    <row r="695" spans="2:2" ht="14.25" customHeight="1">
      <c r="B695" s="385"/>
    </row>
    <row r="696" spans="2:2" ht="14.25" customHeight="1">
      <c r="B696" s="385"/>
    </row>
    <row r="697" spans="2:2" ht="14.25" customHeight="1">
      <c r="B697" s="385"/>
    </row>
    <row r="698" spans="2:2" ht="14.25" customHeight="1">
      <c r="B698" s="385"/>
    </row>
    <row r="699" spans="2:2" ht="14.25" customHeight="1">
      <c r="B699" s="385"/>
    </row>
    <row r="700" spans="2:2" ht="14.25" customHeight="1">
      <c r="B700" s="385"/>
    </row>
    <row r="701" spans="2:2" ht="14.25" customHeight="1">
      <c r="B701" s="385"/>
    </row>
    <row r="702" spans="2:2" ht="14.25" customHeight="1">
      <c r="B702" s="385"/>
    </row>
    <row r="703" spans="2:2" ht="14.25" customHeight="1">
      <c r="B703" s="385"/>
    </row>
    <row r="704" spans="2:2" ht="14.25" customHeight="1">
      <c r="B704" s="385"/>
    </row>
    <row r="705" spans="2:2" ht="14.25" customHeight="1">
      <c r="B705" s="385"/>
    </row>
    <row r="706" spans="2:2" ht="14.25" customHeight="1">
      <c r="B706" s="385"/>
    </row>
    <row r="707" spans="2:2" ht="14.25" customHeight="1">
      <c r="B707" s="385"/>
    </row>
    <row r="708" spans="2:2" ht="14.25" customHeight="1">
      <c r="B708" s="385"/>
    </row>
    <row r="709" spans="2:2" ht="14.25" customHeight="1">
      <c r="B709" s="385"/>
    </row>
    <row r="710" spans="2:2" ht="14.25" customHeight="1">
      <c r="B710" s="385"/>
    </row>
    <row r="711" spans="2:2" ht="14.25" customHeight="1">
      <c r="B711" s="385"/>
    </row>
    <row r="712" spans="2:2" ht="14.25" customHeight="1">
      <c r="B712" s="385"/>
    </row>
    <row r="713" spans="2:2" ht="14.25" customHeight="1">
      <c r="B713" s="385"/>
    </row>
    <row r="714" spans="2:2" ht="14.25" customHeight="1">
      <c r="B714" s="385"/>
    </row>
    <row r="715" spans="2:2" ht="14.25" customHeight="1">
      <c r="B715" s="385"/>
    </row>
    <row r="716" spans="2:2" ht="14.25" customHeight="1">
      <c r="B716" s="385"/>
    </row>
    <row r="717" spans="2:2" ht="14.25" customHeight="1">
      <c r="B717" s="385"/>
    </row>
    <row r="718" spans="2:2" ht="14.25" customHeight="1">
      <c r="B718" s="385"/>
    </row>
    <row r="719" spans="2:2" ht="14.25" customHeight="1">
      <c r="B719" s="385"/>
    </row>
    <row r="720" spans="2:2" ht="14.25" customHeight="1">
      <c r="B720" s="385"/>
    </row>
    <row r="721" spans="2:2" ht="14.25" customHeight="1">
      <c r="B721" s="385"/>
    </row>
    <row r="722" spans="2:2" ht="14.25" customHeight="1">
      <c r="B722" s="385"/>
    </row>
    <row r="723" spans="2:2" ht="14.25" customHeight="1">
      <c r="B723" s="385"/>
    </row>
    <row r="724" spans="2:2" ht="14.25" customHeight="1">
      <c r="B724" s="385"/>
    </row>
    <row r="725" spans="2:2" ht="14.25" customHeight="1">
      <c r="B725" s="385"/>
    </row>
    <row r="726" spans="2:2" ht="14.25" customHeight="1">
      <c r="B726" s="385"/>
    </row>
    <row r="727" spans="2:2" ht="14.25" customHeight="1">
      <c r="B727" s="385"/>
    </row>
    <row r="728" spans="2:2" ht="14.25" customHeight="1">
      <c r="B728" s="385"/>
    </row>
    <row r="729" spans="2:2" ht="14.25" customHeight="1">
      <c r="B729" s="385"/>
    </row>
    <row r="730" spans="2:2" ht="14.25" customHeight="1">
      <c r="B730" s="385"/>
    </row>
    <row r="731" spans="2:2" ht="14.25" customHeight="1">
      <c r="B731" s="385"/>
    </row>
    <row r="732" spans="2:2" ht="14.25" customHeight="1">
      <c r="B732" s="385"/>
    </row>
    <row r="733" spans="2:2" ht="14.25" customHeight="1">
      <c r="B733" s="385"/>
    </row>
    <row r="734" spans="2:2" ht="14.25" customHeight="1">
      <c r="B734" s="385"/>
    </row>
    <row r="735" spans="2:2" ht="14.25" customHeight="1">
      <c r="B735" s="385"/>
    </row>
    <row r="736" spans="2:2" ht="14.25" customHeight="1">
      <c r="B736" s="385"/>
    </row>
    <row r="737" spans="2:2" ht="14.25" customHeight="1">
      <c r="B737" s="385"/>
    </row>
    <row r="738" spans="2:2" ht="14.25" customHeight="1">
      <c r="B738" s="385"/>
    </row>
    <row r="739" spans="2:2" ht="14.25" customHeight="1">
      <c r="B739" s="385"/>
    </row>
    <row r="740" spans="2:2" ht="14.25" customHeight="1">
      <c r="B740" s="385"/>
    </row>
    <row r="741" spans="2:2" ht="14.25" customHeight="1">
      <c r="B741" s="385"/>
    </row>
    <row r="742" spans="2:2" ht="14.25" customHeight="1">
      <c r="B742" s="385"/>
    </row>
    <row r="743" spans="2:2" ht="14.25" customHeight="1">
      <c r="B743" s="385"/>
    </row>
    <row r="744" spans="2:2" ht="14.25" customHeight="1">
      <c r="B744" s="385"/>
    </row>
    <row r="745" spans="2:2" ht="14.25" customHeight="1">
      <c r="B745" s="385"/>
    </row>
    <row r="746" spans="2:2" ht="14.25" customHeight="1">
      <c r="B746" s="385"/>
    </row>
    <row r="747" spans="2:2" ht="14.25" customHeight="1">
      <c r="B747" s="385"/>
    </row>
    <row r="748" spans="2:2" ht="14.25" customHeight="1">
      <c r="B748" s="385"/>
    </row>
    <row r="749" spans="2:2" ht="14.25" customHeight="1">
      <c r="B749" s="385"/>
    </row>
    <row r="750" spans="2:2" ht="14.25" customHeight="1">
      <c r="B750" s="385"/>
    </row>
    <row r="751" spans="2:2" ht="14.25" customHeight="1">
      <c r="B751" s="385"/>
    </row>
    <row r="752" spans="2:2" ht="14.25" customHeight="1">
      <c r="B752" s="385"/>
    </row>
    <row r="753" spans="2:2" ht="14.25" customHeight="1">
      <c r="B753" s="385"/>
    </row>
    <row r="754" spans="2:2" ht="14.25" customHeight="1">
      <c r="B754" s="385"/>
    </row>
    <row r="755" spans="2:2" ht="14.25" customHeight="1">
      <c r="B755" s="385"/>
    </row>
    <row r="756" spans="2:2" ht="14.25" customHeight="1">
      <c r="B756" s="385"/>
    </row>
    <row r="757" spans="2:2" ht="14.25" customHeight="1">
      <c r="B757" s="385"/>
    </row>
    <row r="758" spans="2:2" ht="14.25" customHeight="1">
      <c r="B758" s="385"/>
    </row>
    <row r="759" spans="2:2" ht="14.25" customHeight="1">
      <c r="B759" s="385"/>
    </row>
    <row r="760" spans="2:2" ht="14.25" customHeight="1">
      <c r="B760" s="385"/>
    </row>
    <row r="761" spans="2:2" ht="14.25" customHeight="1">
      <c r="B761" s="385"/>
    </row>
    <row r="762" spans="2:2" ht="14.25" customHeight="1">
      <c r="B762" s="385"/>
    </row>
    <row r="763" spans="2:2" ht="14.25" customHeight="1">
      <c r="B763" s="385"/>
    </row>
    <row r="764" spans="2:2" ht="14.25" customHeight="1">
      <c r="B764" s="385"/>
    </row>
    <row r="765" spans="2:2" ht="14.25" customHeight="1">
      <c r="B765" s="385"/>
    </row>
    <row r="766" spans="2:2" ht="14.25" customHeight="1">
      <c r="B766" s="385"/>
    </row>
    <row r="767" spans="2:2" ht="14.25" customHeight="1">
      <c r="B767" s="385"/>
    </row>
    <row r="768" spans="2:2" ht="14.25" customHeight="1">
      <c r="B768" s="385"/>
    </row>
    <row r="769" spans="2:2" ht="14.25" customHeight="1">
      <c r="B769" s="385"/>
    </row>
    <row r="770" spans="2:2" ht="14.25" customHeight="1">
      <c r="B770" s="385"/>
    </row>
    <row r="771" spans="2:2" ht="14.25" customHeight="1">
      <c r="B771" s="385"/>
    </row>
    <row r="772" spans="2:2" ht="14.25" customHeight="1">
      <c r="B772" s="385"/>
    </row>
    <row r="773" spans="2:2" ht="14.25" customHeight="1">
      <c r="B773" s="385"/>
    </row>
    <row r="774" spans="2:2" ht="14.25" customHeight="1">
      <c r="B774" s="385"/>
    </row>
    <row r="775" spans="2:2" ht="14.25" customHeight="1">
      <c r="B775" s="385"/>
    </row>
    <row r="776" spans="2:2" ht="14.25" customHeight="1">
      <c r="B776" s="385"/>
    </row>
    <row r="777" spans="2:2" ht="14.25" customHeight="1">
      <c r="B777" s="385"/>
    </row>
    <row r="778" spans="2:2" ht="14.25" customHeight="1">
      <c r="B778" s="385"/>
    </row>
    <row r="779" spans="2:2" ht="14.25" customHeight="1">
      <c r="B779" s="385"/>
    </row>
    <row r="780" spans="2:2" ht="14.25" customHeight="1">
      <c r="B780" s="385"/>
    </row>
    <row r="781" spans="2:2" ht="14.25" customHeight="1">
      <c r="B781" s="385"/>
    </row>
    <row r="782" spans="2:2" ht="14.25" customHeight="1">
      <c r="B782" s="385"/>
    </row>
    <row r="783" spans="2:2" ht="14.25" customHeight="1">
      <c r="B783" s="385"/>
    </row>
    <row r="784" spans="2:2" ht="14.25" customHeight="1">
      <c r="B784" s="385"/>
    </row>
    <row r="785" spans="2:2" ht="14.25" customHeight="1">
      <c r="B785" s="385"/>
    </row>
    <row r="786" spans="2:2" ht="14.25" customHeight="1">
      <c r="B786" s="385"/>
    </row>
    <row r="787" spans="2:2" ht="14.25" customHeight="1">
      <c r="B787" s="385"/>
    </row>
    <row r="788" spans="2:2" ht="14.25" customHeight="1">
      <c r="B788" s="385"/>
    </row>
    <row r="789" spans="2:2" ht="14.25" customHeight="1">
      <c r="B789" s="385"/>
    </row>
    <row r="790" spans="2:2" ht="14.25" customHeight="1">
      <c r="B790" s="385"/>
    </row>
    <row r="791" spans="2:2" ht="14.25" customHeight="1">
      <c r="B791" s="385"/>
    </row>
    <row r="792" spans="2:2" ht="14.25" customHeight="1">
      <c r="B792" s="385"/>
    </row>
    <row r="793" spans="2:2" ht="14.25" customHeight="1">
      <c r="B793" s="385"/>
    </row>
    <row r="794" spans="2:2" ht="14.25" customHeight="1">
      <c r="B794" s="385"/>
    </row>
    <row r="795" spans="2:2" ht="14.25" customHeight="1">
      <c r="B795" s="385"/>
    </row>
    <row r="796" spans="2:2" ht="14.25" customHeight="1">
      <c r="B796" s="385"/>
    </row>
    <row r="797" spans="2:2" ht="14.25" customHeight="1">
      <c r="B797" s="385"/>
    </row>
    <row r="798" spans="2:2" ht="14.25" customHeight="1">
      <c r="B798" s="385"/>
    </row>
    <row r="799" spans="2:2" ht="14.25" customHeight="1">
      <c r="B799" s="385"/>
    </row>
    <row r="800" spans="2:2" ht="14.25" customHeight="1">
      <c r="B800" s="385"/>
    </row>
    <row r="801" spans="2:2" ht="14.25" customHeight="1">
      <c r="B801" s="385"/>
    </row>
    <row r="802" spans="2:2" ht="14.25" customHeight="1">
      <c r="B802" s="385"/>
    </row>
    <row r="803" spans="2:2" ht="14.25" customHeight="1">
      <c r="B803" s="385"/>
    </row>
    <row r="804" spans="2:2" ht="14.25" customHeight="1">
      <c r="B804" s="385"/>
    </row>
    <row r="805" spans="2:2" ht="14.25" customHeight="1">
      <c r="B805" s="385"/>
    </row>
    <row r="806" spans="2:2" ht="14.25" customHeight="1">
      <c r="B806" s="385"/>
    </row>
    <row r="807" spans="2:2" ht="14.25" customHeight="1">
      <c r="B807" s="385"/>
    </row>
    <row r="808" spans="2:2" ht="14.25" customHeight="1">
      <c r="B808" s="385"/>
    </row>
    <row r="809" spans="2:2" ht="14.25" customHeight="1">
      <c r="B809" s="385"/>
    </row>
    <row r="810" spans="2:2" ht="14.25" customHeight="1">
      <c r="B810" s="385"/>
    </row>
    <row r="811" spans="2:2" ht="14.25" customHeight="1">
      <c r="B811" s="385"/>
    </row>
    <row r="812" spans="2:2" ht="14.25" customHeight="1">
      <c r="B812" s="385"/>
    </row>
    <row r="813" spans="2:2" ht="14.25" customHeight="1">
      <c r="B813" s="385"/>
    </row>
    <row r="814" spans="2:2" ht="14.25" customHeight="1">
      <c r="B814" s="385"/>
    </row>
    <row r="815" spans="2:2" ht="14.25" customHeight="1">
      <c r="B815" s="385"/>
    </row>
    <row r="816" spans="2:2" ht="14.25" customHeight="1">
      <c r="B816" s="385"/>
    </row>
    <row r="817" spans="2:2" ht="14.25" customHeight="1">
      <c r="B817" s="385"/>
    </row>
    <row r="818" spans="2:2" ht="14.25" customHeight="1">
      <c r="B818" s="385"/>
    </row>
    <row r="819" spans="2:2" ht="14.25" customHeight="1">
      <c r="B819" s="385"/>
    </row>
    <row r="820" spans="2:2" ht="14.25" customHeight="1">
      <c r="B820" s="385"/>
    </row>
    <row r="821" spans="2:2" ht="14.25" customHeight="1">
      <c r="B821" s="385"/>
    </row>
    <row r="822" spans="2:2" ht="14.25" customHeight="1">
      <c r="B822" s="385"/>
    </row>
    <row r="823" spans="2:2" ht="14.25" customHeight="1">
      <c r="B823" s="385"/>
    </row>
    <row r="824" spans="2:2" ht="14.25" customHeight="1">
      <c r="B824" s="385"/>
    </row>
    <row r="825" spans="2:2" ht="14.25" customHeight="1">
      <c r="B825" s="385"/>
    </row>
    <row r="826" spans="2:2" ht="14.25" customHeight="1">
      <c r="B826" s="385"/>
    </row>
    <row r="827" spans="2:2" ht="14.25" customHeight="1">
      <c r="B827" s="385"/>
    </row>
    <row r="828" spans="2:2" ht="14.25" customHeight="1">
      <c r="B828" s="385"/>
    </row>
    <row r="829" spans="2:2" ht="14.25" customHeight="1">
      <c r="B829" s="385"/>
    </row>
    <row r="830" spans="2:2" ht="14.25" customHeight="1">
      <c r="B830" s="385"/>
    </row>
    <row r="831" spans="2:2" ht="14.25" customHeight="1">
      <c r="B831" s="385"/>
    </row>
    <row r="832" spans="2:2" ht="14.25" customHeight="1">
      <c r="B832" s="385"/>
    </row>
    <row r="833" spans="2:2" ht="14.25" customHeight="1">
      <c r="B833" s="385"/>
    </row>
    <row r="834" spans="2:2" ht="14.25" customHeight="1">
      <c r="B834" s="385"/>
    </row>
    <row r="835" spans="2:2" ht="14.25" customHeight="1">
      <c r="B835" s="385"/>
    </row>
    <row r="836" spans="2:2" ht="14.25" customHeight="1">
      <c r="B836" s="385"/>
    </row>
    <row r="837" spans="2:2" ht="14.25" customHeight="1">
      <c r="B837" s="385"/>
    </row>
    <row r="838" spans="2:2" ht="14.25" customHeight="1">
      <c r="B838" s="385"/>
    </row>
    <row r="839" spans="2:2" ht="14.25" customHeight="1">
      <c r="B839" s="385"/>
    </row>
    <row r="840" spans="2:2" ht="14.25" customHeight="1">
      <c r="B840" s="385"/>
    </row>
    <row r="841" spans="2:2" ht="14.25" customHeight="1">
      <c r="B841" s="385"/>
    </row>
    <row r="842" spans="2:2" ht="14.25" customHeight="1">
      <c r="B842" s="385"/>
    </row>
    <row r="843" spans="2:2" ht="14.25" customHeight="1">
      <c r="B843" s="385"/>
    </row>
    <row r="844" spans="2:2" ht="14.25" customHeight="1">
      <c r="B844" s="385"/>
    </row>
    <row r="845" spans="2:2" ht="14.25" customHeight="1">
      <c r="B845" s="385"/>
    </row>
    <row r="846" spans="2:2" ht="14.25" customHeight="1">
      <c r="B846" s="385"/>
    </row>
    <row r="847" spans="2:2" ht="14.25" customHeight="1">
      <c r="B847" s="385"/>
    </row>
    <row r="848" spans="2:2" ht="14.25" customHeight="1">
      <c r="B848" s="385"/>
    </row>
    <row r="849" spans="2:2" ht="14.25" customHeight="1">
      <c r="B849" s="385"/>
    </row>
    <row r="850" spans="2:2" ht="14.25" customHeight="1">
      <c r="B850" s="385"/>
    </row>
    <row r="851" spans="2:2" ht="14.25" customHeight="1">
      <c r="B851" s="385"/>
    </row>
    <row r="852" spans="2:2" ht="14.25" customHeight="1">
      <c r="B852" s="385"/>
    </row>
    <row r="853" spans="2:2" ht="14.25" customHeight="1">
      <c r="B853" s="385"/>
    </row>
    <row r="854" spans="2:2" ht="14.25" customHeight="1">
      <c r="B854" s="385"/>
    </row>
    <row r="855" spans="2:2" ht="14.25" customHeight="1">
      <c r="B855" s="385"/>
    </row>
    <row r="856" spans="2:2" ht="14.25" customHeight="1">
      <c r="B856" s="385"/>
    </row>
    <row r="857" spans="2:2" ht="14.25" customHeight="1">
      <c r="B857" s="385"/>
    </row>
    <row r="858" spans="2:2" ht="14.25" customHeight="1">
      <c r="B858" s="385"/>
    </row>
    <row r="859" spans="2:2" ht="14.25" customHeight="1">
      <c r="B859" s="385"/>
    </row>
    <row r="860" spans="2:2" ht="14.25" customHeight="1">
      <c r="B860" s="385"/>
    </row>
    <row r="861" spans="2:2" ht="14.25" customHeight="1">
      <c r="B861" s="385"/>
    </row>
    <row r="862" spans="2:2" ht="14.25" customHeight="1">
      <c r="B862" s="385"/>
    </row>
    <row r="863" spans="2:2" ht="14.25" customHeight="1">
      <c r="B863" s="385"/>
    </row>
    <row r="864" spans="2:2" ht="14.25" customHeight="1">
      <c r="B864" s="385"/>
    </row>
    <row r="865" spans="2:2" ht="14.25" customHeight="1">
      <c r="B865" s="385"/>
    </row>
    <row r="866" spans="2:2" ht="14.25" customHeight="1">
      <c r="B866" s="385"/>
    </row>
    <row r="867" spans="2:2" ht="14.25" customHeight="1">
      <c r="B867" s="385"/>
    </row>
    <row r="868" spans="2:2" ht="14.25" customHeight="1">
      <c r="B868" s="385"/>
    </row>
    <row r="869" spans="2:2" ht="14.25" customHeight="1">
      <c r="B869" s="385"/>
    </row>
    <row r="870" spans="2:2" ht="14.25" customHeight="1">
      <c r="B870" s="385"/>
    </row>
    <row r="871" spans="2:2" ht="14.25" customHeight="1">
      <c r="B871" s="385"/>
    </row>
    <row r="872" spans="2:2" ht="14.25" customHeight="1">
      <c r="B872" s="385"/>
    </row>
    <row r="873" spans="2:2" ht="14.25" customHeight="1">
      <c r="B873" s="385"/>
    </row>
    <row r="874" spans="2:2" ht="14.25" customHeight="1">
      <c r="B874" s="385"/>
    </row>
    <row r="875" spans="2:2" ht="14.25" customHeight="1">
      <c r="B875" s="385"/>
    </row>
    <row r="876" spans="2:2" ht="14.25" customHeight="1">
      <c r="B876" s="385"/>
    </row>
    <row r="877" spans="2:2" ht="14.25" customHeight="1">
      <c r="B877" s="385"/>
    </row>
    <row r="878" spans="2:2" ht="14.25" customHeight="1">
      <c r="B878" s="385"/>
    </row>
    <row r="879" spans="2:2" ht="14.25" customHeight="1">
      <c r="B879" s="385"/>
    </row>
    <row r="880" spans="2:2" ht="14.25" customHeight="1">
      <c r="B880" s="385"/>
    </row>
    <row r="881" spans="2:2" ht="14.25" customHeight="1">
      <c r="B881" s="385"/>
    </row>
    <row r="882" spans="2:2" ht="14.25" customHeight="1">
      <c r="B882" s="385"/>
    </row>
    <row r="883" spans="2:2" ht="14.25" customHeight="1">
      <c r="B883" s="385"/>
    </row>
    <row r="884" spans="2:2" ht="14.25" customHeight="1">
      <c r="B884" s="385"/>
    </row>
    <row r="885" spans="2:2" ht="14.25" customHeight="1">
      <c r="B885" s="385"/>
    </row>
    <row r="886" spans="2:2" ht="14.25" customHeight="1">
      <c r="B886" s="385"/>
    </row>
    <row r="887" spans="2:2" ht="14.25" customHeight="1">
      <c r="B887" s="385"/>
    </row>
    <row r="888" spans="2:2" ht="14.25" customHeight="1">
      <c r="B888" s="385"/>
    </row>
    <row r="889" spans="2:2" ht="14.25" customHeight="1">
      <c r="B889" s="385"/>
    </row>
    <row r="890" spans="2:2" ht="14.25" customHeight="1">
      <c r="B890" s="385"/>
    </row>
    <row r="891" spans="2:2" ht="14.25" customHeight="1">
      <c r="B891" s="385"/>
    </row>
    <row r="892" spans="2:2" ht="14.25" customHeight="1">
      <c r="B892" s="385"/>
    </row>
    <row r="893" spans="2:2" ht="14.25" customHeight="1">
      <c r="B893" s="385"/>
    </row>
    <row r="894" spans="2:2" ht="14.25" customHeight="1">
      <c r="B894" s="385"/>
    </row>
    <row r="895" spans="2:2" ht="14.25" customHeight="1">
      <c r="B895" s="385"/>
    </row>
    <row r="896" spans="2:2" ht="14.25" customHeight="1">
      <c r="B896" s="385"/>
    </row>
    <row r="897" spans="2:2" ht="14.25" customHeight="1">
      <c r="B897" s="385"/>
    </row>
    <row r="898" spans="2:2" ht="14.25" customHeight="1">
      <c r="B898" s="385"/>
    </row>
    <row r="899" spans="2:2" ht="14.25" customHeight="1">
      <c r="B899" s="385"/>
    </row>
    <row r="900" spans="2:2" ht="14.25" customHeight="1">
      <c r="B900" s="385"/>
    </row>
    <row r="901" spans="2:2" ht="14.25" customHeight="1">
      <c r="B901" s="385"/>
    </row>
    <row r="902" spans="2:2" ht="14.25" customHeight="1">
      <c r="B902" s="385"/>
    </row>
    <row r="903" spans="2:2" ht="14.25" customHeight="1">
      <c r="B903" s="385"/>
    </row>
    <row r="904" spans="2:2" ht="14.25" customHeight="1">
      <c r="B904" s="385"/>
    </row>
    <row r="905" spans="2:2" ht="14.25" customHeight="1">
      <c r="B905" s="385"/>
    </row>
    <row r="906" spans="2:2" ht="14.25" customHeight="1">
      <c r="B906" s="385"/>
    </row>
    <row r="907" spans="2:2" ht="14.25" customHeight="1">
      <c r="B907" s="385"/>
    </row>
    <row r="908" spans="2:2" ht="14.25" customHeight="1">
      <c r="B908" s="385"/>
    </row>
    <row r="909" spans="2:2" ht="14.25" customHeight="1">
      <c r="B909" s="385"/>
    </row>
    <row r="910" spans="2:2" ht="14.25" customHeight="1">
      <c r="B910" s="385"/>
    </row>
    <row r="911" spans="2:2" ht="14.25" customHeight="1">
      <c r="B911" s="385"/>
    </row>
    <row r="912" spans="2:2" ht="14.25" customHeight="1">
      <c r="B912" s="385"/>
    </row>
    <row r="913" spans="2:2" ht="14.25" customHeight="1">
      <c r="B913" s="385"/>
    </row>
    <row r="914" spans="2:2" ht="14.25" customHeight="1">
      <c r="B914" s="385"/>
    </row>
    <row r="915" spans="2:2" ht="14.25" customHeight="1">
      <c r="B915" s="385"/>
    </row>
    <row r="916" spans="2:2" ht="14.25" customHeight="1">
      <c r="B916" s="385"/>
    </row>
    <row r="917" spans="2:2" ht="14.25" customHeight="1">
      <c r="B917" s="385"/>
    </row>
    <row r="918" spans="2:2" ht="14.25" customHeight="1">
      <c r="B918" s="385"/>
    </row>
    <row r="919" spans="2:2" ht="14.25" customHeight="1">
      <c r="B919" s="385"/>
    </row>
    <row r="920" spans="2:2" ht="14.25" customHeight="1">
      <c r="B920" s="385"/>
    </row>
    <row r="921" spans="2:2" ht="14.25" customHeight="1">
      <c r="B921" s="385"/>
    </row>
    <row r="922" spans="2:2" ht="14.25" customHeight="1">
      <c r="B922" s="385"/>
    </row>
    <row r="923" spans="2:2" ht="14.25" customHeight="1">
      <c r="B923" s="385"/>
    </row>
    <row r="924" spans="2:2" ht="14.25" customHeight="1">
      <c r="B924" s="385"/>
    </row>
    <row r="925" spans="2:2" ht="14.25" customHeight="1">
      <c r="B925" s="385"/>
    </row>
    <row r="926" spans="2:2" ht="14.25" customHeight="1">
      <c r="B926" s="385"/>
    </row>
    <row r="927" spans="2:2" ht="14.25" customHeight="1">
      <c r="B927" s="385"/>
    </row>
    <row r="928" spans="2:2" ht="14.25" customHeight="1">
      <c r="B928" s="385"/>
    </row>
    <row r="929" spans="2:2" ht="14.25" customHeight="1">
      <c r="B929" s="385"/>
    </row>
    <row r="930" spans="2:2" ht="14.25" customHeight="1">
      <c r="B930" s="385"/>
    </row>
    <row r="931" spans="2:2" ht="14.25" customHeight="1">
      <c r="B931" s="385"/>
    </row>
    <row r="932" spans="2:2" ht="14.25" customHeight="1">
      <c r="B932" s="385"/>
    </row>
    <row r="933" spans="2:2" ht="14.25" customHeight="1">
      <c r="B933" s="385"/>
    </row>
    <row r="934" spans="2:2" ht="14.25" customHeight="1">
      <c r="B934" s="385"/>
    </row>
    <row r="935" spans="2:2" ht="14.25" customHeight="1">
      <c r="B935" s="385"/>
    </row>
    <row r="936" spans="2:2" ht="14.25" customHeight="1">
      <c r="B936" s="385"/>
    </row>
    <row r="937" spans="2:2" ht="14.25" customHeight="1">
      <c r="B937" s="385"/>
    </row>
    <row r="938" spans="2:2" ht="14.25" customHeight="1">
      <c r="B938" s="385"/>
    </row>
    <row r="939" spans="2:2" ht="14.25" customHeight="1">
      <c r="B939" s="385"/>
    </row>
    <row r="940" spans="2:2" ht="14.25" customHeight="1">
      <c r="B940" s="385"/>
    </row>
    <row r="941" spans="2:2" ht="14.25" customHeight="1">
      <c r="B941" s="385"/>
    </row>
    <row r="942" spans="2:2" ht="14.25" customHeight="1">
      <c r="B942" s="385"/>
    </row>
    <row r="943" spans="2:2" ht="14.25" customHeight="1">
      <c r="B943" s="385"/>
    </row>
    <row r="944" spans="2:2" ht="14.25" customHeight="1">
      <c r="B944" s="385"/>
    </row>
    <row r="945" spans="2:2" ht="14.25" customHeight="1">
      <c r="B945" s="385"/>
    </row>
    <row r="946" spans="2:2" ht="14.25" customHeight="1">
      <c r="B946" s="385"/>
    </row>
    <row r="947" spans="2:2" ht="14.25" customHeight="1">
      <c r="B947" s="385"/>
    </row>
    <row r="948" spans="2:2" ht="14.25" customHeight="1">
      <c r="B948" s="385"/>
    </row>
    <row r="949" spans="2:2" ht="14.25" customHeight="1">
      <c r="B949" s="385"/>
    </row>
    <row r="950" spans="2:2" ht="14.25" customHeight="1">
      <c r="B950" s="385"/>
    </row>
    <row r="951" spans="2:2" ht="14.25" customHeight="1">
      <c r="B951" s="385"/>
    </row>
    <row r="952" spans="2:2" ht="14.25" customHeight="1">
      <c r="B952" s="385"/>
    </row>
    <row r="953" spans="2:2" ht="14.25" customHeight="1">
      <c r="B953" s="385"/>
    </row>
    <row r="954" spans="2:2" ht="14.25" customHeight="1">
      <c r="B954" s="385"/>
    </row>
    <row r="955" spans="2:2" ht="14.25" customHeight="1">
      <c r="B955" s="385"/>
    </row>
    <row r="956" spans="2:2" ht="14.25" customHeight="1">
      <c r="B956" s="385"/>
    </row>
    <row r="957" spans="2:2" ht="14.25" customHeight="1">
      <c r="B957" s="385"/>
    </row>
    <row r="958" spans="2:2" ht="14.25" customHeight="1">
      <c r="B958" s="385"/>
    </row>
    <row r="959" spans="2:2" ht="14.25" customHeight="1">
      <c r="B959" s="385"/>
    </row>
    <row r="960" spans="2:2" ht="14.25" customHeight="1">
      <c r="B960" s="385"/>
    </row>
    <row r="961" spans="2:2" ht="14.25" customHeight="1">
      <c r="B961" s="385"/>
    </row>
    <row r="962" spans="2:2" ht="14.25" customHeight="1">
      <c r="B962" s="385"/>
    </row>
    <row r="963" spans="2:2" ht="14.25" customHeight="1">
      <c r="B963" s="385"/>
    </row>
    <row r="964" spans="2:2" ht="14.25" customHeight="1">
      <c r="B964" s="385"/>
    </row>
    <row r="965" spans="2:2" ht="14.25" customHeight="1">
      <c r="B965" s="385"/>
    </row>
    <row r="966" spans="2:2" ht="14.25" customHeight="1">
      <c r="B966" s="385"/>
    </row>
    <row r="967" spans="2:2" ht="14.25" customHeight="1">
      <c r="B967" s="385"/>
    </row>
    <row r="968" spans="2:2" ht="14.25" customHeight="1">
      <c r="B968" s="385"/>
    </row>
    <row r="969" spans="2:2" ht="14.25" customHeight="1">
      <c r="B969" s="385"/>
    </row>
    <row r="970" spans="2:2" ht="14.25" customHeight="1">
      <c r="B970" s="385"/>
    </row>
    <row r="971" spans="2:2" ht="14.25" customHeight="1">
      <c r="B971" s="385"/>
    </row>
    <row r="972" spans="2:2" ht="14.25" customHeight="1">
      <c r="B972" s="385"/>
    </row>
    <row r="973" spans="2:2" ht="14.25" customHeight="1">
      <c r="B973" s="385"/>
    </row>
    <row r="974" spans="2:2" ht="14.25" customHeight="1">
      <c r="B974" s="385"/>
    </row>
    <row r="975" spans="2:2" ht="14.25" customHeight="1">
      <c r="B975" s="385"/>
    </row>
    <row r="976" spans="2:2" ht="14.25" customHeight="1">
      <c r="B976" s="385"/>
    </row>
    <row r="977" spans="2:2" ht="14.25" customHeight="1">
      <c r="B977" s="385"/>
    </row>
    <row r="978" spans="2:2" ht="14.25" customHeight="1">
      <c r="B978" s="385"/>
    </row>
    <row r="979" spans="2:2" ht="14.25" customHeight="1">
      <c r="B979" s="385"/>
    </row>
    <row r="980" spans="2:2" ht="14.25" customHeight="1">
      <c r="B980" s="385"/>
    </row>
    <row r="981" spans="2:2" ht="14.25" customHeight="1">
      <c r="B981" s="385"/>
    </row>
    <row r="982" spans="2:2" ht="14.25" customHeight="1">
      <c r="B982" s="385"/>
    </row>
    <row r="983" spans="2:2" ht="14.25" customHeight="1">
      <c r="B983" s="385"/>
    </row>
    <row r="984" spans="2:2" ht="14.25" customHeight="1">
      <c r="B984" s="385"/>
    </row>
    <row r="985" spans="2:2" ht="14.25" customHeight="1">
      <c r="B985" s="385"/>
    </row>
    <row r="986" spans="2:2" ht="14.25" customHeight="1">
      <c r="B986" s="385"/>
    </row>
    <row r="987" spans="2:2" ht="14.25" customHeight="1">
      <c r="B987" s="385"/>
    </row>
    <row r="988" spans="2:2" ht="14.25" customHeight="1">
      <c r="B988" s="385"/>
    </row>
    <row r="989" spans="2:2" ht="14.25" customHeight="1">
      <c r="B989" s="385"/>
    </row>
    <row r="990" spans="2:2" ht="14.25" customHeight="1">
      <c r="B990" s="385"/>
    </row>
    <row r="991" spans="2:2" ht="14.25" customHeight="1">
      <c r="B991" s="385"/>
    </row>
    <row r="992" spans="2:2" ht="14.25" customHeight="1">
      <c r="B992" s="385"/>
    </row>
    <row r="993" spans="2:2" ht="14.25" customHeight="1">
      <c r="B993" s="385"/>
    </row>
    <row r="994" spans="2:2" ht="14.25" customHeight="1">
      <c r="B994" s="385"/>
    </row>
    <row r="995" spans="2:2" ht="14.25" customHeight="1">
      <c r="B995" s="385"/>
    </row>
    <row r="996" spans="2:2" ht="14.25" customHeight="1">
      <c r="B996" s="385"/>
    </row>
    <row r="997" spans="2:2" ht="14.25" customHeight="1">
      <c r="B997" s="385"/>
    </row>
    <row r="998" spans="2:2" ht="14.25" customHeight="1">
      <c r="B998" s="385"/>
    </row>
    <row r="999" spans="2:2" ht="14.25" customHeight="1">
      <c r="B999" s="385"/>
    </row>
    <row r="1000" spans="2:2" ht="14.25" customHeight="1">
      <c r="B1000" s="385"/>
    </row>
    <row r="1001" spans="2:2" ht="14.25" customHeight="1">
      <c r="B1001" s="385"/>
    </row>
    <row r="1002" spans="2:2" ht="14.25" customHeight="1">
      <c r="B1002" s="38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D337-A4A2-4AA4-8F75-0B8A6EA063BF}">
  <sheetPr>
    <tabColor theme="9" tint="0.39997558519241921"/>
  </sheetPr>
  <dimension ref="A2:P20"/>
  <sheetViews>
    <sheetView workbookViewId="0">
      <selection activeCell="E20" sqref="E20"/>
    </sheetView>
  </sheetViews>
  <sheetFormatPr defaultColWidth="8.8984375" defaultRowHeight="13.8"/>
  <cols>
    <col min="1" max="1" width="32.59765625" style="225" customWidth="1"/>
    <col min="2" max="3" width="8.8984375" style="225"/>
    <col min="4" max="4" width="14.69921875" style="225" customWidth="1"/>
    <col min="5" max="16" width="10.59765625" style="225" customWidth="1"/>
    <col min="17" max="16384" width="8.8984375" style="225"/>
  </cols>
  <sheetData>
    <row r="2" spans="1:16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</row>
    <row r="3" spans="1:16">
      <c r="A3" s="1332" t="s">
        <v>417</v>
      </c>
      <c r="B3" s="1332" t="s">
        <v>268</v>
      </c>
      <c r="C3" s="1332" t="s">
        <v>17</v>
      </c>
      <c r="D3" s="1349" t="s">
        <v>270</v>
      </c>
      <c r="E3" s="1347" t="s">
        <v>271</v>
      </c>
      <c r="F3" s="1332"/>
      <c r="G3" s="1332"/>
      <c r="H3" s="1332"/>
      <c r="I3" s="1332"/>
      <c r="J3" s="1332"/>
      <c r="K3" s="1332"/>
      <c r="L3" s="1332"/>
      <c r="M3" s="1332"/>
      <c r="N3" s="1332"/>
      <c r="O3" s="1332"/>
      <c r="P3" s="1332"/>
    </row>
    <row r="4" spans="1:16">
      <c r="A4" s="1332"/>
      <c r="B4" s="1332"/>
      <c r="C4" s="1332"/>
      <c r="D4" s="1350"/>
      <c r="E4" s="460">
        <v>243254</v>
      </c>
      <c r="F4" s="461">
        <v>243285</v>
      </c>
      <c r="G4" s="461">
        <v>243313</v>
      </c>
      <c r="H4" s="461">
        <v>243344</v>
      </c>
      <c r="I4" s="461">
        <v>243374</v>
      </c>
      <c r="J4" s="461">
        <v>243405</v>
      </c>
      <c r="K4" s="461">
        <v>243435</v>
      </c>
      <c r="L4" s="461">
        <v>243466</v>
      </c>
      <c r="M4" s="461">
        <v>243497</v>
      </c>
      <c r="N4" s="461">
        <v>243527</v>
      </c>
      <c r="O4" s="461">
        <v>243558</v>
      </c>
      <c r="P4" s="461">
        <v>243588</v>
      </c>
    </row>
    <row r="5" spans="1:16" ht="16.8">
      <c r="A5" s="528" t="s">
        <v>1776</v>
      </c>
      <c r="B5" s="290" t="s">
        <v>277</v>
      </c>
      <c r="C5" s="290" t="s">
        <v>61</v>
      </c>
      <c r="D5" s="580">
        <f>SUM(D6:D7)*B19</f>
        <v>480.24899999999997</v>
      </c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</row>
    <row r="6" spans="1:16" ht="15">
      <c r="A6" s="577" t="s">
        <v>1777</v>
      </c>
      <c r="B6" s="290"/>
      <c r="C6" s="577"/>
      <c r="D6" s="583">
        <f>SUM(E6:P6)</f>
        <v>0</v>
      </c>
      <c r="E6" s="578">
        <v>0</v>
      </c>
      <c r="F6" s="578">
        <v>0</v>
      </c>
      <c r="G6" s="578">
        <v>0</v>
      </c>
      <c r="H6" s="578">
        <v>0</v>
      </c>
      <c r="I6" s="578">
        <v>0</v>
      </c>
      <c r="J6" s="578">
        <v>0</v>
      </c>
      <c r="K6" s="578">
        <v>0</v>
      </c>
      <c r="L6" s="578">
        <v>0</v>
      </c>
      <c r="M6" s="578">
        <v>0</v>
      </c>
      <c r="N6" s="578">
        <v>0</v>
      </c>
      <c r="O6" s="578">
        <v>0</v>
      </c>
      <c r="P6" s="578">
        <v>0</v>
      </c>
    </row>
    <row r="7" spans="1:16" ht="15">
      <c r="A7" s="577" t="s">
        <v>1778</v>
      </c>
      <c r="B7" s="290"/>
      <c r="C7" s="577"/>
      <c r="D7" s="583">
        <f>SUM(E7:P7)</f>
        <v>220</v>
      </c>
      <c r="E7" s="578">
        <v>0</v>
      </c>
      <c r="F7" s="578">
        <v>0</v>
      </c>
      <c r="G7" s="578">
        <v>20</v>
      </c>
      <c r="H7" s="578">
        <v>0</v>
      </c>
      <c r="I7" s="578">
        <v>0</v>
      </c>
      <c r="J7" s="578">
        <v>40</v>
      </c>
      <c r="K7" s="578">
        <v>0</v>
      </c>
      <c r="L7" s="578">
        <v>0</v>
      </c>
      <c r="M7" s="578">
        <v>40</v>
      </c>
      <c r="N7" s="578">
        <v>0</v>
      </c>
      <c r="O7" s="578">
        <v>50</v>
      </c>
      <c r="P7" s="578">
        <v>70</v>
      </c>
    </row>
    <row r="8" spans="1:16" ht="16.8">
      <c r="A8" s="528" t="s">
        <v>1779</v>
      </c>
      <c r="B8" s="290" t="s">
        <v>277</v>
      </c>
      <c r="C8" s="290" t="s">
        <v>61</v>
      </c>
      <c r="D8" s="581">
        <f>SUM(D9:D10)*B20</f>
        <v>3043.6559999999995</v>
      </c>
      <c r="E8" s="577"/>
      <c r="F8" s="577"/>
      <c r="G8" s="577"/>
      <c r="H8" s="577"/>
      <c r="I8" s="577"/>
      <c r="J8" s="577"/>
      <c r="K8" s="577"/>
      <c r="L8" s="577"/>
      <c r="M8" s="577"/>
      <c r="N8" s="577"/>
      <c r="O8" s="577"/>
      <c r="P8" s="577"/>
    </row>
    <row r="9" spans="1:16" ht="15">
      <c r="A9" s="577" t="s">
        <v>1780</v>
      </c>
      <c r="B9" s="577"/>
      <c r="C9" s="577"/>
      <c r="D9" s="583">
        <f>SUM(E9:P9)</f>
        <v>200</v>
      </c>
      <c r="E9" s="579">
        <v>0</v>
      </c>
      <c r="F9" s="579">
        <v>0</v>
      </c>
      <c r="G9" s="579">
        <v>0</v>
      </c>
      <c r="H9" s="579">
        <v>100</v>
      </c>
      <c r="I9" s="579">
        <v>0</v>
      </c>
      <c r="J9" s="579">
        <v>0</v>
      </c>
      <c r="K9" s="579">
        <v>0</v>
      </c>
      <c r="L9" s="579">
        <v>0</v>
      </c>
      <c r="M9" s="579">
        <v>0</v>
      </c>
      <c r="N9" s="579">
        <v>0</v>
      </c>
      <c r="O9" s="579">
        <v>100</v>
      </c>
      <c r="P9" s="579">
        <v>0</v>
      </c>
    </row>
    <row r="10" spans="1:16" ht="15">
      <c r="A10" s="577" t="s">
        <v>1781</v>
      </c>
      <c r="B10" s="577"/>
      <c r="C10" s="577"/>
      <c r="D10" s="583">
        <f>SUM(E10:P10)</f>
        <v>1020</v>
      </c>
      <c r="E10" s="579">
        <v>70</v>
      </c>
      <c r="F10" s="579">
        <v>100</v>
      </c>
      <c r="G10" s="579">
        <v>70</v>
      </c>
      <c r="H10" s="579">
        <v>100</v>
      </c>
      <c r="I10" s="579">
        <v>0</v>
      </c>
      <c r="J10" s="579">
        <v>200</v>
      </c>
      <c r="K10" s="579">
        <v>100</v>
      </c>
      <c r="L10" s="579">
        <v>100</v>
      </c>
      <c r="M10" s="579">
        <v>100</v>
      </c>
      <c r="N10" s="579">
        <v>0</v>
      </c>
      <c r="O10" s="579">
        <v>100</v>
      </c>
      <c r="P10" s="579">
        <v>80</v>
      </c>
    </row>
    <row r="11" spans="1:16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</row>
    <row r="12" spans="1:16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</row>
    <row r="13" spans="1:16">
      <c r="A13" s="462" t="s">
        <v>4</v>
      </c>
      <c r="B13" s="462" t="s">
        <v>1621</v>
      </c>
      <c r="C13" s="462" t="s">
        <v>17</v>
      </c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</row>
    <row r="14" spans="1:16">
      <c r="A14" s="1348" t="s">
        <v>1622</v>
      </c>
      <c r="B14" s="258">
        <f>21*29.7</f>
        <v>623.69999999999993</v>
      </c>
      <c r="C14" s="291" t="s">
        <v>1623</v>
      </c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</row>
    <row r="15" spans="1:16">
      <c r="A15" s="1348"/>
      <c r="B15" s="258">
        <f>B14/10000</f>
        <v>6.2369999999999995E-2</v>
      </c>
      <c r="C15" s="291" t="s">
        <v>1624</v>
      </c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</row>
    <row r="16" spans="1:16">
      <c r="A16" s="258" t="s">
        <v>1625</v>
      </c>
      <c r="B16" s="258">
        <v>70</v>
      </c>
      <c r="C16" s="291" t="s">
        <v>1626</v>
      </c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</row>
    <row r="17" spans="1:3">
      <c r="A17" s="258" t="s">
        <v>1775</v>
      </c>
      <c r="B17" s="258">
        <v>80</v>
      </c>
      <c r="C17" s="291" t="s">
        <v>1626</v>
      </c>
    </row>
    <row r="18" spans="1:3">
      <c r="A18" s="568" t="s">
        <v>1771</v>
      </c>
      <c r="B18" s="568">
        <v>500</v>
      </c>
      <c r="C18" s="291" t="s">
        <v>1772</v>
      </c>
    </row>
    <row r="19" spans="1:3" ht="17.399999999999999">
      <c r="A19" s="891" t="s">
        <v>1773</v>
      </c>
      <c r="B19" s="892">
        <f>B15*B18*B16/1000</f>
        <v>2.1829499999999999</v>
      </c>
      <c r="C19" s="582" t="s">
        <v>1774</v>
      </c>
    </row>
    <row r="20" spans="1:3" ht="17.399999999999999">
      <c r="A20" s="891" t="s">
        <v>1782</v>
      </c>
      <c r="B20" s="892">
        <f>B15*B18*B17/1000</f>
        <v>2.4947999999999997</v>
      </c>
      <c r="C20" s="582" t="s">
        <v>1774</v>
      </c>
    </row>
  </sheetData>
  <mergeCells count="6">
    <mergeCell ref="E3:P3"/>
    <mergeCell ref="A14:A15"/>
    <mergeCell ref="A3:A4"/>
    <mergeCell ref="B3:B4"/>
    <mergeCell ref="C3:C4"/>
    <mergeCell ref="D3:D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D3CE-988A-4FA9-80D4-8015FF9A0326}">
  <sheetPr>
    <tabColor theme="9" tint="0.39997558519241921"/>
  </sheetPr>
  <dimension ref="A2:AF75"/>
  <sheetViews>
    <sheetView workbookViewId="0">
      <selection activeCell="H22" sqref="H22"/>
    </sheetView>
  </sheetViews>
  <sheetFormatPr defaultRowHeight="13.8"/>
  <cols>
    <col min="1" max="1" width="12" customWidth="1"/>
    <col min="2" max="2" width="16.796875" customWidth="1"/>
    <col min="3" max="3" width="10.296875" customWidth="1"/>
    <col min="4" max="4" width="29" customWidth="1"/>
    <col min="5" max="5" width="12.796875" customWidth="1"/>
    <col min="8" max="8" width="21.69921875" customWidth="1"/>
    <col min="9" max="9" width="19.19921875" customWidth="1"/>
    <col min="10" max="10" width="15" customWidth="1"/>
    <col min="11" max="11" width="16.19921875" customWidth="1"/>
    <col min="12" max="12" width="12.69921875" customWidth="1"/>
  </cols>
  <sheetData>
    <row r="2" spans="1:32" ht="17.399999999999999" customHeight="1">
      <c r="A2" s="1349" t="s">
        <v>1631</v>
      </c>
      <c r="B2" s="1367" t="s">
        <v>1632</v>
      </c>
      <c r="C2" s="1368"/>
      <c r="D2" s="1349" t="s">
        <v>1633</v>
      </c>
      <c r="E2" s="1349" t="s">
        <v>1634</v>
      </c>
      <c r="F2" s="1362" t="s">
        <v>1635</v>
      </c>
      <c r="G2" s="1363"/>
      <c r="H2" s="1349" t="s">
        <v>1636</v>
      </c>
      <c r="I2" s="1349" t="s">
        <v>1637</v>
      </c>
      <c r="J2" s="1349" t="s">
        <v>1657</v>
      </c>
      <c r="K2" s="1349" t="s">
        <v>1658</v>
      </c>
      <c r="L2" s="1311" t="s">
        <v>1656</v>
      </c>
      <c r="M2" s="1351" t="s">
        <v>1638</v>
      </c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47"/>
      <c r="Y2" s="260"/>
      <c r="Z2" s="260"/>
      <c r="AA2" s="260"/>
      <c r="AB2" s="260"/>
      <c r="AC2" s="260"/>
      <c r="AD2" s="260"/>
      <c r="AE2" s="260"/>
      <c r="AF2" s="260"/>
    </row>
    <row r="3" spans="1:32" ht="15">
      <c r="A3" s="1350"/>
      <c r="B3" s="1369"/>
      <c r="C3" s="1370"/>
      <c r="D3" s="1350"/>
      <c r="E3" s="1350"/>
      <c r="F3" s="480" t="s">
        <v>1639</v>
      </c>
      <c r="G3" s="480" t="s">
        <v>1640</v>
      </c>
      <c r="H3" s="1350"/>
      <c r="I3" s="1350"/>
      <c r="J3" s="1350"/>
      <c r="K3" s="1350"/>
      <c r="L3" s="1312"/>
      <c r="M3" s="537">
        <v>1</v>
      </c>
      <c r="N3" s="537">
        <v>2</v>
      </c>
      <c r="O3" s="538">
        <v>3</v>
      </c>
      <c r="P3" s="538">
        <v>4</v>
      </c>
      <c r="Q3" s="538">
        <v>5</v>
      </c>
      <c r="R3" s="538">
        <v>6</v>
      </c>
      <c r="S3" s="538">
        <v>7</v>
      </c>
      <c r="T3" s="538">
        <v>8</v>
      </c>
      <c r="U3" s="538">
        <v>9</v>
      </c>
      <c r="V3" s="538">
        <v>10</v>
      </c>
      <c r="W3" s="538">
        <v>11</v>
      </c>
      <c r="X3" s="538">
        <v>12</v>
      </c>
      <c r="Y3" s="260"/>
      <c r="Z3" s="260"/>
      <c r="AA3" s="260"/>
      <c r="AB3" s="260"/>
      <c r="AC3" s="260"/>
      <c r="AD3" s="260"/>
      <c r="AE3" s="260"/>
      <c r="AF3" s="260"/>
    </row>
    <row r="4" spans="1:32" ht="16.8">
      <c r="A4" s="532" t="s">
        <v>2741</v>
      </c>
      <c r="B4" s="533"/>
      <c r="C4" s="533"/>
      <c r="D4" s="533"/>
      <c r="E4" s="534"/>
      <c r="F4" s="535"/>
      <c r="G4" s="535"/>
      <c r="H4" s="533"/>
      <c r="I4" s="533"/>
      <c r="J4" s="536">
        <f>SUM(J5:J13)</f>
        <v>36567.508771929824</v>
      </c>
      <c r="K4" s="472"/>
      <c r="L4" s="274"/>
      <c r="M4" s="473"/>
      <c r="N4" s="473"/>
      <c r="O4" s="474"/>
      <c r="P4" s="474"/>
      <c r="Q4" s="474"/>
      <c r="R4" s="474"/>
      <c r="S4" s="474"/>
      <c r="T4" s="474"/>
      <c r="U4" s="474"/>
      <c r="V4" s="474"/>
      <c r="W4" s="474"/>
      <c r="X4" s="474"/>
      <c r="Y4" s="260"/>
      <c r="Z4" s="260"/>
      <c r="AA4" s="260"/>
      <c r="AB4" s="260"/>
      <c r="AC4" s="260"/>
      <c r="AD4" s="260"/>
      <c r="AE4" s="260"/>
      <c r="AF4" s="260"/>
    </row>
    <row r="5" spans="1:32">
      <c r="A5" s="465" t="s">
        <v>1641</v>
      </c>
      <c r="B5" s="1371" t="s">
        <v>1642</v>
      </c>
      <c r="C5" s="1372"/>
      <c r="D5" s="466" t="s">
        <v>1643</v>
      </c>
      <c r="E5" s="1353">
        <v>40</v>
      </c>
      <c r="F5" s="467" t="s">
        <v>1644</v>
      </c>
      <c r="G5" s="467" t="s">
        <v>1645</v>
      </c>
      <c r="H5" s="468" t="s">
        <v>1576</v>
      </c>
      <c r="I5" s="469" t="s">
        <v>652</v>
      </c>
      <c r="J5" s="1355">
        <f>K5*L5/2.85</f>
        <v>6375.333333333333</v>
      </c>
      <c r="K5" s="1357">
        <f>6.6+6.5</f>
        <v>13.1</v>
      </c>
      <c r="L5" s="1359">
        <f>SUM(M5:X6)</f>
        <v>1387</v>
      </c>
      <c r="M5" s="1361">
        <v>111</v>
      </c>
      <c r="N5" s="1361">
        <v>112</v>
      </c>
      <c r="O5" s="1361">
        <v>124</v>
      </c>
      <c r="P5" s="1361">
        <v>84</v>
      </c>
      <c r="Q5" s="1361">
        <v>120</v>
      </c>
      <c r="R5" s="1361">
        <v>120</v>
      </c>
      <c r="S5" s="1361">
        <v>120</v>
      </c>
      <c r="T5" s="1361">
        <v>124</v>
      </c>
      <c r="U5" s="1361">
        <v>120</v>
      </c>
      <c r="V5" s="1361">
        <v>121</v>
      </c>
      <c r="W5" s="1361">
        <v>120</v>
      </c>
      <c r="X5" s="1361">
        <v>111</v>
      </c>
      <c r="Y5" s="260"/>
      <c r="Z5" s="260"/>
      <c r="AA5" s="260"/>
      <c r="AB5" s="260"/>
      <c r="AC5" s="260"/>
      <c r="AD5" s="260"/>
      <c r="AE5" s="260"/>
      <c r="AF5" s="260"/>
    </row>
    <row r="6" spans="1:32">
      <c r="A6" s="466" t="s">
        <v>1641</v>
      </c>
      <c r="B6" s="1365" t="s">
        <v>1643</v>
      </c>
      <c r="C6" s="1366"/>
      <c r="D6" s="466" t="s">
        <v>1642</v>
      </c>
      <c r="E6" s="1354"/>
      <c r="F6" s="467" t="s">
        <v>1646</v>
      </c>
      <c r="G6" s="467" t="s">
        <v>1647</v>
      </c>
      <c r="H6" s="468" t="s">
        <v>1576</v>
      </c>
      <c r="I6" s="469" t="s">
        <v>652</v>
      </c>
      <c r="J6" s="1356"/>
      <c r="K6" s="1358"/>
      <c r="L6" s="1360"/>
      <c r="M6" s="1361"/>
      <c r="N6" s="1361"/>
      <c r="O6" s="1361"/>
      <c r="P6" s="1361"/>
      <c r="Q6" s="1361"/>
      <c r="R6" s="1361"/>
      <c r="S6" s="1361"/>
      <c r="T6" s="1361"/>
      <c r="U6" s="1361"/>
      <c r="V6" s="1361"/>
      <c r="W6" s="1361"/>
      <c r="X6" s="1361"/>
      <c r="Y6" s="260"/>
      <c r="Z6" s="260"/>
      <c r="AA6" s="260"/>
      <c r="AB6" s="260"/>
      <c r="AC6" s="260"/>
      <c r="AD6" s="260"/>
      <c r="AE6" s="260"/>
      <c r="AF6" s="260"/>
    </row>
    <row r="7" spans="1:32">
      <c r="A7" s="466" t="s">
        <v>1648</v>
      </c>
      <c r="B7" s="1365" t="s">
        <v>1642</v>
      </c>
      <c r="C7" s="1366"/>
      <c r="D7" s="466" t="s">
        <v>1643</v>
      </c>
      <c r="E7" s="1353">
        <v>40</v>
      </c>
      <c r="F7" s="467" t="s">
        <v>1644</v>
      </c>
      <c r="G7" s="467" t="s">
        <v>1645</v>
      </c>
      <c r="H7" s="468" t="s">
        <v>1576</v>
      </c>
      <c r="I7" s="469" t="s">
        <v>652</v>
      </c>
      <c r="J7" s="1355">
        <f>K7*L7/2.85</f>
        <v>3084.2456140350878</v>
      </c>
      <c r="K7" s="1357">
        <f>6.6+6.5</f>
        <v>13.1</v>
      </c>
      <c r="L7" s="1359">
        <f>SUM(M7:X8)</f>
        <v>671</v>
      </c>
      <c r="M7" s="1361">
        <v>111</v>
      </c>
      <c r="N7" s="1361">
        <v>112</v>
      </c>
      <c r="O7" s="1361">
        <v>124</v>
      </c>
      <c r="P7" s="1361">
        <v>84</v>
      </c>
      <c r="Q7" s="1361">
        <v>120</v>
      </c>
      <c r="R7" s="1361">
        <v>120</v>
      </c>
      <c r="S7" s="1361">
        <v>0</v>
      </c>
      <c r="T7" s="1361">
        <v>0</v>
      </c>
      <c r="U7" s="1361">
        <v>0</v>
      </c>
      <c r="V7" s="1361">
        <v>0</v>
      </c>
      <c r="W7" s="1361">
        <v>0</v>
      </c>
      <c r="X7" s="1361">
        <v>0</v>
      </c>
      <c r="Y7" s="260"/>
      <c r="Z7" s="260"/>
      <c r="AA7" s="260"/>
      <c r="AB7" s="260"/>
      <c r="AC7" s="260"/>
      <c r="AD7" s="260"/>
      <c r="AE7" s="260"/>
      <c r="AF7" s="260"/>
    </row>
    <row r="8" spans="1:32">
      <c r="A8" s="466" t="s">
        <v>1648</v>
      </c>
      <c r="B8" s="1365" t="s">
        <v>1643</v>
      </c>
      <c r="C8" s="1366"/>
      <c r="D8" s="466" t="s">
        <v>1642</v>
      </c>
      <c r="E8" s="1354"/>
      <c r="F8" s="467" t="s">
        <v>1646</v>
      </c>
      <c r="G8" s="467" t="s">
        <v>1647</v>
      </c>
      <c r="H8" s="468" t="s">
        <v>1576</v>
      </c>
      <c r="I8" s="469" t="s">
        <v>652</v>
      </c>
      <c r="J8" s="1356"/>
      <c r="K8" s="1358"/>
      <c r="L8" s="1360"/>
      <c r="M8" s="1361"/>
      <c r="N8" s="1361"/>
      <c r="O8" s="1361"/>
      <c r="P8" s="1361"/>
      <c r="Q8" s="1361"/>
      <c r="R8" s="1361"/>
      <c r="S8" s="1361"/>
      <c r="T8" s="1361"/>
      <c r="U8" s="1361"/>
      <c r="V8" s="1361"/>
      <c r="W8" s="1361"/>
      <c r="X8" s="1361"/>
      <c r="Y8" s="260"/>
      <c r="Z8" s="260"/>
      <c r="AA8" s="260"/>
      <c r="AB8" s="260"/>
      <c r="AC8" s="260"/>
      <c r="AD8" s="260"/>
      <c r="AE8" s="260"/>
      <c r="AF8" s="260"/>
    </row>
    <row r="9" spans="1:32">
      <c r="A9" s="466" t="s">
        <v>1649</v>
      </c>
      <c r="B9" s="1365" t="s">
        <v>1650</v>
      </c>
      <c r="C9" s="1366"/>
      <c r="D9" s="466" t="s">
        <v>1643</v>
      </c>
      <c r="E9" s="1353">
        <v>40</v>
      </c>
      <c r="F9" s="467" t="s">
        <v>1644</v>
      </c>
      <c r="G9" s="467" t="s">
        <v>1645</v>
      </c>
      <c r="H9" s="468" t="s">
        <v>1576</v>
      </c>
      <c r="I9" s="469" t="s">
        <v>652</v>
      </c>
      <c r="J9" s="1355">
        <f>K9*L9/2.85</f>
        <v>12117.999999999998</v>
      </c>
      <c r="K9" s="1357">
        <f>12.5+12.4</f>
        <v>24.9</v>
      </c>
      <c r="L9" s="1359">
        <f>SUM(M9:X10)</f>
        <v>1387</v>
      </c>
      <c r="M9" s="1361">
        <v>111</v>
      </c>
      <c r="N9" s="1361">
        <v>112</v>
      </c>
      <c r="O9" s="1361">
        <v>124</v>
      </c>
      <c r="P9" s="1361">
        <v>84</v>
      </c>
      <c r="Q9" s="1361">
        <v>120</v>
      </c>
      <c r="R9" s="1361">
        <v>120</v>
      </c>
      <c r="S9" s="1361">
        <v>120</v>
      </c>
      <c r="T9" s="1361">
        <v>124</v>
      </c>
      <c r="U9" s="1361">
        <v>120</v>
      </c>
      <c r="V9" s="1361">
        <v>121</v>
      </c>
      <c r="W9" s="1361">
        <v>120</v>
      </c>
      <c r="X9" s="1361">
        <v>111</v>
      </c>
      <c r="Y9" s="260"/>
      <c r="Z9" s="260"/>
      <c r="AA9" s="260"/>
      <c r="AB9" s="260"/>
      <c r="AC9" s="260"/>
      <c r="AD9" s="260"/>
      <c r="AE9" s="260"/>
      <c r="AF9" s="260"/>
    </row>
    <row r="10" spans="1:32">
      <c r="A10" s="466" t="s">
        <v>1649</v>
      </c>
      <c r="B10" s="1365" t="s">
        <v>1643</v>
      </c>
      <c r="C10" s="1366"/>
      <c r="D10" s="466" t="s">
        <v>1650</v>
      </c>
      <c r="E10" s="1354"/>
      <c r="F10" s="467" t="s">
        <v>1646</v>
      </c>
      <c r="G10" s="467" t="s">
        <v>1651</v>
      </c>
      <c r="H10" s="468" t="s">
        <v>1576</v>
      </c>
      <c r="I10" s="469" t="s">
        <v>652</v>
      </c>
      <c r="J10" s="1356"/>
      <c r="K10" s="1358"/>
      <c r="L10" s="1364"/>
      <c r="M10" s="1361"/>
      <c r="N10" s="1361"/>
      <c r="O10" s="1361"/>
      <c r="P10" s="1361"/>
      <c r="Q10" s="1361"/>
      <c r="R10" s="1361"/>
      <c r="S10" s="1361"/>
      <c r="T10" s="1361"/>
      <c r="U10" s="1361"/>
      <c r="V10" s="1361"/>
      <c r="W10" s="1361"/>
      <c r="X10" s="1361"/>
      <c r="Y10" s="260"/>
      <c r="Z10" s="260"/>
      <c r="AA10" s="260"/>
      <c r="AB10" s="260"/>
      <c r="AC10" s="260"/>
      <c r="AD10" s="260"/>
      <c r="AE10" s="260"/>
      <c r="AF10" s="260"/>
    </row>
    <row r="11" spans="1:32">
      <c r="A11" s="466" t="s">
        <v>1652</v>
      </c>
      <c r="B11" s="1365" t="s">
        <v>1653</v>
      </c>
      <c r="C11" s="1366"/>
      <c r="D11" s="466" t="s">
        <v>1643</v>
      </c>
      <c r="E11" s="1353">
        <v>40</v>
      </c>
      <c r="F11" s="467" t="s">
        <v>1644</v>
      </c>
      <c r="G11" s="467" t="s">
        <v>1645</v>
      </c>
      <c r="H11" s="468" t="s">
        <v>1576</v>
      </c>
      <c r="I11" s="469" t="s">
        <v>652</v>
      </c>
      <c r="J11" s="1355">
        <f>K11*L11/2.85</f>
        <v>14307.999999999998</v>
      </c>
      <c r="K11" s="1357">
        <f>14.9+14.5</f>
        <v>29.4</v>
      </c>
      <c r="L11" s="1359">
        <f>SUM(M11:X12)</f>
        <v>1387</v>
      </c>
      <c r="M11" s="1361">
        <v>111</v>
      </c>
      <c r="N11" s="1361">
        <v>112</v>
      </c>
      <c r="O11" s="1361">
        <v>124</v>
      </c>
      <c r="P11" s="1361">
        <v>84</v>
      </c>
      <c r="Q11" s="1361">
        <v>120</v>
      </c>
      <c r="R11" s="1361">
        <v>120</v>
      </c>
      <c r="S11" s="1361">
        <v>120</v>
      </c>
      <c r="T11" s="1361">
        <v>124</v>
      </c>
      <c r="U11" s="1361">
        <v>120</v>
      </c>
      <c r="V11" s="1361">
        <v>121</v>
      </c>
      <c r="W11" s="1361">
        <v>120</v>
      </c>
      <c r="X11" s="1361">
        <v>111</v>
      </c>
      <c r="Y11" s="260"/>
      <c r="Z11" s="260"/>
      <c r="AA11" s="260"/>
      <c r="AB11" s="260"/>
      <c r="AC11" s="260"/>
      <c r="AD11" s="260"/>
      <c r="AE11" s="260"/>
      <c r="AF11" s="260"/>
    </row>
    <row r="12" spans="1:32">
      <c r="A12" s="466" t="s">
        <v>1652</v>
      </c>
      <c r="B12" s="1365" t="s">
        <v>1643</v>
      </c>
      <c r="C12" s="1366"/>
      <c r="D12" s="466" t="s">
        <v>1653</v>
      </c>
      <c r="E12" s="1354"/>
      <c r="F12" s="467" t="s">
        <v>1646</v>
      </c>
      <c r="G12" s="467" t="s">
        <v>1651</v>
      </c>
      <c r="H12" s="468" t="s">
        <v>1576</v>
      </c>
      <c r="I12" s="469" t="s">
        <v>652</v>
      </c>
      <c r="J12" s="1356"/>
      <c r="K12" s="1358"/>
      <c r="L12" s="1360"/>
      <c r="M12" s="1361"/>
      <c r="N12" s="1361"/>
      <c r="O12" s="1361"/>
      <c r="P12" s="1361"/>
      <c r="Q12" s="1361"/>
      <c r="R12" s="1361"/>
      <c r="S12" s="1361"/>
      <c r="T12" s="1361"/>
      <c r="U12" s="1361"/>
      <c r="V12" s="1361"/>
      <c r="W12" s="1361"/>
      <c r="X12" s="1361"/>
      <c r="Y12" s="260"/>
      <c r="Z12" s="260"/>
      <c r="AA12" s="260"/>
      <c r="AB12" s="260"/>
      <c r="AC12" s="260"/>
      <c r="AD12" s="260"/>
      <c r="AE12" s="260"/>
      <c r="AF12" s="260"/>
    </row>
    <row r="13" spans="1:32">
      <c r="A13" s="466" t="s">
        <v>1654</v>
      </c>
      <c r="B13" s="1365" t="s">
        <v>1643</v>
      </c>
      <c r="C13" s="1366"/>
      <c r="D13" s="466" t="s">
        <v>1642</v>
      </c>
      <c r="E13" s="469">
        <v>30</v>
      </c>
      <c r="F13" s="467" t="s">
        <v>175</v>
      </c>
      <c r="G13" s="467" t="s">
        <v>1655</v>
      </c>
      <c r="H13" s="468" t="s">
        <v>1576</v>
      </c>
      <c r="I13" s="469" t="s">
        <v>652</v>
      </c>
      <c r="J13" s="476">
        <f>K13*L13/2.85</f>
        <v>681.92982456140351</v>
      </c>
      <c r="K13" s="470">
        <v>6.5</v>
      </c>
      <c r="L13" s="475">
        <f>SUM(M13:X13)</f>
        <v>299</v>
      </c>
      <c r="M13" s="470">
        <v>24</v>
      </c>
      <c r="N13" s="470">
        <v>24</v>
      </c>
      <c r="O13" s="471">
        <v>27</v>
      </c>
      <c r="P13" s="471">
        <v>17</v>
      </c>
      <c r="Q13" s="471">
        <v>26</v>
      </c>
      <c r="R13" s="471">
        <v>26</v>
      </c>
      <c r="S13" s="471">
        <v>26</v>
      </c>
      <c r="T13" s="471">
        <v>27</v>
      </c>
      <c r="U13" s="471">
        <v>26</v>
      </c>
      <c r="V13" s="471">
        <v>26</v>
      </c>
      <c r="W13" s="471">
        <v>26</v>
      </c>
      <c r="X13" s="471">
        <v>24</v>
      </c>
      <c r="Y13" s="260"/>
      <c r="Z13" s="260"/>
      <c r="AA13" s="260"/>
      <c r="AB13" s="260"/>
      <c r="AC13" s="260"/>
      <c r="AD13" s="260"/>
      <c r="AE13" s="260"/>
      <c r="AF13" s="260"/>
    </row>
    <row r="14" spans="1:32">
      <c r="A14" s="260"/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</row>
    <row r="15" spans="1:32">
      <c r="A15" s="260" t="s">
        <v>1659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</row>
    <row r="16" spans="1:32">
      <c r="A16" s="260"/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</row>
    <row r="17" spans="1:32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</row>
    <row r="18" spans="1:32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</row>
    <row r="19" spans="1:32"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</row>
    <row r="20" spans="1:32"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</row>
    <row r="24" spans="1:32">
      <c r="E24" t="s">
        <v>1660</v>
      </c>
      <c r="J24" t="s">
        <v>1661</v>
      </c>
    </row>
    <row r="26" spans="1:32">
      <c r="E26" t="s">
        <v>1662</v>
      </c>
    </row>
    <row r="28" spans="1:32">
      <c r="E28" t="s">
        <v>1663</v>
      </c>
    </row>
    <row r="33" spans="5:9">
      <c r="E33" t="s">
        <v>1664</v>
      </c>
      <c r="I33" t="s">
        <v>1665</v>
      </c>
    </row>
    <row r="35" spans="5:9">
      <c r="E35" t="s">
        <v>1666</v>
      </c>
    </row>
    <row r="37" spans="5:9">
      <c r="E37" t="s">
        <v>1663</v>
      </c>
    </row>
    <row r="43" spans="5:9">
      <c r="E43" t="s">
        <v>1667</v>
      </c>
      <c r="H43" t="s">
        <v>1665</v>
      </c>
    </row>
    <row r="45" spans="5:9">
      <c r="E45" t="s">
        <v>1668</v>
      </c>
    </row>
    <row r="47" spans="5:9">
      <c r="E47" t="s">
        <v>1663</v>
      </c>
    </row>
    <row r="52" spans="5:10">
      <c r="E52" t="s">
        <v>1665</v>
      </c>
      <c r="J52" t="s">
        <v>1667</v>
      </c>
    </row>
    <row r="54" spans="5:10">
      <c r="E54" t="s">
        <v>1669</v>
      </c>
    </row>
    <row r="56" spans="5:10">
      <c r="E56" t="s">
        <v>1663</v>
      </c>
    </row>
    <row r="62" spans="5:10">
      <c r="E62" t="s">
        <v>1665</v>
      </c>
      <c r="J62" t="s">
        <v>1670</v>
      </c>
    </row>
    <row r="64" spans="5:10">
      <c r="E64" t="s">
        <v>1671</v>
      </c>
    </row>
    <row r="66" spans="5:10">
      <c r="E66" t="s">
        <v>1663</v>
      </c>
    </row>
    <row r="71" spans="5:10">
      <c r="E71" t="s">
        <v>1670</v>
      </c>
      <c r="J71" t="s">
        <v>1665</v>
      </c>
    </row>
    <row r="73" spans="5:10">
      <c r="E73" t="s">
        <v>1672</v>
      </c>
    </row>
    <row r="75" spans="5:10">
      <c r="E75" t="s">
        <v>1663</v>
      </c>
    </row>
  </sheetData>
  <mergeCells count="84">
    <mergeCell ref="X9:X10"/>
    <mergeCell ref="S9:S10"/>
    <mergeCell ref="T9:T10"/>
    <mergeCell ref="U9:U10"/>
    <mergeCell ref="V9:V10"/>
    <mergeCell ref="W9:W10"/>
    <mergeCell ref="B11:C11"/>
    <mergeCell ref="B12:C12"/>
    <mergeCell ref="B13:C13"/>
    <mergeCell ref="X11:X12"/>
    <mergeCell ref="S11:S12"/>
    <mergeCell ref="T11:T12"/>
    <mergeCell ref="U11:U12"/>
    <mergeCell ref="V11:V12"/>
    <mergeCell ref="W11:W12"/>
    <mergeCell ref="B2:C3"/>
    <mergeCell ref="A2:A3"/>
    <mergeCell ref="D2:D3"/>
    <mergeCell ref="E2:E3"/>
    <mergeCell ref="B5:C5"/>
    <mergeCell ref="B6:C6"/>
    <mergeCell ref="B7:C7"/>
    <mergeCell ref="B8:C8"/>
    <mergeCell ref="B9:C9"/>
    <mergeCell ref="R11:R12"/>
    <mergeCell ref="E11:E12"/>
    <mergeCell ref="J11:J12"/>
    <mergeCell ref="K11:K12"/>
    <mergeCell ref="L11:L12"/>
    <mergeCell ref="M11:M12"/>
    <mergeCell ref="N11:N12"/>
    <mergeCell ref="O11:O12"/>
    <mergeCell ref="P11:P12"/>
    <mergeCell ref="Q11:Q12"/>
    <mergeCell ref="R9:R10"/>
    <mergeCell ref="B10:C10"/>
    <mergeCell ref="X7:X8"/>
    <mergeCell ref="E9:E10"/>
    <mergeCell ref="J9:J10"/>
    <mergeCell ref="K9:K10"/>
    <mergeCell ref="L9:L10"/>
    <mergeCell ref="M9:M10"/>
    <mergeCell ref="N9:N10"/>
    <mergeCell ref="O9:O10"/>
    <mergeCell ref="P9:P10"/>
    <mergeCell ref="Q9:Q10"/>
    <mergeCell ref="R7:R8"/>
    <mergeCell ref="S7:S8"/>
    <mergeCell ref="T7:T8"/>
    <mergeCell ref="U7:U8"/>
    <mergeCell ref="V7:V8"/>
    <mergeCell ref="W7:W8"/>
    <mergeCell ref="X5:X6"/>
    <mergeCell ref="E7:E8"/>
    <mergeCell ref="J7:J8"/>
    <mergeCell ref="K7:K8"/>
    <mergeCell ref="L7:L8"/>
    <mergeCell ref="M7:M8"/>
    <mergeCell ref="N7:N8"/>
    <mergeCell ref="O7:O8"/>
    <mergeCell ref="P7:P8"/>
    <mergeCell ref="Q7:Q8"/>
    <mergeCell ref="R5:R6"/>
    <mergeCell ref="S5:S6"/>
    <mergeCell ref="T5:T6"/>
    <mergeCell ref="U5:U6"/>
    <mergeCell ref="V5:V6"/>
    <mergeCell ref="W5:W6"/>
    <mergeCell ref="M2:X2"/>
    <mergeCell ref="E5:E6"/>
    <mergeCell ref="J5:J6"/>
    <mergeCell ref="K5:K6"/>
    <mergeCell ref="L5:L6"/>
    <mergeCell ref="M5:M6"/>
    <mergeCell ref="N5:N6"/>
    <mergeCell ref="O5:O6"/>
    <mergeCell ref="P5:P6"/>
    <mergeCell ref="Q5:Q6"/>
    <mergeCell ref="F2:G2"/>
    <mergeCell ref="H2:H3"/>
    <mergeCell ref="I2:I3"/>
    <mergeCell ref="J2:J3"/>
    <mergeCell ref="K2:K3"/>
    <mergeCell ref="L2:L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4AE-7676-46F0-9894-29FE2C5F6684}">
  <sheetPr>
    <tabColor theme="9" tint="0.39997558519241921"/>
  </sheetPr>
  <dimension ref="A2:Z1022"/>
  <sheetViews>
    <sheetView zoomScale="70" zoomScaleNormal="70" workbookViewId="0">
      <selection activeCell="H26" sqref="H26"/>
    </sheetView>
  </sheetViews>
  <sheetFormatPr defaultColWidth="14.3984375" defaultRowHeight="15" customHeight="1"/>
  <cols>
    <col min="1" max="1" width="36.19921875" style="228" customWidth="1"/>
    <col min="2" max="2" width="20.69921875" style="228" customWidth="1"/>
    <col min="3" max="3" width="23.296875" style="228" customWidth="1"/>
    <col min="4" max="4" width="21.19921875" style="228" customWidth="1"/>
    <col min="5" max="5" width="37.8984375" style="228" customWidth="1"/>
    <col min="6" max="8" width="21.09765625" style="228" customWidth="1"/>
    <col min="9" max="14" width="13.796875" style="228" customWidth="1"/>
    <col min="15" max="15" width="21.296875" style="228" customWidth="1"/>
    <col min="16" max="26" width="8.796875" style="228" customWidth="1"/>
    <col min="27" max="16384" width="14.3984375" style="228"/>
  </cols>
  <sheetData>
    <row r="2" spans="1:15" ht="17.399999999999999" customHeight="1">
      <c r="A2" s="1341" t="s">
        <v>417</v>
      </c>
      <c r="B2" s="1345" t="s">
        <v>420</v>
      </c>
      <c r="C2" s="1345" t="s">
        <v>269</v>
      </c>
      <c r="D2" s="364" t="s">
        <v>421</v>
      </c>
      <c r="E2" s="1382" t="s">
        <v>422</v>
      </c>
      <c r="F2" s="1349" t="s">
        <v>516</v>
      </c>
      <c r="G2" s="1349" t="s">
        <v>517</v>
      </c>
      <c r="H2" s="1349" t="s">
        <v>518</v>
      </c>
      <c r="I2" s="1378" t="s">
        <v>403</v>
      </c>
      <c r="J2" s="1378"/>
      <c r="K2" s="1378" t="s">
        <v>519</v>
      </c>
      <c r="L2" s="1378"/>
      <c r="M2" s="1378" t="s">
        <v>520</v>
      </c>
      <c r="N2" s="1378"/>
      <c r="O2" s="402" t="s">
        <v>521</v>
      </c>
    </row>
    <row r="3" spans="1:15" ht="17.399999999999999" customHeight="1">
      <c r="A3" s="1379"/>
      <c r="B3" s="1381"/>
      <c r="C3" s="1381"/>
      <c r="D3" s="1345" t="s">
        <v>423</v>
      </c>
      <c r="E3" s="1383"/>
      <c r="F3" s="1377"/>
      <c r="G3" s="1377"/>
      <c r="H3" s="1377"/>
      <c r="I3" s="284" t="s">
        <v>400</v>
      </c>
      <c r="J3" s="284" t="s">
        <v>402</v>
      </c>
      <c r="K3" s="284" t="s">
        <v>400</v>
      </c>
      <c r="L3" s="284" t="s">
        <v>402</v>
      </c>
      <c r="M3" s="284" t="s">
        <v>400</v>
      </c>
      <c r="N3" s="284" t="s">
        <v>402</v>
      </c>
      <c r="O3" s="284" t="s">
        <v>400</v>
      </c>
    </row>
    <row r="4" spans="1:15" ht="22.2" customHeight="1">
      <c r="A4" s="1380"/>
      <c r="B4" s="1346"/>
      <c r="C4" s="1346"/>
      <c r="D4" s="1346"/>
      <c r="E4" s="1384"/>
      <c r="F4" s="1350"/>
      <c r="G4" s="1350"/>
      <c r="H4" s="1350"/>
      <c r="I4" s="403">
        <f t="shared" ref="I4:O4" si="0">SUM(I5:I20)</f>
        <v>234729</v>
      </c>
      <c r="J4" s="403">
        <f t="shared" si="0"/>
        <v>14670.5625</v>
      </c>
      <c r="K4" s="403">
        <f t="shared" si="0"/>
        <v>241196.53363899997</v>
      </c>
      <c r="L4" s="403">
        <f t="shared" si="0"/>
        <v>21926.957603545456</v>
      </c>
      <c r="M4" s="403">
        <f t="shared" si="0"/>
        <v>779.53160000000014</v>
      </c>
      <c r="N4" s="403">
        <f t="shared" si="0"/>
        <v>111.36165714285717</v>
      </c>
      <c r="O4" s="403">
        <f t="shared" si="0"/>
        <v>41061781.035000004</v>
      </c>
    </row>
    <row r="5" spans="1:15" ht="15" customHeight="1">
      <c r="A5" s="358" t="s">
        <v>437</v>
      </c>
      <c r="B5" s="358" t="s">
        <v>436</v>
      </c>
      <c r="C5" s="308" t="s">
        <v>280</v>
      </c>
      <c r="D5" s="278">
        <f>'[2]CAT 1-วัตถุดิบผลิต'!F5</f>
        <v>1262250</v>
      </c>
      <c r="E5" s="404" t="s">
        <v>440</v>
      </c>
      <c r="F5" s="405">
        <f>$F$64</f>
        <v>2</v>
      </c>
      <c r="G5" s="291" t="str">
        <f>$D$27</f>
        <v>10 ล้อ/ตู้บรรทุก</v>
      </c>
      <c r="H5" s="406">
        <f>$B$64</f>
        <v>7944.93</v>
      </c>
      <c r="I5" s="406">
        <f>F5*D5/1000</f>
        <v>2524.5</v>
      </c>
      <c r="J5" s="407">
        <f>I5/16</f>
        <v>157.78125</v>
      </c>
      <c r="K5" s="258"/>
      <c r="L5" s="258"/>
      <c r="M5" s="258"/>
      <c r="N5" s="258"/>
      <c r="O5" s="406">
        <f>H5*D5/1000</f>
        <v>10028487.8925</v>
      </c>
    </row>
    <row r="6" spans="1:15" ht="15" customHeight="1">
      <c r="A6" s="358" t="s">
        <v>437</v>
      </c>
      <c r="B6" s="358" t="s">
        <v>436</v>
      </c>
      <c r="C6" s="308" t="s">
        <v>280</v>
      </c>
      <c r="D6" s="278">
        <f>'[2]CAT 1-วัตถุดิบผลิต'!F6</f>
        <v>2625000</v>
      </c>
      <c r="E6" s="408" t="s">
        <v>441</v>
      </c>
      <c r="F6" s="409" t="str">
        <f>$B$27</f>
        <v>65</v>
      </c>
      <c r="G6" s="291" t="str">
        <f>$D$27</f>
        <v>10 ล้อ/ตู้บรรทุก</v>
      </c>
      <c r="H6" s="406"/>
      <c r="I6" s="406">
        <f t="shared" ref="I6:I12" si="1">F6*D6/1000</f>
        <v>170625</v>
      </c>
      <c r="J6" s="407">
        <f t="shared" ref="J6:J12" si="2">I6/16</f>
        <v>10664.0625</v>
      </c>
      <c r="K6" s="258"/>
      <c r="L6" s="258"/>
      <c r="M6" s="258"/>
      <c r="N6" s="258"/>
      <c r="O6" s="258"/>
    </row>
    <row r="7" spans="1:15" ht="15" customHeight="1">
      <c r="A7" s="358" t="s">
        <v>442</v>
      </c>
      <c r="B7" s="358" t="s">
        <v>436</v>
      </c>
      <c r="C7" s="308" t="s">
        <v>280</v>
      </c>
      <c r="D7" s="278">
        <f>'[2]CAT 1-วัตถุดิบผลิต'!F8</f>
        <v>1559250</v>
      </c>
      <c r="E7" s="410" t="s">
        <v>440</v>
      </c>
      <c r="F7" s="405">
        <f>$F$64</f>
        <v>2</v>
      </c>
      <c r="G7" s="291" t="str">
        <f>$D$27</f>
        <v>10 ล้อ/ตู้บรรทุก</v>
      </c>
      <c r="H7" s="406">
        <f>$B$64</f>
        <v>7944.93</v>
      </c>
      <c r="I7" s="406">
        <f t="shared" si="1"/>
        <v>3118.5</v>
      </c>
      <c r="J7" s="407">
        <f t="shared" si="2"/>
        <v>194.90625</v>
      </c>
      <c r="K7" s="258"/>
      <c r="L7" s="258"/>
      <c r="M7" s="258"/>
      <c r="N7" s="258"/>
      <c r="O7" s="406">
        <f>H7*D7/1000</f>
        <v>12388132.102499999</v>
      </c>
    </row>
    <row r="8" spans="1:15" ht="15" customHeight="1">
      <c r="A8" s="358" t="s">
        <v>442</v>
      </c>
      <c r="B8" s="358" t="s">
        <v>436</v>
      </c>
      <c r="C8" s="308" t="s">
        <v>280</v>
      </c>
      <c r="D8" s="278">
        <f>'[2]CAT 1-วัตถุดิบผลิต'!F9</f>
        <v>2103750</v>
      </c>
      <c r="E8" s="410" t="s">
        <v>443</v>
      </c>
      <c r="F8" s="411">
        <f>$F$65</f>
        <v>2</v>
      </c>
      <c r="G8" s="291" t="str">
        <f>$D$27</f>
        <v>10 ล้อ/ตู้บรรทุก</v>
      </c>
      <c r="H8" s="406">
        <f>$B$65</f>
        <v>8560.68</v>
      </c>
      <c r="I8" s="406">
        <f t="shared" si="1"/>
        <v>4207.5</v>
      </c>
      <c r="J8" s="407">
        <f t="shared" si="2"/>
        <v>262.96875</v>
      </c>
      <c r="K8" s="258"/>
      <c r="L8" s="258"/>
      <c r="M8" s="258"/>
      <c r="N8" s="258"/>
      <c r="O8" s="406">
        <f>H8*D8/1000</f>
        <v>18009530.550000001</v>
      </c>
    </row>
    <row r="9" spans="1:15" ht="15" customHeight="1">
      <c r="A9" s="358" t="s">
        <v>442</v>
      </c>
      <c r="B9" s="358" t="s">
        <v>436</v>
      </c>
      <c r="C9" s="308" t="s">
        <v>280</v>
      </c>
      <c r="D9" s="278">
        <f>'[2]CAT 1-วัตถุดิบผลิต'!F10</f>
        <v>60000</v>
      </c>
      <c r="E9" s="410" t="s">
        <v>444</v>
      </c>
      <c r="F9" s="412" t="str">
        <f>$B$28</f>
        <v>61</v>
      </c>
      <c r="G9" s="291" t="str">
        <f>$D$28</f>
        <v>10 ล้อ/ตู้บรรทุก</v>
      </c>
      <c r="H9" s="258"/>
      <c r="I9" s="406">
        <f t="shared" si="1"/>
        <v>3660</v>
      </c>
      <c r="J9" s="407">
        <f t="shared" si="2"/>
        <v>228.75</v>
      </c>
      <c r="K9" s="258"/>
      <c r="L9" s="258"/>
      <c r="M9" s="258"/>
      <c r="N9" s="258"/>
      <c r="O9" s="258"/>
    </row>
    <row r="10" spans="1:15" ht="15" customHeight="1">
      <c r="A10" s="358" t="s">
        <v>442</v>
      </c>
      <c r="B10" s="358" t="s">
        <v>436</v>
      </c>
      <c r="C10" s="308" t="s">
        <v>280</v>
      </c>
      <c r="D10" s="278">
        <f>'[2]CAT 1-วัตถุดิบผลิต'!F11</f>
        <v>30000</v>
      </c>
      <c r="E10" s="410" t="s">
        <v>441</v>
      </c>
      <c r="F10" s="413" t="str">
        <f>$B$27</f>
        <v>65</v>
      </c>
      <c r="G10" s="291" t="str">
        <f>$D$27</f>
        <v>10 ล้อ/ตู้บรรทุก</v>
      </c>
      <c r="H10" s="406"/>
      <c r="I10" s="406">
        <f t="shared" si="1"/>
        <v>1950</v>
      </c>
      <c r="J10" s="407">
        <f t="shared" si="2"/>
        <v>121.875</v>
      </c>
      <c r="K10" s="258"/>
      <c r="L10" s="258"/>
      <c r="M10" s="258"/>
      <c r="N10" s="258"/>
      <c r="O10" s="258"/>
    </row>
    <row r="11" spans="1:15" ht="15" customHeight="1">
      <c r="A11" s="358" t="s">
        <v>445</v>
      </c>
      <c r="B11" s="358" t="s">
        <v>436</v>
      </c>
      <c r="C11" s="308" t="s">
        <v>280</v>
      </c>
      <c r="D11" s="278">
        <f>'[2]CAT 1-วัตถุดิบผลิต'!F13</f>
        <v>74250</v>
      </c>
      <c r="E11" s="410" t="s">
        <v>443</v>
      </c>
      <c r="F11" s="411">
        <f>$F$65</f>
        <v>2</v>
      </c>
      <c r="G11" s="291" t="str">
        <f>$D$27</f>
        <v>10 ล้อ/ตู้บรรทุก</v>
      </c>
      <c r="H11" s="406">
        <f>$B$65</f>
        <v>8560.68</v>
      </c>
      <c r="I11" s="406">
        <f t="shared" si="1"/>
        <v>148.5</v>
      </c>
      <c r="J11" s="407">
        <f t="shared" si="2"/>
        <v>9.28125</v>
      </c>
      <c r="K11" s="258"/>
      <c r="L11" s="258"/>
      <c r="M11" s="258"/>
      <c r="N11" s="258"/>
      <c r="O11" s="406">
        <f>H11*D11/1000</f>
        <v>635630.49</v>
      </c>
    </row>
    <row r="12" spans="1:15" ht="15" customHeight="1">
      <c r="A12" s="358" t="s">
        <v>445</v>
      </c>
      <c r="B12" s="358" t="s">
        <v>436</v>
      </c>
      <c r="C12" s="308" t="s">
        <v>280</v>
      </c>
      <c r="D12" s="278">
        <f>'[2]CAT 1-วัตถุดิบผลิต'!F14</f>
        <v>795000</v>
      </c>
      <c r="E12" s="410" t="s">
        <v>444</v>
      </c>
      <c r="F12" s="414" t="str">
        <f>$B$28</f>
        <v>61</v>
      </c>
      <c r="G12" s="291" t="str">
        <f>$D$28</f>
        <v>10 ล้อ/ตู้บรรทุก</v>
      </c>
      <c r="H12" s="258"/>
      <c r="I12" s="406">
        <f t="shared" si="1"/>
        <v>48495</v>
      </c>
      <c r="J12" s="407">
        <f t="shared" si="2"/>
        <v>3030.9375</v>
      </c>
      <c r="K12" s="258"/>
      <c r="L12" s="258"/>
      <c r="M12" s="258"/>
      <c r="N12" s="258"/>
      <c r="O12" s="258"/>
    </row>
    <row r="13" spans="1:15" ht="15" customHeight="1">
      <c r="A13" s="358" t="str">
        <f>'Scope 3.1.1 วัตถุดิบผลิต'!A79</f>
        <v>กระดาษกล่องแป้งหลังเทา (EF597)</v>
      </c>
      <c r="B13" s="358" t="s">
        <v>436</v>
      </c>
      <c r="C13" s="308" t="s">
        <v>280</v>
      </c>
      <c r="D13" s="278">
        <f>'Scope 3.1.1 วัตถุดิบผลิต'!F79</f>
        <v>219427.43800000002</v>
      </c>
      <c r="E13" s="410" t="str">
        <f>'Scope 3.1.1 วัตถุดิบผลิต'!G79</f>
        <v>บริษัท เค.อาร์.ที. แพค แอนด์ ซัพพลาย จำกัด</v>
      </c>
      <c r="F13" s="413" t="str">
        <f>B39</f>
        <v>132</v>
      </c>
      <c r="G13" s="291" t="str">
        <f>D39</f>
        <v>6 ล้อ/ตู้บรรทุก</v>
      </c>
      <c r="H13" s="258"/>
      <c r="I13" s="258"/>
      <c r="J13" s="258"/>
      <c r="K13" s="406">
        <f>F13*D13/1000</f>
        <v>28964.421816000002</v>
      </c>
      <c r="L13" s="407">
        <f>K13/11</f>
        <v>2633.1292560000002</v>
      </c>
      <c r="M13" s="406"/>
      <c r="N13" s="407"/>
      <c r="O13" s="258"/>
    </row>
    <row r="14" spans="1:15" ht="15" customHeight="1">
      <c r="A14" s="358" t="str">
        <f>'Scope 3.1.1 วัตถุดิบผลิต'!A80</f>
        <v>กระดาษกล่องแป้งหลังเทา (EF597)</v>
      </c>
      <c r="B14" s="358" t="s">
        <v>436</v>
      </c>
      <c r="C14" s="308" t="s">
        <v>280</v>
      </c>
      <c r="D14" s="278">
        <f>'Scope 3.1.1 วัตถุดิบผลิต'!F80</f>
        <v>6720.1</v>
      </c>
      <c r="E14" s="410" t="str">
        <f>'Scope 3.1.1 วัตถุดิบผลิต'!G80</f>
        <v>บริษัท เหรียญทองการพิมพ์ จำกัด</v>
      </c>
      <c r="F14" s="413" t="str">
        <f>B45</f>
        <v>116</v>
      </c>
      <c r="G14" s="291" t="str">
        <f>D45</f>
        <v>4 ล้อ/บรรทุก</v>
      </c>
      <c r="H14" s="258"/>
      <c r="I14" s="258"/>
      <c r="J14" s="258"/>
      <c r="K14" s="406"/>
      <c r="L14" s="407"/>
      <c r="M14" s="406">
        <f>F14*D14/1000</f>
        <v>779.53160000000014</v>
      </c>
      <c r="N14" s="407">
        <f>M14/7</f>
        <v>111.36165714285717</v>
      </c>
      <c r="O14" s="258"/>
    </row>
    <row r="15" spans="1:15" ht="15" customHeight="1">
      <c r="A15" s="358" t="str">
        <f>'Scope 3.1.1 วัตถุดิบผลิต'!A81</f>
        <v>กระดาษกล่องแป้งหลังเทา (EF597)</v>
      </c>
      <c r="B15" s="358" t="s">
        <v>436</v>
      </c>
      <c r="C15" s="308" t="s">
        <v>280</v>
      </c>
      <c r="D15" s="278">
        <f>'Scope 3.1.1 วัตถุดิบผลิต'!F81</f>
        <v>723526.15599999996</v>
      </c>
      <c r="E15" s="410" t="str">
        <f>'Scope 3.1.1 วัตถุดิบผลิต'!G81</f>
        <v>บริษัท สำราญจิตต์การพิมพ์ จำกัด</v>
      </c>
      <c r="F15" s="413" t="str">
        <f>B38</f>
        <v>108</v>
      </c>
      <c r="G15" s="291" t="str">
        <f>D38</f>
        <v>6 ล้อ/ตู้บรรทุก</v>
      </c>
      <c r="H15" s="258"/>
      <c r="I15" s="258"/>
      <c r="J15" s="258"/>
      <c r="K15" s="406">
        <f t="shared" ref="K15:K20" si="3">F15*D15/1000</f>
        <v>78140.824847999989</v>
      </c>
      <c r="L15" s="407">
        <f t="shared" ref="L15:L20" si="4">K15/11</f>
        <v>7103.7113498181807</v>
      </c>
      <c r="M15" s="406"/>
      <c r="N15" s="407"/>
      <c r="O15" s="258"/>
    </row>
    <row r="16" spans="1:15" ht="15" customHeight="1">
      <c r="A16" s="358" t="str">
        <f>'Scope 3.1.1 วัตถุดิบผลิต'!A82</f>
        <v>กระดาษคราฟท์ ชนิดทำลอน (EF596)</v>
      </c>
      <c r="B16" s="358" t="s">
        <v>436</v>
      </c>
      <c r="C16" s="308" t="s">
        <v>280</v>
      </c>
      <c r="D16" s="278">
        <f>'Scope 3.1.1 วัตถุดิบผลิต'!F82</f>
        <v>94775.371999999988</v>
      </c>
      <c r="E16" s="410" t="str">
        <f>'Scope 3.1.1 วัตถุดิบผลิต'!G82</f>
        <v>บริษัท เค.อาร์.ที. แพค แอนด์ ซัพพลาย จำกัด</v>
      </c>
      <c r="F16" s="413" t="str">
        <f>B39</f>
        <v>132</v>
      </c>
      <c r="G16" s="291" t="str">
        <f>D39</f>
        <v>6 ล้อ/ตู้บรรทุก</v>
      </c>
      <c r="H16" s="258"/>
      <c r="I16" s="258"/>
      <c r="J16" s="258"/>
      <c r="K16" s="406">
        <f t="shared" si="3"/>
        <v>12510.349103999999</v>
      </c>
      <c r="L16" s="407">
        <f t="shared" si="4"/>
        <v>1137.3044639999998</v>
      </c>
      <c r="M16" s="258"/>
      <c r="N16" s="258"/>
      <c r="O16" s="258"/>
    </row>
    <row r="17" spans="1:26" ht="15" customHeight="1">
      <c r="A17" s="358" t="str">
        <f>'Scope 3.1.1 วัตถุดิบผลิต'!A83</f>
        <v>กระดาษคราฟท์ ชนิดทำลอน (EF596)</v>
      </c>
      <c r="B17" s="358" t="s">
        <v>436</v>
      </c>
      <c r="C17" s="308" t="s">
        <v>280</v>
      </c>
      <c r="D17" s="278">
        <f>'Scope 3.1.1 วัตถุดิบผลิต'!F83</f>
        <v>423883.75700000004</v>
      </c>
      <c r="E17" s="410" t="str">
        <f>'Scope 3.1.1 วัตถุดิบผลิต'!G83</f>
        <v>บริษัท เอส.พี.ที.แพ็คกิ้งกรุ๊ป จำกัด</v>
      </c>
      <c r="F17" s="413" t="str">
        <f>B40</f>
        <v>172</v>
      </c>
      <c r="G17" s="291" t="str">
        <f>D40</f>
        <v>6 ล้อ/ตู้บรรทุก</v>
      </c>
      <c r="H17" s="258"/>
      <c r="I17" s="258"/>
      <c r="J17" s="258"/>
      <c r="K17" s="406">
        <f t="shared" si="3"/>
        <v>72908.006204000005</v>
      </c>
      <c r="L17" s="407">
        <f t="shared" si="4"/>
        <v>6628.0005640000008</v>
      </c>
      <c r="M17" s="258"/>
      <c r="N17" s="258"/>
      <c r="O17" s="258"/>
    </row>
    <row r="18" spans="1:26" ht="15" customHeight="1">
      <c r="A18" s="358" t="str">
        <f>'Scope 3.1.1 วัตถุดิบผลิต'!A84</f>
        <v>กระดาษคราฟท์ ชนิดทำลอน (EF596)</v>
      </c>
      <c r="B18" s="358" t="s">
        <v>436</v>
      </c>
      <c r="C18" s="308" t="s">
        <v>280</v>
      </c>
      <c r="D18" s="278">
        <f>'Scope 3.1.1 วัตถุดิบผลิต'!F84</f>
        <v>268107.20500000002</v>
      </c>
      <c r="E18" s="410" t="str">
        <f>'Scope 3.1.1 วัตถุดิบผลิต'!G84</f>
        <v>บริษัท บรรเจิดบรรจุภัณฑ์ จำกัด</v>
      </c>
      <c r="F18" s="413" t="str">
        <f>B41</f>
        <v>150</v>
      </c>
      <c r="G18" s="291" t="str">
        <f>D41</f>
        <v>6 ล้อ/ตู้บรรทุก</v>
      </c>
      <c r="H18" s="258"/>
      <c r="I18" s="258"/>
      <c r="J18" s="258"/>
      <c r="K18" s="406">
        <f t="shared" si="3"/>
        <v>40216.080750000001</v>
      </c>
      <c r="L18" s="407">
        <f t="shared" si="4"/>
        <v>3656.007340909091</v>
      </c>
      <c r="M18" s="258"/>
      <c r="N18" s="258"/>
      <c r="O18" s="258"/>
    </row>
    <row r="19" spans="1:26" ht="15" customHeight="1">
      <c r="A19" s="358" t="str">
        <f>'Scope 3.1.1 วัตถุดิบผลิต'!A85</f>
        <v>กระดาษคราฟท์ ชนิดทำลอน (EF596)</v>
      </c>
      <c r="B19" s="358" t="s">
        <v>436</v>
      </c>
      <c r="C19" s="308" t="s">
        <v>280</v>
      </c>
      <c r="D19" s="278">
        <f>'Scope 3.1.1 วัตถุดิบผลิต'!F85</f>
        <v>36449.251000000004</v>
      </c>
      <c r="E19" s="410" t="str">
        <f>'Scope 3.1.1 วัตถุดิบผลิต'!G85</f>
        <v>บริษัท บาแล็นซ์ แพ็คกิ้ง จำกัด</v>
      </c>
      <c r="F19" s="413" t="str">
        <f>B43</f>
        <v>157</v>
      </c>
      <c r="G19" s="291" t="str">
        <f>D43</f>
        <v>6 ล้อ/ตู้บรรทุก</v>
      </c>
      <c r="H19" s="258"/>
      <c r="I19" s="258"/>
      <c r="J19" s="258"/>
      <c r="K19" s="406">
        <f t="shared" si="3"/>
        <v>5722.5324070000006</v>
      </c>
      <c r="L19" s="407">
        <f t="shared" si="4"/>
        <v>520.23021881818192</v>
      </c>
      <c r="M19" s="258"/>
      <c r="N19" s="258"/>
      <c r="O19" s="258"/>
    </row>
    <row r="20" spans="1:26" ht="15" customHeight="1">
      <c r="A20" s="358" t="str">
        <f>'Scope 3.1.1 วัตถุดิบผลิต'!A86</f>
        <v>กระดาษคราฟท์ ชนิดทำลอน (EF596)</v>
      </c>
      <c r="B20" s="358" t="s">
        <v>436</v>
      </c>
      <c r="C20" s="308" t="s">
        <v>280</v>
      </c>
      <c r="D20" s="278">
        <f>'Scope 3.1.1 วัตถุดิบผลิต'!F86</f>
        <v>24857.441000000003</v>
      </c>
      <c r="E20" s="410" t="str">
        <f>'Scope 3.1.1 วัตถุดิบผลิต'!G86</f>
        <v>ห้างหุ้นส่วนจำกัด อชราบรรจุภัณฑ์</v>
      </c>
      <c r="F20" s="413" t="str">
        <f>B46</f>
        <v>110</v>
      </c>
      <c r="G20" s="291" t="str">
        <f>D46</f>
        <v>6 ล้อ/บรรทุก</v>
      </c>
      <c r="H20" s="258"/>
      <c r="I20" s="258"/>
      <c r="J20" s="258"/>
      <c r="K20" s="406">
        <f t="shared" si="3"/>
        <v>2734.3185100000001</v>
      </c>
      <c r="L20" s="407">
        <f t="shared" si="4"/>
        <v>248.57441</v>
      </c>
      <c r="M20" s="406"/>
      <c r="N20" s="407"/>
      <c r="O20" s="258"/>
    </row>
    <row r="23" spans="1:26" ht="26.4" customHeight="1">
      <c r="A23" s="415" t="s">
        <v>522</v>
      </c>
    </row>
    <row r="24" spans="1:26" ht="17.399999999999999" customHeight="1">
      <c r="A24" s="1337" t="s">
        <v>523</v>
      </c>
      <c r="B24" s="1337" t="s">
        <v>524</v>
      </c>
      <c r="C24" s="1337" t="s">
        <v>17</v>
      </c>
      <c r="D24" s="1337" t="s">
        <v>517</v>
      </c>
      <c r="E24" s="1337" t="s">
        <v>525</v>
      </c>
      <c r="F24" s="1337" t="s">
        <v>526</v>
      </c>
      <c r="G24" s="1337" t="s">
        <v>268</v>
      </c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  <c r="X24" s="416"/>
      <c r="Y24" s="416"/>
      <c r="Z24" s="416"/>
    </row>
    <row r="25" spans="1:26" ht="17.399999999999999" customHeight="1">
      <c r="A25" s="1297"/>
      <c r="B25" s="1297"/>
      <c r="C25" s="1297"/>
      <c r="D25" s="1297"/>
      <c r="E25" s="1297"/>
      <c r="F25" s="1297"/>
      <c r="G25" s="1297"/>
      <c r="H25" s="416"/>
      <c r="I25" s="416"/>
      <c r="J25" s="416"/>
      <c r="K25" s="416"/>
      <c r="L25" s="416"/>
      <c r="M25" s="416"/>
      <c r="N25" s="416"/>
      <c r="O25" s="416"/>
      <c r="P25" s="416"/>
      <c r="Q25" s="416"/>
      <c r="R25" s="416"/>
      <c r="S25" s="416"/>
      <c r="T25" s="416"/>
      <c r="U25" s="416"/>
      <c r="V25" s="416"/>
      <c r="W25" s="416"/>
      <c r="X25" s="416"/>
      <c r="Y25" s="416"/>
      <c r="Z25" s="416"/>
    </row>
    <row r="26" spans="1:26" ht="17.399999999999999" customHeight="1">
      <c r="A26" s="304" t="s">
        <v>527</v>
      </c>
      <c r="B26" s="417"/>
      <c r="C26" s="349"/>
      <c r="D26" s="349"/>
      <c r="E26" s="349"/>
      <c r="F26" s="349"/>
      <c r="G26" s="308"/>
    </row>
    <row r="27" spans="1:26" ht="17.399999999999999" customHeight="1">
      <c r="A27" s="349" t="s">
        <v>441</v>
      </c>
      <c r="B27" s="418" t="s">
        <v>528</v>
      </c>
      <c r="C27" s="308" t="s">
        <v>402</v>
      </c>
      <c r="D27" s="308" t="s">
        <v>529</v>
      </c>
      <c r="E27" s="308">
        <v>100</v>
      </c>
      <c r="F27" s="419">
        <v>0</v>
      </c>
      <c r="G27" s="358" t="s">
        <v>530</v>
      </c>
    </row>
    <row r="28" spans="1:26" ht="17.399999999999999" customHeight="1">
      <c r="A28" s="349" t="s">
        <v>444</v>
      </c>
      <c r="B28" s="418" t="s">
        <v>531</v>
      </c>
      <c r="C28" s="308" t="s">
        <v>402</v>
      </c>
      <c r="D28" s="308" t="s">
        <v>529</v>
      </c>
      <c r="E28" s="308">
        <v>100</v>
      </c>
      <c r="F28" s="419">
        <v>0</v>
      </c>
      <c r="G28" s="358" t="s">
        <v>530</v>
      </c>
    </row>
    <row r="29" spans="1:26" ht="17.399999999999999" customHeight="1">
      <c r="A29" s="349" t="s">
        <v>479</v>
      </c>
      <c r="B29" s="418" t="s">
        <v>532</v>
      </c>
      <c r="C29" s="308" t="s">
        <v>402</v>
      </c>
      <c r="D29" s="308" t="s">
        <v>533</v>
      </c>
      <c r="E29" s="308">
        <v>100</v>
      </c>
      <c r="F29" s="419">
        <v>0</v>
      </c>
      <c r="G29" s="358" t="s">
        <v>530</v>
      </c>
    </row>
    <row r="30" spans="1:26" ht="17.399999999999999" customHeight="1">
      <c r="A30" s="349" t="s">
        <v>478</v>
      </c>
      <c r="B30" s="418" t="s">
        <v>534</v>
      </c>
      <c r="C30" s="308" t="s">
        <v>402</v>
      </c>
      <c r="D30" s="308" t="s">
        <v>535</v>
      </c>
      <c r="E30" s="308">
        <v>100</v>
      </c>
      <c r="F30" s="419">
        <v>0</v>
      </c>
      <c r="G30" s="358" t="s">
        <v>530</v>
      </c>
    </row>
    <row r="31" spans="1:26" ht="17.399999999999999" customHeight="1">
      <c r="A31" s="349" t="s">
        <v>484</v>
      </c>
      <c r="B31" s="418" t="s">
        <v>536</v>
      </c>
      <c r="C31" s="308" t="s">
        <v>402</v>
      </c>
      <c r="D31" s="308" t="s">
        <v>535</v>
      </c>
      <c r="E31" s="308">
        <v>100</v>
      </c>
      <c r="F31" s="419">
        <v>0</v>
      </c>
      <c r="G31" s="358" t="s">
        <v>530</v>
      </c>
    </row>
    <row r="32" spans="1:26" ht="17.399999999999999" customHeight="1">
      <c r="A32" s="349" t="s">
        <v>482</v>
      </c>
      <c r="B32" s="418" t="s">
        <v>537</v>
      </c>
      <c r="C32" s="308" t="s">
        <v>402</v>
      </c>
      <c r="D32" s="308" t="s">
        <v>535</v>
      </c>
      <c r="E32" s="308">
        <v>100</v>
      </c>
      <c r="F32" s="419">
        <v>0</v>
      </c>
      <c r="G32" s="358" t="s">
        <v>530</v>
      </c>
    </row>
    <row r="33" spans="1:7" ht="17.399999999999999" customHeight="1">
      <c r="A33" s="349" t="s">
        <v>481</v>
      </c>
      <c r="B33" s="418" t="s">
        <v>538</v>
      </c>
      <c r="C33" s="308" t="s">
        <v>402</v>
      </c>
      <c r="D33" s="308" t="s">
        <v>535</v>
      </c>
      <c r="E33" s="308">
        <v>100</v>
      </c>
      <c r="F33" s="419">
        <v>0</v>
      </c>
      <c r="G33" s="358" t="s">
        <v>530</v>
      </c>
    </row>
    <row r="34" spans="1:7" ht="17.399999999999999" customHeight="1">
      <c r="A34" s="349" t="s">
        <v>480</v>
      </c>
      <c r="B34" s="418" t="s">
        <v>539</v>
      </c>
      <c r="C34" s="308" t="s">
        <v>402</v>
      </c>
      <c r="D34" s="308" t="s">
        <v>535</v>
      </c>
      <c r="E34" s="308">
        <v>100</v>
      </c>
      <c r="F34" s="419">
        <v>0</v>
      </c>
      <c r="G34" s="358" t="s">
        <v>530</v>
      </c>
    </row>
    <row r="35" spans="1:7" ht="17.399999999999999" customHeight="1">
      <c r="A35" s="349" t="s">
        <v>490</v>
      </c>
      <c r="B35" s="418" t="s">
        <v>540</v>
      </c>
      <c r="C35" s="308" t="s">
        <v>402</v>
      </c>
      <c r="D35" s="308" t="s">
        <v>535</v>
      </c>
      <c r="E35" s="308">
        <v>100</v>
      </c>
      <c r="F35" s="419">
        <v>0</v>
      </c>
      <c r="G35" s="358" t="s">
        <v>530</v>
      </c>
    </row>
    <row r="36" spans="1:7" ht="17.399999999999999" customHeight="1">
      <c r="A36" s="349" t="s">
        <v>483</v>
      </c>
      <c r="B36" s="418" t="s">
        <v>541</v>
      </c>
      <c r="C36" s="308" t="s">
        <v>402</v>
      </c>
      <c r="D36" s="308" t="s">
        <v>535</v>
      </c>
      <c r="E36" s="308">
        <v>50</v>
      </c>
      <c r="F36" s="419">
        <v>0</v>
      </c>
      <c r="G36" s="358" t="s">
        <v>530</v>
      </c>
    </row>
    <row r="37" spans="1:7" ht="17.399999999999999" customHeight="1">
      <c r="A37" s="304" t="s">
        <v>542</v>
      </c>
      <c r="B37" s="418"/>
      <c r="C37" s="308"/>
      <c r="D37" s="308"/>
      <c r="E37" s="308"/>
      <c r="F37" s="419"/>
      <c r="G37" s="358"/>
    </row>
    <row r="38" spans="1:7" ht="17.399999999999999" customHeight="1">
      <c r="A38" s="349" t="s">
        <v>456</v>
      </c>
      <c r="B38" s="418" t="s">
        <v>543</v>
      </c>
      <c r="C38" s="308" t="s">
        <v>402</v>
      </c>
      <c r="D38" s="308" t="s">
        <v>533</v>
      </c>
      <c r="E38" s="308">
        <v>100</v>
      </c>
      <c r="F38" s="419">
        <v>0</v>
      </c>
      <c r="G38" s="358" t="s">
        <v>530</v>
      </c>
    </row>
    <row r="39" spans="1:7" ht="17.399999999999999" customHeight="1">
      <c r="A39" s="349" t="s">
        <v>449</v>
      </c>
      <c r="B39" s="418" t="s">
        <v>544</v>
      </c>
      <c r="C39" s="308" t="s">
        <v>402</v>
      </c>
      <c r="D39" s="308" t="s">
        <v>533</v>
      </c>
      <c r="E39" s="308">
        <v>100</v>
      </c>
      <c r="F39" s="419">
        <v>0</v>
      </c>
      <c r="G39" s="358" t="s">
        <v>530</v>
      </c>
    </row>
    <row r="40" spans="1:7" ht="17.399999999999999" customHeight="1">
      <c r="A40" s="349" t="s">
        <v>451</v>
      </c>
      <c r="B40" s="418" t="s">
        <v>545</v>
      </c>
      <c r="C40" s="308" t="s">
        <v>402</v>
      </c>
      <c r="D40" s="308" t="s">
        <v>533</v>
      </c>
      <c r="E40" s="308">
        <v>100</v>
      </c>
      <c r="F40" s="419">
        <v>0</v>
      </c>
      <c r="G40" s="358" t="s">
        <v>530</v>
      </c>
    </row>
    <row r="41" spans="1:7" ht="17.399999999999999" customHeight="1">
      <c r="A41" s="349" t="s">
        <v>453</v>
      </c>
      <c r="B41" s="418" t="s">
        <v>546</v>
      </c>
      <c r="C41" s="308" t="s">
        <v>402</v>
      </c>
      <c r="D41" s="308" t="s">
        <v>533</v>
      </c>
      <c r="E41" s="308">
        <v>100</v>
      </c>
      <c r="F41" s="419">
        <v>0</v>
      </c>
      <c r="G41" s="358" t="s">
        <v>530</v>
      </c>
    </row>
    <row r="42" spans="1:7" ht="17.399999999999999" customHeight="1">
      <c r="A42" s="349" t="s">
        <v>455</v>
      </c>
      <c r="B42" s="418" t="s">
        <v>547</v>
      </c>
      <c r="C42" s="308" t="s">
        <v>402</v>
      </c>
      <c r="D42" s="308" t="s">
        <v>535</v>
      </c>
      <c r="E42" s="308">
        <v>100</v>
      </c>
      <c r="F42" s="419">
        <v>0</v>
      </c>
      <c r="G42" s="358" t="s">
        <v>530</v>
      </c>
    </row>
    <row r="43" spans="1:7" ht="17.399999999999999" customHeight="1">
      <c r="A43" s="349" t="s">
        <v>454</v>
      </c>
      <c r="B43" s="418" t="s">
        <v>548</v>
      </c>
      <c r="C43" s="308" t="s">
        <v>402</v>
      </c>
      <c r="D43" s="308" t="s">
        <v>533</v>
      </c>
      <c r="E43" s="308">
        <v>100</v>
      </c>
      <c r="F43" s="419">
        <v>0</v>
      </c>
      <c r="G43" s="358" t="s">
        <v>530</v>
      </c>
    </row>
    <row r="44" spans="1:7" ht="17.399999999999999" customHeight="1">
      <c r="A44" s="349" t="s">
        <v>452</v>
      </c>
      <c r="B44" s="418" t="s">
        <v>549</v>
      </c>
      <c r="C44" s="308" t="s">
        <v>402</v>
      </c>
      <c r="D44" s="308" t="s">
        <v>533</v>
      </c>
      <c r="E44" s="308">
        <v>100</v>
      </c>
      <c r="F44" s="419">
        <v>0</v>
      </c>
      <c r="G44" s="358" t="s">
        <v>530</v>
      </c>
    </row>
    <row r="45" spans="1:7" ht="17.399999999999999" customHeight="1">
      <c r="A45" s="349" t="s">
        <v>450</v>
      </c>
      <c r="B45" s="418" t="s">
        <v>550</v>
      </c>
      <c r="C45" s="308" t="s">
        <v>402</v>
      </c>
      <c r="D45" s="308" t="s">
        <v>535</v>
      </c>
      <c r="E45" s="308">
        <v>50</v>
      </c>
      <c r="F45" s="419">
        <v>0</v>
      </c>
      <c r="G45" s="358" t="s">
        <v>530</v>
      </c>
    </row>
    <row r="46" spans="1:7" ht="17.399999999999999" customHeight="1">
      <c r="A46" s="349" t="s">
        <v>457</v>
      </c>
      <c r="B46" s="418" t="s">
        <v>551</v>
      </c>
      <c r="C46" s="308" t="s">
        <v>402</v>
      </c>
      <c r="D46" s="308" t="s">
        <v>552</v>
      </c>
      <c r="E46" s="308">
        <v>100</v>
      </c>
      <c r="F46" s="419">
        <v>0</v>
      </c>
      <c r="G46" s="358" t="s">
        <v>530</v>
      </c>
    </row>
    <row r="47" spans="1:7" ht="17.399999999999999" customHeight="1">
      <c r="A47" s="349" t="s">
        <v>448</v>
      </c>
      <c r="B47" s="418" t="s">
        <v>553</v>
      </c>
      <c r="C47" s="308" t="s">
        <v>402</v>
      </c>
      <c r="D47" s="308" t="s">
        <v>535</v>
      </c>
      <c r="E47" s="308">
        <v>100</v>
      </c>
      <c r="F47" s="419">
        <v>0</v>
      </c>
      <c r="G47" s="358" t="s">
        <v>530</v>
      </c>
    </row>
    <row r="48" spans="1:7" ht="17.399999999999999" customHeight="1">
      <c r="A48" s="304" t="s">
        <v>554</v>
      </c>
      <c r="B48" s="418"/>
      <c r="C48" s="308"/>
      <c r="D48" s="308"/>
      <c r="E48" s="308"/>
      <c r="F48" s="419"/>
      <c r="G48" s="358"/>
    </row>
    <row r="49" spans="1:11" ht="17.399999999999999" customHeight="1">
      <c r="A49" s="349" t="s">
        <v>491</v>
      </c>
      <c r="B49" s="418" t="s">
        <v>555</v>
      </c>
      <c r="C49" s="308" t="s">
        <v>402</v>
      </c>
      <c r="D49" s="308" t="s">
        <v>535</v>
      </c>
      <c r="E49" s="308">
        <v>100</v>
      </c>
      <c r="F49" s="419">
        <v>0</v>
      </c>
      <c r="G49" s="358" t="s">
        <v>530</v>
      </c>
    </row>
    <row r="50" spans="1:11" ht="17.399999999999999" customHeight="1">
      <c r="A50" s="349" t="s">
        <v>492</v>
      </c>
      <c r="B50" s="418" t="s">
        <v>556</v>
      </c>
      <c r="C50" s="308" t="s">
        <v>402</v>
      </c>
      <c r="D50" s="308" t="s">
        <v>535</v>
      </c>
      <c r="E50" s="308">
        <v>100</v>
      </c>
      <c r="F50" s="419">
        <v>0</v>
      </c>
      <c r="G50" s="358" t="s">
        <v>530</v>
      </c>
    </row>
    <row r="51" spans="1:11" ht="17.399999999999999" customHeight="1">
      <c r="A51" s="349" t="s">
        <v>493</v>
      </c>
      <c r="B51" s="418" t="s">
        <v>544</v>
      </c>
      <c r="C51" s="308" t="s">
        <v>402</v>
      </c>
      <c r="D51" s="308" t="s">
        <v>535</v>
      </c>
      <c r="E51" s="308">
        <v>100</v>
      </c>
      <c r="F51" s="419">
        <v>0</v>
      </c>
      <c r="G51" s="358" t="s">
        <v>530</v>
      </c>
    </row>
    <row r="52" spans="1:11" ht="17.399999999999999" customHeight="1">
      <c r="A52" s="349" t="s">
        <v>494</v>
      </c>
      <c r="B52" s="418" t="s">
        <v>557</v>
      </c>
      <c r="C52" s="308" t="s">
        <v>402</v>
      </c>
      <c r="D52" s="308" t="s">
        <v>535</v>
      </c>
      <c r="E52" s="308">
        <v>100</v>
      </c>
      <c r="F52" s="419">
        <v>0</v>
      </c>
      <c r="G52" s="358" t="s">
        <v>530</v>
      </c>
    </row>
    <row r="53" spans="1:11" ht="17.399999999999999" customHeight="1">
      <c r="A53" s="349" t="s">
        <v>495</v>
      </c>
      <c r="B53" s="418" t="s">
        <v>558</v>
      </c>
      <c r="C53" s="308" t="s">
        <v>402</v>
      </c>
      <c r="D53" s="308" t="s">
        <v>535</v>
      </c>
      <c r="E53" s="308">
        <v>100</v>
      </c>
      <c r="F53" s="419">
        <v>0</v>
      </c>
      <c r="G53" s="358" t="s">
        <v>530</v>
      </c>
    </row>
    <row r="54" spans="1:11" ht="17.399999999999999" customHeight="1">
      <c r="A54" s="349" t="s">
        <v>496</v>
      </c>
      <c r="B54" s="418" t="s">
        <v>559</v>
      </c>
      <c r="C54" s="308" t="s">
        <v>402</v>
      </c>
      <c r="D54" s="308" t="s">
        <v>535</v>
      </c>
      <c r="E54" s="308">
        <v>100</v>
      </c>
      <c r="F54" s="419">
        <v>0</v>
      </c>
      <c r="G54" s="358" t="s">
        <v>530</v>
      </c>
    </row>
    <row r="55" spans="1:11" ht="17.399999999999999" customHeight="1">
      <c r="A55" s="349" t="s">
        <v>497</v>
      </c>
      <c r="B55" s="418" t="s">
        <v>546</v>
      </c>
      <c r="C55" s="308" t="s">
        <v>402</v>
      </c>
      <c r="D55" s="308" t="s">
        <v>535</v>
      </c>
      <c r="E55" s="308">
        <v>100</v>
      </c>
      <c r="F55" s="419">
        <v>0</v>
      </c>
      <c r="G55" s="358" t="s">
        <v>530</v>
      </c>
    </row>
    <row r="56" spans="1:11" ht="17.399999999999999" customHeight="1">
      <c r="A56" s="349" t="s">
        <v>498</v>
      </c>
      <c r="B56" s="418" t="s">
        <v>557</v>
      </c>
      <c r="C56" s="308" t="s">
        <v>402</v>
      </c>
      <c r="D56" s="308" t="s">
        <v>535</v>
      </c>
      <c r="E56" s="308">
        <v>100</v>
      </c>
      <c r="F56" s="419">
        <v>0</v>
      </c>
      <c r="G56" s="358" t="s">
        <v>530</v>
      </c>
    </row>
    <row r="57" spans="1:11" ht="17.399999999999999" customHeight="1">
      <c r="A57" s="349" t="s">
        <v>499</v>
      </c>
      <c r="B57" s="418" t="s">
        <v>560</v>
      </c>
      <c r="C57" s="308" t="s">
        <v>402</v>
      </c>
      <c r="D57" s="308" t="s">
        <v>535</v>
      </c>
      <c r="E57" s="308">
        <v>100</v>
      </c>
      <c r="F57" s="419">
        <v>0</v>
      </c>
      <c r="G57" s="358" t="s">
        <v>530</v>
      </c>
    </row>
    <row r="58" spans="1:11" ht="17.399999999999999" customHeight="1">
      <c r="A58" s="349" t="s">
        <v>500</v>
      </c>
      <c r="B58" s="418" t="s">
        <v>561</v>
      </c>
      <c r="C58" s="308" t="s">
        <v>402</v>
      </c>
      <c r="D58" s="308" t="s">
        <v>535</v>
      </c>
      <c r="E58" s="308">
        <v>100</v>
      </c>
      <c r="F58" s="419">
        <v>0</v>
      </c>
      <c r="G58" s="358" t="s">
        <v>530</v>
      </c>
    </row>
    <row r="59" spans="1:11" ht="14.25" customHeight="1"/>
    <row r="60" spans="1:11" ht="24" customHeight="1">
      <c r="A60" s="415" t="s">
        <v>562</v>
      </c>
      <c r="H60" s="385"/>
    </row>
    <row r="61" spans="1:11" ht="21" customHeight="1">
      <c r="A61" s="1296" t="s">
        <v>523</v>
      </c>
      <c r="B61" s="1337" t="s">
        <v>563</v>
      </c>
      <c r="C61" s="1337" t="s">
        <v>17</v>
      </c>
      <c r="D61" s="1296" t="s">
        <v>564</v>
      </c>
      <c r="E61" s="1296" t="s">
        <v>565</v>
      </c>
      <c r="F61" s="1375" t="s">
        <v>566</v>
      </c>
      <c r="G61" s="1296" t="s">
        <v>567</v>
      </c>
      <c r="H61" s="1373" t="s">
        <v>525</v>
      </c>
      <c r="I61" s="1373" t="s">
        <v>526</v>
      </c>
      <c r="J61" s="1296" t="s">
        <v>268</v>
      </c>
    </row>
    <row r="62" spans="1:11" ht="21" customHeight="1">
      <c r="A62" s="1297"/>
      <c r="B62" s="1297"/>
      <c r="C62" s="1297"/>
      <c r="D62" s="1297"/>
      <c r="E62" s="1297"/>
      <c r="F62" s="1376"/>
      <c r="G62" s="1297"/>
      <c r="H62" s="1374"/>
      <c r="I62" s="1374"/>
      <c r="J62" s="1297"/>
    </row>
    <row r="63" spans="1:11" ht="18.600000000000001" customHeight="1">
      <c r="A63" s="304" t="s">
        <v>527</v>
      </c>
      <c r="B63" s="420"/>
      <c r="C63" s="349"/>
      <c r="D63" s="349"/>
      <c r="E63" s="349"/>
      <c r="F63" s="308"/>
      <c r="G63" s="349"/>
      <c r="H63" s="349"/>
      <c r="I63" s="308"/>
      <c r="J63" s="358"/>
    </row>
    <row r="64" spans="1:11" ht="18.600000000000001" customHeight="1">
      <c r="A64" s="421" t="s">
        <v>440</v>
      </c>
      <c r="B64" s="406">
        <v>7944.93</v>
      </c>
      <c r="C64" s="271" t="s">
        <v>402</v>
      </c>
      <c r="D64" s="358" t="s">
        <v>568</v>
      </c>
      <c r="E64" s="308" t="s">
        <v>569</v>
      </c>
      <c r="F64" s="308">
        <v>2</v>
      </c>
      <c r="G64" s="308" t="s">
        <v>570</v>
      </c>
      <c r="H64" s="308">
        <v>100</v>
      </c>
      <c r="I64" s="308">
        <v>0</v>
      </c>
      <c r="J64" s="358" t="s">
        <v>530</v>
      </c>
      <c r="K64" s="422">
        <v>7944.93</v>
      </c>
    </row>
    <row r="65" spans="1:11" ht="18.600000000000001" customHeight="1">
      <c r="A65" s="421" t="s">
        <v>443</v>
      </c>
      <c r="B65" s="423">
        <v>8560.68</v>
      </c>
      <c r="C65" s="271" t="s">
        <v>402</v>
      </c>
      <c r="D65" s="358" t="s">
        <v>571</v>
      </c>
      <c r="E65" s="308" t="s">
        <v>569</v>
      </c>
      <c r="F65" s="308">
        <v>2</v>
      </c>
      <c r="G65" s="308" t="s">
        <v>570</v>
      </c>
      <c r="H65" s="308">
        <v>100</v>
      </c>
      <c r="I65" s="308">
        <v>0</v>
      </c>
      <c r="J65" s="358" t="s">
        <v>530</v>
      </c>
      <c r="K65" s="424">
        <v>8560.68</v>
      </c>
    </row>
    <row r="66" spans="1:11" ht="18.600000000000001" customHeight="1">
      <c r="A66" s="421" t="s">
        <v>475</v>
      </c>
      <c r="B66" s="323">
        <v>18132.080000000002</v>
      </c>
      <c r="C66" s="271" t="s">
        <v>402</v>
      </c>
      <c r="D66" s="358" t="s">
        <v>572</v>
      </c>
      <c r="E66" s="308" t="s">
        <v>569</v>
      </c>
      <c r="F66" s="308">
        <v>2</v>
      </c>
      <c r="G66" s="308" t="s">
        <v>570</v>
      </c>
      <c r="H66" s="308">
        <v>100</v>
      </c>
      <c r="I66" s="308">
        <v>0</v>
      </c>
      <c r="J66" s="358" t="s">
        <v>530</v>
      </c>
      <c r="K66" s="425">
        <v>18132.080000000002</v>
      </c>
    </row>
    <row r="67" spans="1:11" ht="18.600000000000001" customHeight="1">
      <c r="A67" s="421" t="s">
        <v>476</v>
      </c>
      <c r="B67" s="323">
        <v>18132.080000000002</v>
      </c>
      <c r="C67" s="271" t="s">
        <v>402</v>
      </c>
      <c r="D67" s="358" t="s">
        <v>572</v>
      </c>
      <c r="E67" s="308" t="s">
        <v>569</v>
      </c>
      <c r="F67" s="308">
        <v>2</v>
      </c>
      <c r="G67" s="308" t="s">
        <v>570</v>
      </c>
      <c r="H67" s="308">
        <v>100</v>
      </c>
      <c r="I67" s="308">
        <v>0</v>
      </c>
      <c r="J67" s="358" t="s">
        <v>530</v>
      </c>
      <c r="K67" s="425">
        <v>18132.080000000002</v>
      </c>
    </row>
    <row r="68" spans="1:11" ht="18.600000000000001" customHeight="1">
      <c r="A68" s="421" t="s">
        <v>489</v>
      </c>
      <c r="B68" s="323">
        <v>23759.14</v>
      </c>
      <c r="C68" s="271" t="s">
        <v>402</v>
      </c>
      <c r="D68" s="358" t="s">
        <v>573</v>
      </c>
      <c r="E68" s="308" t="s">
        <v>569</v>
      </c>
      <c r="F68" s="308">
        <v>2</v>
      </c>
      <c r="G68" s="308" t="s">
        <v>570</v>
      </c>
      <c r="H68" s="308">
        <v>100</v>
      </c>
      <c r="I68" s="308">
        <v>0</v>
      </c>
      <c r="J68" s="358" t="s">
        <v>530</v>
      </c>
      <c r="K68" s="425">
        <v>23759.14</v>
      </c>
    </row>
    <row r="69" spans="1:11" ht="18.600000000000001" customHeight="1">
      <c r="A69" s="421" t="s">
        <v>488</v>
      </c>
      <c r="B69" s="323">
        <v>23759.14</v>
      </c>
      <c r="C69" s="271" t="s">
        <v>402</v>
      </c>
      <c r="D69" s="358" t="s">
        <v>573</v>
      </c>
      <c r="E69" s="308" t="s">
        <v>569</v>
      </c>
      <c r="F69" s="308">
        <v>2</v>
      </c>
      <c r="G69" s="308" t="s">
        <v>570</v>
      </c>
      <c r="H69" s="308">
        <v>100</v>
      </c>
      <c r="I69" s="308">
        <v>0</v>
      </c>
      <c r="J69" s="358" t="s">
        <v>530</v>
      </c>
      <c r="K69" s="425">
        <v>23759.14</v>
      </c>
    </row>
    <row r="70" spans="1:11" ht="18.600000000000001" customHeight="1">
      <c r="A70" s="421" t="s">
        <v>486</v>
      </c>
      <c r="B70" s="323">
        <v>16507.2</v>
      </c>
      <c r="C70" s="271" t="s">
        <v>402</v>
      </c>
      <c r="D70" s="358" t="s">
        <v>574</v>
      </c>
      <c r="E70" s="308" t="s">
        <v>569</v>
      </c>
      <c r="F70" s="308">
        <v>2</v>
      </c>
      <c r="G70" s="308" t="s">
        <v>570</v>
      </c>
      <c r="H70" s="308">
        <v>100</v>
      </c>
      <c r="I70" s="308">
        <v>0</v>
      </c>
      <c r="J70" s="358" t="s">
        <v>530</v>
      </c>
      <c r="K70" s="425">
        <v>16507.2</v>
      </c>
    </row>
    <row r="71" spans="1:11" ht="18.600000000000001" customHeight="1">
      <c r="A71" s="421" t="s">
        <v>485</v>
      </c>
      <c r="B71" s="323">
        <v>2424.08</v>
      </c>
      <c r="C71" s="271" t="s">
        <v>402</v>
      </c>
      <c r="D71" s="358" t="s">
        <v>575</v>
      </c>
      <c r="E71" s="308" t="s">
        <v>569</v>
      </c>
      <c r="F71" s="308">
        <v>2</v>
      </c>
      <c r="G71" s="308" t="s">
        <v>570</v>
      </c>
      <c r="H71" s="308">
        <v>100</v>
      </c>
      <c r="I71" s="308">
        <v>0</v>
      </c>
      <c r="J71" s="358" t="s">
        <v>530</v>
      </c>
      <c r="K71" s="425">
        <v>2424.08</v>
      </c>
    </row>
    <row r="72" spans="1:11" ht="18.600000000000001" customHeight="1">
      <c r="A72" s="421" t="s">
        <v>477</v>
      </c>
      <c r="B72" s="323">
        <v>2570.59</v>
      </c>
      <c r="C72" s="271" t="s">
        <v>402</v>
      </c>
      <c r="D72" s="358" t="s">
        <v>576</v>
      </c>
      <c r="E72" s="308" t="s">
        <v>569</v>
      </c>
      <c r="F72" s="308">
        <v>2</v>
      </c>
      <c r="G72" s="308" t="s">
        <v>570</v>
      </c>
      <c r="H72" s="308">
        <v>100</v>
      </c>
      <c r="I72" s="308">
        <v>0</v>
      </c>
      <c r="J72" s="358" t="s">
        <v>530</v>
      </c>
      <c r="K72" s="425">
        <v>2570.59</v>
      </c>
    </row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</sheetData>
  <mergeCells count="28">
    <mergeCell ref="A2:A4"/>
    <mergeCell ref="B2:B4"/>
    <mergeCell ref="C2:C4"/>
    <mergeCell ref="E2:E4"/>
    <mergeCell ref="F2:F4"/>
    <mergeCell ref="A24:A25"/>
    <mergeCell ref="B24:B25"/>
    <mergeCell ref="C24:C25"/>
    <mergeCell ref="D24:D25"/>
    <mergeCell ref="E24:E25"/>
    <mergeCell ref="H2:H4"/>
    <mergeCell ref="I2:J2"/>
    <mergeCell ref="K2:L2"/>
    <mergeCell ref="M2:N2"/>
    <mergeCell ref="D3:D4"/>
    <mergeCell ref="G2:G4"/>
    <mergeCell ref="A61:A62"/>
    <mergeCell ref="B61:B62"/>
    <mergeCell ref="C61:C62"/>
    <mergeCell ref="D61:D62"/>
    <mergeCell ref="E61:E62"/>
    <mergeCell ref="H61:H62"/>
    <mergeCell ref="I61:I62"/>
    <mergeCell ref="J61:J62"/>
    <mergeCell ref="F24:F25"/>
    <mergeCell ref="G24:G25"/>
    <mergeCell ref="F61:F62"/>
    <mergeCell ref="G61:G62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2DE4-BD86-45E5-A962-9C2B061FAC41}">
  <sheetPr>
    <tabColor theme="9" tint="0.39997558519241921"/>
  </sheetPr>
  <dimension ref="A1:AA1003"/>
  <sheetViews>
    <sheetView workbookViewId="0">
      <selection activeCell="H15" sqref="H15"/>
    </sheetView>
  </sheetViews>
  <sheetFormatPr defaultColWidth="14.3984375" defaultRowHeight="15" customHeight="1"/>
  <cols>
    <col min="1" max="1" width="31" style="228" customWidth="1"/>
    <col min="2" max="2" width="17.59765625" style="228" customWidth="1"/>
    <col min="3" max="3" width="18.8984375" style="228" customWidth="1"/>
    <col min="4" max="4" width="16.19921875" style="228" customWidth="1"/>
    <col min="5" max="5" width="8.796875" style="228" customWidth="1"/>
    <col min="6" max="18" width="15.19921875" style="228" customWidth="1"/>
    <col min="19" max="27" width="8.796875" style="228" customWidth="1"/>
    <col min="28" max="16384" width="14.3984375" style="228"/>
  </cols>
  <sheetData>
    <row r="1" spans="1:27" ht="14.25" customHeight="1">
      <c r="A1" s="416"/>
    </row>
    <row r="2" spans="1:27" ht="22.8" customHeight="1">
      <c r="A2" s="1393" t="s">
        <v>577</v>
      </c>
      <c r="B2" s="1393" t="s">
        <v>578</v>
      </c>
      <c r="C2" s="1385" t="s">
        <v>268</v>
      </c>
      <c r="D2" s="1393" t="s">
        <v>579</v>
      </c>
      <c r="E2" s="1385" t="s">
        <v>269</v>
      </c>
      <c r="F2" s="1394" t="s">
        <v>270</v>
      </c>
      <c r="G2" s="1385" t="s">
        <v>580</v>
      </c>
      <c r="H2" s="1386"/>
      <c r="I2" s="1386"/>
      <c r="J2" s="1386"/>
      <c r="K2" s="1386"/>
      <c r="L2" s="1386"/>
      <c r="M2" s="1386"/>
      <c r="N2" s="1386"/>
      <c r="O2" s="1386"/>
      <c r="P2" s="1386"/>
      <c r="Q2" s="1386"/>
      <c r="R2" s="1386"/>
    </row>
    <row r="3" spans="1:27" ht="22.8" customHeight="1">
      <c r="A3" s="1386"/>
      <c r="B3" s="1386"/>
      <c r="C3" s="1386"/>
      <c r="D3" s="1386"/>
      <c r="E3" s="1386"/>
      <c r="F3" s="1394"/>
      <c r="G3" s="426">
        <v>1</v>
      </c>
      <c r="H3" s="426">
        <v>2</v>
      </c>
      <c r="I3" s="426">
        <v>3</v>
      </c>
      <c r="J3" s="426">
        <v>4</v>
      </c>
      <c r="K3" s="426">
        <v>5</v>
      </c>
      <c r="L3" s="426">
        <v>6</v>
      </c>
      <c r="M3" s="426">
        <v>7</v>
      </c>
      <c r="N3" s="426">
        <v>8</v>
      </c>
      <c r="O3" s="426">
        <v>9</v>
      </c>
      <c r="P3" s="426">
        <v>10</v>
      </c>
      <c r="Q3" s="426">
        <v>11</v>
      </c>
      <c r="R3" s="426">
        <v>12</v>
      </c>
    </row>
    <row r="4" spans="1:27" s="260" customFormat="1" ht="21.6" customHeight="1">
      <c r="A4" s="283" t="s">
        <v>581</v>
      </c>
      <c r="B4" s="427" t="s">
        <v>582</v>
      </c>
      <c r="C4" s="427" t="s">
        <v>583</v>
      </c>
      <c r="D4" s="428" t="s">
        <v>584</v>
      </c>
      <c r="E4" s="429" t="s">
        <v>280</v>
      </c>
      <c r="F4" s="430">
        <f>SUM(G4:R4)</f>
        <v>150000</v>
      </c>
      <c r="G4" s="894">
        <v>12000</v>
      </c>
      <c r="H4" s="808">
        <v>12000</v>
      </c>
      <c r="I4" s="808">
        <v>13000</v>
      </c>
      <c r="J4" s="808">
        <v>9000</v>
      </c>
      <c r="K4" s="808">
        <v>13000</v>
      </c>
      <c r="L4" s="808">
        <v>13000</v>
      </c>
      <c r="M4" s="808">
        <v>13000</v>
      </c>
      <c r="N4" s="808">
        <v>14000</v>
      </c>
      <c r="O4" s="808">
        <v>13000</v>
      </c>
      <c r="P4" s="808">
        <v>13000</v>
      </c>
      <c r="Q4" s="808">
        <v>13000</v>
      </c>
      <c r="R4" s="808">
        <v>12000</v>
      </c>
    </row>
    <row r="5" spans="1:27" s="260" customFormat="1" ht="21.6" customHeight="1">
      <c r="A5" s="283" t="s">
        <v>585</v>
      </c>
      <c r="B5" s="431"/>
      <c r="C5" s="431" t="s">
        <v>2772</v>
      </c>
      <c r="D5" s="428" t="s">
        <v>586</v>
      </c>
      <c r="E5" s="429" t="s">
        <v>280</v>
      </c>
      <c r="F5" s="432">
        <f>F14</f>
        <v>680</v>
      </c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</row>
    <row r="6" spans="1:27" s="260" customFormat="1" ht="21.6" customHeight="1">
      <c r="A6" s="283" t="s">
        <v>587</v>
      </c>
      <c r="B6" s="431"/>
      <c r="C6" s="431"/>
      <c r="D6" s="433" t="s">
        <v>588</v>
      </c>
      <c r="E6" s="429" t="s">
        <v>280</v>
      </c>
      <c r="F6" s="432">
        <f>SUM(F7:F13,F15:F18)</f>
        <v>263158.40000000002</v>
      </c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</row>
    <row r="7" spans="1:27" s="260" customFormat="1" ht="21.6" customHeight="1">
      <c r="A7" s="434" t="s">
        <v>589</v>
      </c>
      <c r="B7" s="435" t="s">
        <v>590</v>
      </c>
      <c r="C7" s="435" t="s">
        <v>591</v>
      </c>
      <c r="D7" s="436" t="s">
        <v>592</v>
      </c>
      <c r="E7" s="437" t="s">
        <v>593</v>
      </c>
      <c r="F7" s="438">
        <f>SUM(G7:R7)</f>
        <v>8156</v>
      </c>
      <c r="G7" s="437" t="s">
        <v>594</v>
      </c>
      <c r="H7" s="439">
        <v>2156</v>
      </c>
      <c r="I7" s="439"/>
      <c r="J7" s="439">
        <v>1000</v>
      </c>
      <c r="K7" s="437" t="s">
        <v>594</v>
      </c>
      <c r="L7" s="439">
        <v>1200</v>
      </c>
      <c r="M7" s="437" t="s">
        <v>594</v>
      </c>
      <c r="N7" s="437" t="s">
        <v>594</v>
      </c>
      <c r="O7" s="439">
        <v>1800</v>
      </c>
      <c r="P7" s="437" t="s">
        <v>594</v>
      </c>
      <c r="Q7" s="439">
        <v>2000</v>
      </c>
      <c r="R7" s="437" t="s">
        <v>594</v>
      </c>
      <c r="S7" s="440"/>
      <c r="T7" s="441"/>
      <c r="U7" s="440"/>
      <c r="V7" s="440"/>
      <c r="W7" s="440"/>
      <c r="X7" s="440"/>
      <c r="Y7" s="440"/>
      <c r="Z7" s="440"/>
      <c r="AA7" s="440"/>
    </row>
    <row r="8" spans="1:27" s="260" customFormat="1" ht="21.6" customHeight="1">
      <c r="A8" s="442" t="s">
        <v>595</v>
      </c>
      <c r="B8" s="350" t="s">
        <v>596</v>
      </c>
      <c r="C8" s="350" t="s">
        <v>591</v>
      </c>
      <c r="D8" s="443" t="s">
        <v>592</v>
      </c>
      <c r="E8" s="357" t="s">
        <v>593</v>
      </c>
      <c r="F8" s="438">
        <f t="shared" ref="F8:F18" si="0">SUM(G8:R8)</f>
        <v>3200</v>
      </c>
      <c r="G8" s="357" t="s">
        <v>594</v>
      </c>
      <c r="H8" s="357" t="s">
        <v>594</v>
      </c>
      <c r="I8" s="444"/>
      <c r="J8" s="444">
        <v>800</v>
      </c>
      <c r="K8" s="444" t="s">
        <v>594</v>
      </c>
      <c r="L8" s="444">
        <v>400</v>
      </c>
      <c r="M8" s="444" t="s">
        <v>594</v>
      </c>
      <c r="N8" s="444" t="s">
        <v>594</v>
      </c>
      <c r="O8" s="444">
        <v>1400</v>
      </c>
      <c r="P8" s="444" t="s">
        <v>594</v>
      </c>
      <c r="Q8" s="444">
        <v>600</v>
      </c>
      <c r="R8" s="357" t="s">
        <v>594</v>
      </c>
      <c r="S8" s="440"/>
      <c r="T8" s="440"/>
      <c r="U8" s="440"/>
      <c r="V8" s="440"/>
      <c r="W8" s="440"/>
      <c r="X8" s="440"/>
      <c r="Y8" s="440"/>
      <c r="Z8" s="440"/>
      <c r="AA8" s="440"/>
    </row>
    <row r="9" spans="1:27" s="260" customFormat="1" ht="21.6" customHeight="1">
      <c r="A9" s="442" t="s">
        <v>597</v>
      </c>
      <c r="B9" s="350" t="s">
        <v>598</v>
      </c>
      <c r="C9" s="350" t="s">
        <v>591</v>
      </c>
      <c r="D9" s="443" t="s">
        <v>599</v>
      </c>
      <c r="E9" s="357" t="s">
        <v>593</v>
      </c>
      <c r="F9" s="438">
        <f t="shared" si="0"/>
        <v>1220.5</v>
      </c>
      <c r="G9" s="357" t="s">
        <v>594</v>
      </c>
      <c r="H9" s="444">
        <v>156</v>
      </c>
      <c r="I9" s="444"/>
      <c r="J9" s="444">
        <v>505</v>
      </c>
      <c r="K9" s="444" t="s">
        <v>594</v>
      </c>
      <c r="L9" s="444">
        <v>323.3</v>
      </c>
      <c r="M9" s="444" t="s">
        <v>594</v>
      </c>
      <c r="N9" s="444" t="s">
        <v>594</v>
      </c>
      <c r="O9" s="444">
        <v>106.2</v>
      </c>
      <c r="P9" s="444" t="s">
        <v>594</v>
      </c>
      <c r="Q9" s="444">
        <v>130</v>
      </c>
      <c r="R9" s="357" t="s">
        <v>594</v>
      </c>
      <c r="S9" s="440"/>
      <c r="T9" s="440"/>
      <c r="U9" s="440"/>
      <c r="V9" s="440"/>
      <c r="W9" s="440"/>
      <c r="X9" s="440"/>
      <c r="Y9" s="440"/>
      <c r="Z9" s="440"/>
      <c r="AA9" s="440"/>
    </row>
    <row r="10" spans="1:27" s="260" customFormat="1" ht="21.6" customHeight="1">
      <c r="A10" s="442" t="s">
        <v>600</v>
      </c>
      <c r="B10" s="445" t="s">
        <v>601</v>
      </c>
      <c r="C10" s="350" t="s">
        <v>591</v>
      </c>
      <c r="D10" s="443" t="s">
        <v>592</v>
      </c>
      <c r="E10" s="357" t="s">
        <v>593</v>
      </c>
      <c r="F10" s="438">
        <f t="shared" si="0"/>
        <v>10989.9</v>
      </c>
      <c r="G10" s="357" t="s">
        <v>594</v>
      </c>
      <c r="H10" s="444">
        <v>2010</v>
      </c>
      <c r="I10" s="444"/>
      <c r="J10" s="444">
        <v>1251.2</v>
      </c>
      <c r="K10" s="357" t="s">
        <v>594</v>
      </c>
      <c r="L10" s="444">
        <v>2654.8</v>
      </c>
      <c r="M10" s="357" t="s">
        <v>594</v>
      </c>
      <c r="N10" s="357" t="s">
        <v>594</v>
      </c>
      <c r="O10" s="444">
        <v>2383.9</v>
      </c>
      <c r="P10" s="357" t="s">
        <v>594</v>
      </c>
      <c r="Q10" s="444">
        <v>2690</v>
      </c>
      <c r="R10" s="357" t="s">
        <v>594</v>
      </c>
      <c r="S10" s="440"/>
      <c r="T10" s="440"/>
      <c r="U10" s="440"/>
      <c r="V10" s="440"/>
      <c r="W10" s="440"/>
      <c r="X10" s="440"/>
      <c r="Y10" s="440"/>
      <c r="Z10" s="440"/>
      <c r="AA10" s="440"/>
    </row>
    <row r="11" spans="1:27" s="260" customFormat="1" ht="21.6" customHeight="1">
      <c r="A11" s="442" t="s">
        <v>602</v>
      </c>
      <c r="B11" s="350" t="s">
        <v>603</v>
      </c>
      <c r="C11" s="350" t="s">
        <v>591</v>
      </c>
      <c r="D11" s="443" t="s">
        <v>604</v>
      </c>
      <c r="E11" s="357" t="s">
        <v>593</v>
      </c>
      <c r="F11" s="438">
        <f t="shared" si="0"/>
        <v>7052</v>
      </c>
      <c r="G11" s="357" t="s">
        <v>594</v>
      </c>
      <c r="H11" s="444">
        <v>4452</v>
      </c>
      <c r="I11" s="357" t="s">
        <v>594</v>
      </c>
      <c r="J11" s="357" t="s">
        <v>594</v>
      </c>
      <c r="K11" s="357" t="s">
        <v>594</v>
      </c>
      <c r="L11" s="357" t="s">
        <v>594</v>
      </c>
      <c r="M11" s="357" t="s">
        <v>594</v>
      </c>
      <c r="N11" s="357" t="s">
        <v>594</v>
      </c>
      <c r="O11" s="444">
        <v>2600</v>
      </c>
      <c r="P11" s="357" t="s">
        <v>594</v>
      </c>
      <c r="Q11" s="357" t="s">
        <v>594</v>
      </c>
      <c r="R11" s="357" t="s">
        <v>594</v>
      </c>
      <c r="S11" s="440"/>
      <c r="T11" s="440"/>
      <c r="U11" s="440"/>
      <c r="V11" s="440"/>
      <c r="W11" s="440"/>
      <c r="X11" s="440"/>
      <c r="Y11" s="440"/>
      <c r="Z11" s="440"/>
      <c r="AA11" s="440"/>
    </row>
    <row r="12" spans="1:27" s="260" customFormat="1" ht="21.6" customHeight="1">
      <c r="A12" s="442" t="s">
        <v>602</v>
      </c>
      <c r="B12" s="350" t="s">
        <v>605</v>
      </c>
      <c r="C12" s="350" t="s">
        <v>591</v>
      </c>
      <c r="D12" s="443" t="s">
        <v>592</v>
      </c>
      <c r="E12" s="357" t="s">
        <v>593</v>
      </c>
      <c r="F12" s="438">
        <f t="shared" si="0"/>
        <v>62597</v>
      </c>
      <c r="G12" s="357" t="s">
        <v>594</v>
      </c>
      <c r="H12" s="357" t="s">
        <v>594</v>
      </c>
      <c r="I12" s="357" t="s">
        <v>594</v>
      </c>
      <c r="J12" s="357" t="s">
        <v>594</v>
      </c>
      <c r="K12" s="444">
        <v>62597</v>
      </c>
      <c r="L12" s="357" t="s">
        <v>594</v>
      </c>
      <c r="M12" s="357" t="s">
        <v>594</v>
      </c>
      <c r="N12" s="357" t="s">
        <v>594</v>
      </c>
      <c r="O12" s="357" t="s">
        <v>594</v>
      </c>
      <c r="P12" s="357" t="s">
        <v>594</v>
      </c>
      <c r="Q12" s="357" t="s">
        <v>594</v>
      </c>
      <c r="R12" s="357" t="s">
        <v>594</v>
      </c>
      <c r="S12" s="440"/>
      <c r="T12" s="440"/>
      <c r="U12" s="440"/>
      <c r="V12" s="440"/>
      <c r="W12" s="440"/>
      <c r="X12" s="440"/>
      <c r="Y12" s="440"/>
      <c r="Z12" s="440"/>
      <c r="AA12" s="440"/>
    </row>
    <row r="13" spans="1:27" s="260" customFormat="1" ht="21.6" customHeight="1">
      <c r="A13" s="442" t="s">
        <v>606</v>
      </c>
      <c r="B13" s="350" t="s">
        <v>607</v>
      </c>
      <c r="C13" s="350" t="s">
        <v>591</v>
      </c>
      <c r="D13" s="443" t="s">
        <v>599</v>
      </c>
      <c r="E13" s="357" t="s">
        <v>593</v>
      </c>
      <c r="F13" s="438">
        <f t="shared" si="0"/>
        <v>15.6</v>
      </c>
      <c r="G13" s="357" t="s">
        <v>594</v>
      </c>
      <c r="H13" s="444">
        <v>7.6</v>
      </c>
      <c r="I13" s="444" t="s">
        <v>594</v>
      </c>
      <c r="J13" s="444" t="s">
        <v>594</v>
      </c>
      <c r="K13" s="444" t="s">
        <v>594</v>
      </c>
      <c r="L13" s="444" t="s">
        <v>594</v>
      </c>
      <c r="M13" s="444" t="s">
        <v>594</v>
      </c>
      <c r="N13" s="444" t="s">
        <v>594</v>
      </c>
      <c r="O13" s="444">
        <v>8</v>
      </c>
      <c r="P13" s="357" t="s">
        <v>594</v>
      </c>
      <c r="Q13" s="357" t="s">
        <v>594</v>
      </c>
      <c r="R13" s="357" t="s">
        <v>594</v>
      </c>
      <c r="S13" s="440"/>
      <c r="T13" s="440"/>
      <c r="U13" s="440"/>
      <c r="V13" s="440"/>
      <c r="W13" s="440"/>
      <c r="X13" s="440"/>
      <c r="Y13" s="440"/>
      <c r="Z13" s="440"/>
      <c r="AA13" s="440"/>
    </row>
    <row r="14" spans="1:27" s="260" customFormat="1" ht="21.6" customHeight="1">
      <c r="A14" s="442" t="s">
        <v>608</v>
      </c>
      <c r="B14" s="350" t="s">
        <v>609</v>
      </c>
      <c r="C14" s="350" t="s">
        <v>591</v>
      </c>
      <c r="D14" s="443" t="s">
        <v>610</v>
      </c>
      <c r="E14" s="357" t="s">
        <v>593</v>
      </c>
      <c r="F14" s="438">
        <f t="shared" si="0"/>
        <v>680</v>
      </c>
      <c r="G14" s="444" t="s">
        <v>594</v>
      </c>
      <c r="H14" s="444" t="s">
        <v>594</v>
      </c>
      <c r="I14" s="444" t="s">
        <v>594</v>
      </c>
      <c r="J14" s="444" t="s">
        <v>594</v>
      </c>
      <c r="K14" s="444" t="s">
        <v>594</v>
      </c>
      <c r="L14" s="444" t="s">
        <v>594</v>
      </c>
      <c r="M14" s="444" t="s">
        <v>594</v>
      </c>
      <c r="N14" s="444" t="s">
        <v>594</v>
      </c>
      <c r="O14" s="444" t="s">
        <v>594</v>
      </c>
      <c r="P14" s="444" t="s">
        <v>594</v>
      </c>
      <c r="Q14" s="444">
        <v>680</v>
      </c>
      <c r="R14" s="357" t="s">
        <v>594</v>
      </c>
      <c r="S14" s="440"/>
      <c r="T14" s="440"/>
      <c r="U14" s="440"/>
      <c r="V14" s="440"/>
      <c r="W14" s="440"/>
      <c r="X14" s="440"/>
      <c r="Y14" s="440"/>
      <c r="Z14" s="440"/>
      <c r="AA14" s="440"/>
    </row>
    <row r="15" spans="1:27" s="260" customFormat="1" ht="21.6" customHeight="1">
      <c r="A15" s="442" t="s">
        <v>611</v>
      </c>
      <c r="B15" s="350" t="s">
        <v>612</v>
      </c>
      <c r="C15" s="350" t="s">
        <v>591</v>
      </c>
      <c r="D15" s="443" t="s">
        <v>604</v>
      </c>
      <c r="E15" s="357" t="s">
        <v>593</v>
      </c>
      <c r="F15" s="438">
        <f t="shared" si="0"/>
        <v>18405</v>
      </c>
      <c r="G15" s="444">
        <v>400</v>
      </c>
      <c r="H15" s="444">
        <v>1550</v>
      </c>
      <c r="I15" s="444">
        <v>2595</v>
      </c>
      <c r="J15" s="444">
        <v>1450</v>
      </c>
      <c r="K15" s="444">
        <v>470</v>
      </c>
      <c r="L15" s="444">
        <v>1030</v>
      </c>
      <c r="M15" s="444">
        <v>1060</v>
      </c>
      <c r="N15" s="444">
        <v>470</v>
      </c>
      <c r="O15" s="444">
        <v>495</v>
      </c>
      <c r="P15" s="444">
        <v>695</v>
      </c>
      <c r="Q15" s="444">
        <v>5200</v>
      </c>
      <c r="R15" s="444">
        <v>2990</v>
      </c>
      <c r="S15" s="440"/>
      <c r="T15" s="440"/>
      <c r="U15" s="440"/>
      <c r="V15" s="440"/>
      <c r="W15" s="440"/>
      <c r="X15" s="440"/>
      <c r="Y15" s="440"/>
      <c r="Z15" s="440"/>
      <c r="AA15" s="440"/>
    </row>
    <row r="16" spans="1:27" s="260" customFormat="1" ht="21.6" customHeight="1">
      <c r="A16" s="442" t="s">
        <v>613</v>
      </c>
      <c r="B16" s="350" t="s">
        <v>614</v>
      </c>
      <c r="C16" s="350" t="s">
        <v>591</v>
      </c>
      <c r="D16" s="443" t="s">
        <v>604</v>
      </c>
      <c r="E16" s="357" t="s">
        <v>593</v>
      </c>
      <c r="F16" s="438">
        <f t="shared" si="0"/>
        <v>75927.199999999997</v>
      </c>
      <c r="G16" s="446">
        <v>3568.8</v>
      </c>
      <c r="H16" s="446">
        <v>4253.8</v>
      </c>
      <c r="I16" s="446">
        <v>3686.4</v>
      </c>
      <c r="J16" s="446">
        <v>2574.4</v>
      </c>
      <c r="K16" s="446">
        <v>6233.2</v>
      </c>
      <c r="L16" s="446">
        <v>4925.6000000000004</v>
      </c>
      <c r="M16" s="446">
        <v>7195.2</v>
      </c>
      <c r="N16" s="446">
        <v>8567.2000000000007</v>
      </c>
      <c r="O16" s="446">
        <v>5861.2</v>
      </c>
      <c r="P16" s="446">
        <v>5961.4</v>
      </c>
      <c r="Q16" s="446">
        <v>10500</v>
      </c>
      <c r="R16" s="446">
        <v>12600</v>
      </c>
      <c r="S16" s="440"/>
      <c r="T16" s="440"/>
      <c r="U16" s="440"/>
      <c r="V16" s="440"/>
      <c r="W16" s="440"/>
      <c r="X16" s="440"/>
      <c r="Y16" s="440"/>
      <c r="Z16" s="440"/>
      <c r="AA16" s="440"/>
    </row>
    <row r="17" spans="1:27" s="260" customFormat="1" ht="21.6" customHeight="1">
      <c r="A17" s="442" t="s">
        <v>615</v>
      </c>
      <c r="B17" s="350" t="s">
        <v>616</v>
      </c>
      <c r="C17" s="350" t="s">
        <v>591</v>
      </c>
      <c r="D17" s="443" t="s">
        <v>604</v>
      </c>
      <c r="E17" s="357" t="s">
        <v>593</v>
      </c>
      <c r="F17" s="438">
        <f t="shared" si="0"/>
        <v>23999</v>
      </c>
      <c r="G17" s="444" t="s">
        <v>594</v>
      </c>
      <c r="H17" s="444">
        <v>165</v>
      </c>
      <c r="I17" s="444">
        <v>0</v>
      </c>
      <c r="J17" s="444">
        <v>110</v>
      </c>
      <c r="K17" s="444">
        <v>0</v>
      </c>
      <c r="L17" s="444">
        <v>155</v>
      </c>
      <c r="M17" s="444">
        <v>0</v>
      </c>
      <c r="N17" s="444">
        <v>70</v>
      </c>
      <c r="O17" s="444">
        <v>100</v>
      </c>
      <c r="P17" s="444">
        <v>119</v>
      </c>
      <c r="Q17" s="444">
        <v>13000</v>
      </c>
      <c r="R17" s="444">
        <v>10280</v>
      </c>
      <c r="S17" s="440"/>
      <c r="T17" s="440"/>
      <c r="U17" s="440"/>
      <c r="V17" s="440"/>
      <c r="W17" s="440"/>
      <c r="X17" s="440"/>
      <c r="Y17" s="440"/>
      <c r="Z17" s="440"/>
      <c r="AA17" s="440"/>
    </row>
    <row r="18" spans="1:27" s="260" customFormat="1" ht="21.6" customHeight="1">
      <c r="A18" s="442" t="s">
        <v>617</v>
      </c>
      <c r="B18" s="350" t="s">
        <v>618</v>
      </c>
      <c r="C18" s="350" t="s">
        <v>591</v>
      </c>
      <c r="D18" s="443" t="s">
        <v>604</v>
      </c>
      <c r="E18" s="357" t="s">
        <v>593</v>
      </c>
      <c r="F18" s="438">
        <f t="shared" si="0"/>
        <v>51596.2</v>
      </c>
      <c r="G18" s="444">
        <v>2275.4</v>
      </c>
      <c r="H18" s="444">
        <v>2398</v>
      </c>
      <c r="I18" s="444">
        <v>2166.1</v>
      </c>
      <c r="J18" s="444">
        <v>2904.9</v>
      </c>
      <c r="K18" s="444">
        <v>1948.2</v>
      </c>
      <c r="L18" s="444">
        <v>2929.2</v>
      </c>
      <c r="M18" s="444">
        <v>2596.8000000000002</v>
      </c>
      <c r="N18" s="444">
        <v>5274.1</v>
      </c>
      <c r="O18" s="444">
        <v>2684.4</v>
      </c>
      <c r="P18" s="444">
        <v>3419.1</v>
      </c>
      <c r="Q18" s="444">
        <v>12000</v>
      </c>
      <c r="R18" s="444">
        <v>11000</v>
      </c>
      <c r="S18" s="440"/>
      <c r="T18" s="440"/>
      <c r="U18" s="440"/>
      <c r="V18" s="440"/>
      <c r="W18" s="440"/>
      <c r="X18" s="440"/>
      <c r="Y18" s="440"/>
      <c r="Z18" s="440"/>
      <c r="AA18" s="440"/>
    </row>
    <row r="19" spans="1:27" ht="30" customHeight="1"/>
    <row r="20" spans="1:27" ht="30" customHeight="1">
      <c r="A20" s="447" t="s">
        <v>408</v>
      </c>
      <c r="B20" s="448"/>
    </row>
    <row r="21" spans="1:27" ht="30" customHeight="1">
      <c r="A21" s="1321" t="s">
        <v>134</v>
      </c>
      <c r="B21" s="1321" t="s">
        <v>619</v>
      </c>
      <c r="C21" s="1388" t="s">
        <v>620</v>
      </c>
      <c r="D21" s="1323" t="s">
        <v>621</v>
      </c>
      <c r="E21" s="1323" t="s">
        <v>622</v>
      </c>
      <c r="F21" s="1392" t="s">
        <v>623</v>
      </c>
      <c r="G21" s="1392"/>
      <c r="H21" s="1392" t="s">
        <v>624</v>
      </c>
      <c r="I21" s="1392"/>
      <c r="J21" s="1392" t="s">
        <v>625</v>
      </c>
      <c r="K21" s="1392"/>
    </row>
    <row r="22" spans="1:27" ht="16.8" customHeight="1">
      <c r="A22" s="1387"/>
      <c r="B22" s="1387"/>
      <c r="C22" s="1389"/>
      <c r="D22" s="1391"/>
      <c r="E22" s="1391"/>
      <c r="F22" s="449" t="s">
        <v>400</v>
      </c>
      <c r="G22" s="449" t="s">
        <v>402</v>
      </c>
      <c r="H22" s="449" t="s">
        <v>400</v>
      </c>
      <c r="I22" s="449" t="s">
        <v>402</v>
      </c>
      <c r="J22" s="449" t="s">
        <v>400</v>
      </c>
      <c r="K22" s="449" t="s">
        <v>402</v>
      </c>
    </row>
    <row r="23" spans="1:27" ht="16.8" customHeight="1">
      <c r="A23" s="1322"/>
      <c r="B23" s="1322"/>
      <c r="C23" s="1390"/>
      <c r="D23" s="1324"/>
      <c r="E23" s="1324"/>
      <c r="F23" s="450">
        <f t="shared" ref="F23:K23" si="1">SUM(F24:F26)</f>
        <v>31132.931200000006</v>
      </c>
      <c r="G23" s="450">
        <f t="shared" si="1"/>
        <v>1945.8082000000004</v>
      </c>
      <c r="H23" s="450">
        <f t="shared" si="1"/>
        <v>0</v>
      </c>
      <c r="I23" s="450">
        <f t="shared" si="1"/>
        <v>0</v>
      </c>
      <c r="J23" s="450">
        <f t="shared" si="1"/>
        <v>6000</v>
      </c>
      <c r="K23" s="450">
        <f t="shared" si="1"/>
        <v>545.4545454545455</v>
      </c>
    </row>
    <row r="24" spans="1:27" ht="14.25" customHeight="1">
      <c r="A24" s="451" t="s">
        <v>581</v>
      </c>
      <c r="B24" s="291" t="s">
        <v>626</v>
      </c>
      <c r="C24" s="258" t="s">
        <v>627</v>
      </c>
      <c r="D24" s="406">
        <v>40</v>
      </c>
      <c r="E24" s="407" t="str">
        <f>E4</f>
        <v>Kg</v>
      </c>
      <c r="F24" s="406"/>
      <c r="G24" s="406"/>
      <c r="H24" s="258"/>
      <c r="I24" s="258"/>
      <c r="J24" s="407">
        <f>D24*F4/1000</f>
        <v>6000</v>
      </c>
      <c r="K24" s="407">
        <f>J24/11</f>
        <v>545.4545454545455</v>
      </c>
    </row>
    <row r="25" spans="1:27" ht="14.25" customHeight="1">
      <c r="A25" s="451" t="s">
        <v>585</v>
      </c>
      <c r="B25" s="291" t="s">
        <v>626</v>
      </c>
      <c r="C25" s="258" t="s">
        <v>628</v>
      </c>
      <c r="D25" s="406">
        <v>118</v>
      </c>
      <c r="E25" s="407" t="str">
        <f t="shared" ref="E25:E26" si="2">E5</f>
        <v>Kg</v>
      </c>
      <c r="F25" s="406">
        <f>D25*F5/1000</f>
        <v>80.239999999999995</v>
      </c>
      <c r="G25" s="406">
        <f>F25/16</f>
        <v>5.0149999999999997</v>
      </c>
      <c r="H25" s="407"/>
      <c r="I25" s="407"/>
      <c r="J25" s="258"/>
      <c r="K25" s="258"/>
    </row>
    <row r="26" spans="1:27" ht="14.25" customHeight="1">
      <c r="A26" s="451" t="s">
        <v>587</v>
      </c>
      <c r="B26" s="291" t="s">
        <v>626</v>
      </c>
      <c r="C26" s="258" t="s">
        <v>628</v>
      </c>
      <c r="D26" s="406">
        <v>118</v>
      </c>
      <c r="E26" s="407" t="str">
        <f t="shared" si="2"/>
        <v>Kg</v>
      </c>
      <c r="F26" s="407">
        <f>D26*F6/1000</f>
        <v>31052.691200000005</v>
      </c>
      <c r="G26" s="407">
        <f>F26/16</f>
        <v>1940.7932000000003</v>
      </c>
      <c r="H26" s="258"/>
      <c r="I26" s="258"/>
      <c r="J26" s="406"/>
      <c r="K26" s="406"/>
    </row>
    <row r="27" spans="1:27" ht="14.25" customHeight="1">
      <c r="A27" s="416"/>
    </row>
    <row r="28" spans="1:27" ht="14.25" customHeight="1">
      <c r="A28" s="416"/>
    </row>
    <row r="29" spans="1:27" ht="14.25" customHeight="1">
      <c r="A29" s="416"/>
    </row>
    <row r="30" spans="1:27" ht="14.25" customHeight="1">
      <c r="A30" s="416"/>
    </row>
    <row r="31" spans="1:27" ht="14.25" customHeight="1">
      <c r="A31" s="416"/>
    </row>
    <row r="32" spans="1:27" ht="14.25" customHeight="1">
      <c r="A32" s="416"/>
    </row>
    <row r="33" spans="1:1" ht="14.25" customHeight="1">
      <c r="A33" s="416"/>
    </row>
    <row r="34" spans="1:1" ht="14.25" customHeight="1">
      <c r="A34" s="416"/>
    </row>
    <row r="35" spans="1:1" ht="14.25" customHeight="1">
      <c r="A35" s="416"/>
    </row>
    <row r="36" spans="1:1" ht="14.25" customHeight="1">
      <c r="A36" s="416"/>
    </row>
    <row r="37" spans="1:1" ht="14.25" customHeight="1">
      <c r="A37" s="416"/>
    </row>
    <row r="38" spans="1:1" ht="14.25" customHeight="1">
      <c r="A38" s="416"/>
    </row>
    <row r="39" spans="1:1" ht="14.25" customHeight="1">
      <c r="A39" s="416"/>
    </row>
    <row r="40" spans="1:1" ht="14.25" customHeight="1">
      <c r="A40" s="416"/>
    </row>
    <row r="41" spans="1:1" ht="14.25" customHeight="1">
      <c r="A41" s="416"/>
    </row>
    <row r="42" spans="1:1" ht="14.25" customHeight="1">
      <c r="A42" s="416"/>
    </row>
    <row r="43" spans="1:1" ht="14.25" customHeight="1">
      <c r="A43" s="416"/>
    </row>
    <row r="44" spans="1:1" ht="14.25" customHeight="1">
      <c r="A44" s="416"/>
    </row>
    <row r="45" spans="1:1" ht="14.25" customHeight="1">
      <c r="A45" s="416"/>
    </row>
    <row r="46" spans="1:1" ht="14.25" customHeight="1">
      <c r="A46" s="416"/>
    </row>
    <row r="47" spans="1:1" ht="14.25" customHeight="1">
      <c r="A47" s="416"/>
    </row>
    <row r="48" spans="1:1" ht="14.25" customHeight="1">
      <c r="A48" s="416"/>
    </row>
    <row r="49" spans="1:1" ht="14.25" customHeight="1">
      <c r="A49" s="416"/>
    </row>
    <row r="50" spans="1:1" ht="14.25" customHeight="1">
      <c r="A50" s="416"/>
    </row>
    <row r="51" spans="1:1" ht="14.25" customHeight="1">
      <c r="A51" s="416"/>
    </row>
    <row r="52" spans="1:1" ht="14.25" customHeight="1">
      <c r="A52" s="416"/>
    </row>
    <row r="53" spans="1:1" ht="14.25" customHeight="1">
      <c r="A53" s="416"/>
    </row>
    <row r="54" spans="1:1" ht="14.25" customHeight="1">
      <c r="A54" s="416"/>
    </row>
    <row r="55" spans="1:1" ht="14.25" customHeight="1">
      <c r="A55" s="416"/>
    </row>
    <row r="56" spans="1:1" ht="14.25" customHeight="1">
      <c r="A56" s="416"/>
    </row>
    <row r="57" spans="1:1" ht="14.25" customHeight="1">
      <c r="A57" s="416"/>
    </row>
    <row r="58" spans="1:1" ht="14.25" customHeight="1">
      <c r="A58" s="416"/>
    </row>
    <row r="59" spans="1:1" ht="14.25" customHeight="1">
      <c r="A59" s="416"/>
    </row>
    <row r="60" spans="1:1" ht="14.25" customHeight="1">
      <c r="A60" s="416"/>
    </row>
    <row r="61" spans="1:1" ht="14.25" customHeight="1">
      <c r="A61" s="416"/>
    </row>
    <row r="62" spans="1:1" ht="14.25" customHeight="1">
      <c r="A62" s="416"/>
    </row>
    <row r="63" spans="1:1" ht="14.25" customHeight="1">
      <c r="A63" s="416"/>
    </row>
    <row r="64" spans="1:1" ht="14.25" customHeight="1">
      <c r="A64" s="416"/>
    </row>
    <row r="65" spans="1:1" ht="14.25" customHeight="1">
      <c r="A65" s="416"/>
    </row>
    <row r="66" spans="1:1" ht="14.25" customHeight="1">
      <c r="A66" s="416"/>
    </row>
    <row r="67" spans="1:1" ht="14.25" customHeight="1">
      <c r="A67" s="416"/>
    </row>
    <row r="68" spans="1:1" ht="14.25" customHeight="1">
      <c r="A68" s="416"/>
    </row>
    <row r="69" spans="1:1" ht="14.25" customHeight="1">
      <c r="A69" s="416"/>
    </row>
    <row r="70" spans="1:1" ht="14.25" customHeight="1">
      <c r="A70" s="416"/>
    </row>
    <row r="71" spans="1:1" ht="14.25" customHeight="1">
      <c r="A71" s="416"/>
    </row>
    <row r="72" spans="1:1" ht="14.25" customHeight="1">
      <c r="A72" s="416"/>
    </row>
    <row r="73" spans="1:1" ht="14.25" customHeight="1">
      <c r="A73" s="416"/>
    </row>
    <row r="74" spans="1:1" ht="14.25" customHeight="1">
      <c r="A74" s="416"/>
    </row>
    <row r="75" spans="1:1" ht="14.25" customHeight="1">
      <c r="A75" s="416"/>
    </row>
    <row r="76" spans="1:1" ht="14.25" customHeight="1">
      <c r="A76" s="416"/>
    </row>
    <row r="77" spans="1:1" ht="14.25" customHeight="1">
      <c r="A77" s="416"/>
    </row>
    <row r="78" spans="1:1" ht="14.25" customHeight="1">
      <c r="A78" s="416"/>
    </row>
    <row r="79" spans="1:1" ht="14.25" customHeight="1">
      <c r="A79" s="416"/>
    </row>
    <row r="80" spans="1:1" ht="14.25" customHeight="1">
      <c r="A80" s="416"/>
    </row>
    <row r="81" spans="1:1" ht="14.25" customHeight="1">
      <c r="A81" s="416"/>
    </row>
    <row r="82" spans="1:1" ht="14.25" customHeight="1">
      <c r="A82" s="416"/>
    </row>
    <row r="83" spans="1:1" ht="14.25" customHeight="1">
      <c r="A83" s="416"/>
    </row>
    <row r="84" spans="1:1" ht="14.25" customHeight="1">
      <c r="A84" s="416"/>
    </row>
    <row r="85" spans="1:1" ht="14.25" customHeight="1">
      <c r="A85" s="416"/>
    </row>
    <row r="86" spans="1:1" ht="14.25" customHeight="1">
      <c r="A86" s="416"/>
    </row>
    <row r="87" spans="1:1" ht="14.25" customHeight="1">
      <c r="A87" s="416"/>
    </row>
    <row r="88" spans="1:1" ht="14.25" customHeight="1">
      <c r="A88" s="416"/>
    </row>
    <row r="89" spans="1:1" ht="14.25" customHeight="1">
      <c r="A89" s="416"/>
    </row>
    <row r="90" spans="1:1" ht="14.25" customHeight="1">
      <c r="A90" s="416"/>
    </row>
    <row r="91" spans="1:1" ht="14.25" customHeight="1">
      <c r="A91" s="416"/>
    </row>
    <row r="92" spans="1:1" ht="14.25" customHeight="1">
      <c r="A92" s="416"/>
    </row>
    <row r="93" spans="1:1" ht="14.25" customHeight="1">
      <c r="A93" s="416"/>
    </row>
    <row r="94" spans="1:1" ht="14.25" customHeight="1">
      <c r="A94" s="416"/>
    </row>
    <row r="95" spans="1:1" ht="14.25" customHeight="1">
      <c r="A95" s="416"/>
    </row>
    <row r="96" spans="1:1" ht="14.25" customHeight="1">
      <c r="A96" s="416"/>
    </row>
    <row r="97" spans="1:1" ht="14.25" customHeight="1">
      <c r="A97" s="416"/>
    </row>
    <row r="98" spans="1:1" ht="14.25" customHeight="1">
      <c r="A98" s="416"/>
    </row>
    <row r="99" spans="1:1" ht="14.25" customHeight="1">
      <c r="A99" s="416"/>
    </row>
    <row r="100" spans="1:1" ht="14.25" customHeight="1">
      <c r="A100" s="416"/>
    </row>
    <row r="101" spans="1:1" ht="14.25" customHeight="1">
      <c r="A101" s="416"/>
    </row>
    <row r="102" spans="1:1" ht="14.25" customHeight="1">
      <c r="A102" s="416"/>
    </row>
    <row r="103" spans="1:1" ht="14.25" customHeight="1">
      <c r="A103" s="416"/>
    </row>
    <row r="104" spans="1:1" ht="14.25" customHeight="1">
      <c r="A104" s="416"/>
    </row>
    <row r="105" spans="1:1" ht="14.25" customHeight="1">
      <c r="A105" s="416"/>
    </row>
    <row r="106" spans="1:1" ht="14.25" customHeight="1">
      <c r="A106" s="416"/>
    </row>
    <row r="107" spans="1:1" ht="14.25" customHeight="1">
      <c r="A107" s="416"/>
    </row>
    <row r="108" spans="1:1" ht="14.25" customHeight="1">
      <c r="A108" s="416"/>
    </row>
    <row r="109" spans="1:1" ht="14.25" customHeight="1">
      <c r="A109" s="416"/>
    </row>
    <row r="110" spans="1:1" ht="14.25" customHeight="1">
      <c r="A110" s="416"/>
    </row>
    <row r="111" spans="1:1" ht="14.25" customHeight="1">
      <c r="A111" s="416"/>
    </row>
    <row r="112" spans="1:1" ht="14.25" customHeight="1">
      <c r="A112" s="416"/>
    </row>
    <row r="113" spans="1:1" ht="14.25" customHeight="1">
      <c r="A113" s="416"/>
    </row>
    <row r="114" spans="1:1" ht="14.25" customHeight="1">
      <c r="A114" s="416"/>
    </row>
    <row r="115" spans="1:1" ht="14.25" customHeight="1">
      <c r="A115" s="416"/>
    </row>
    <row r="116" spans="1:1" ht="14.25" customHeight="1">
      <c r="A116" s="416"/>
    </row>
    <row r="117" spans="1:1" ht="14.25" customHeight="1">
      <c r="A117" s="416"/>
    </row>
    <row r="118" spans="1:1" ht="14.25" customHeight="1">
      <c r="A118" s="416"/>
    </row>
    <row r="119" spans="1:1" ht="14.25" customHeight="1">
      <c r="A119" s="416"/>
    </row>
    <row r="120" spans="1:1" ht="14.25" customHeight="1">
      <c r="A120" s="416"/>
    </row>
    <row r="121" spans="1:1" ht="14.25" customHeight="1">
      <c r="A121" s="416"/>
    </row>
    <row r="122" spans="1:1" ht="14.25" customHeight="1">
      <c r="A122" s="416"/>
    </row>
    <row r="123" spans="1:1" ht="14.25" customHeight="1">
      <c r="A123" s="416"/>
    </row>
    <row r="124" spans="1:1" ht="14.25" customHeight="1">
      <c r="A124" s="416"/>
    </row>
    <row r="125" spans="1:1" ht="14.25" customHeight="1">
      <c r="A125" s="416"/>
    </row>
    <row r="126" spans="1:1" ht="14.25" customHeight="1">
      <c r="A126" s="416"/>
    </row>
    <row r="127" spans="1:1" ht="14.25" customHeight="1">
      <c r="A127" s="416"/>
    </row>
    <row r="128" spans="1:1" ht="14.25" customHeight="1">
      <c r="A128" s="416"/>
    </row>
    <row r="129" spans="1:1" ht="14.25" customHeight="1">
      <c r="A129" s="416"/>
    </row>
    <row r="130" spans="1:1" ht="14.25" customHeight="1">
      <c r="A130" s="416"/>
    </row>
    <row r="131" spans="1:1" ht="14.25" customHeight="1">
      <c r="A131" s="416"/>
    </row>
    <row r="132" spans="1:1" ht="14.25" customHeight="1">
      <c r="A132" s="416"/>
    </row>
    <row r="133" spans="1:1" ht="14.25" customHeight="1">
      <c r="A133" s="416"/>
    </row>
    <row r="134" spans="1:1" ht="14.25" customHeight="1">
      <c r="A134" s="416"/>
    </row>
    <row r="135" spans="1:1" ht="14.25" customHeight="1">
      <c r="A135" s="416"/>
    </row>
    <row r="136" spans="1:1" ht="14.25" customHeight="1">
      <c r="A136" s="416"/>
    </row>
    <row r="137" spans="1:1" ht="14.25" customHeight="1">
      <c r="A137" s="416"/>
    </row>
    <row r="138" spans="1:1" ht="14.25" customHeight="1">
      <c r="A138" s="416"/>
    </row>
    <row r="139" spans="1:1" ht="14.25" customHeight="1">
      <c r="A139" s="416"/>
    </row>
    <row r="140" spans="1:1" ht="14.25" customHeight="1">
      <c r="A140" s="416"/>
    </row>
    <row r="141" spans="1:1" ht="14.25" customHeight="1">
      <c r="A141" s="416"/>
    </row>
    <row r="142" spans="1:1" ht="14.25" customHeight="1">
      <c r="A142" s="416"/>
    </row>
    <row r="143" spans="1:1" ht="14.25" customHeight="1">
      <c r="A143" s="416"/>
    </row>
    <row r="144" spans="1:1" ht="14.25" customHeight="1">
      <c r="A144" s="416"/>
    </row>
    <row r="145" spans="1:1" ht="14.25" customHeight="1">
      <c r="A145" s="416"/>
    </row>
    <row r="146" spans="1:1" ht="14.25" customHeight="1">
      <c r="A146" s="416"/>
    </row>
    <row r="147" spans="1:1" ht="14.25" customHeight="1">
      <c r="A147" s="416"/>
    </row>
    <row r="148" spans="1:1" ht="14.25" customHeight="1">
      <c r="A148" s="416"/>
    </row>
    <row r="149" spans="1:1" ht="14.25" customHeight="1">
      <c r="A149" s="416"/>
    </row>
    <row r="150" spans="1:1" ht="14.25" customHeight="1">
      <c r="A150" s="416"/>
    </row>
    <row r="151" spans="1:1" ht="14.25" customHeight="1">
      <c r="A151" s="416"/>
    </row>
    <row r="152" spans="1:1" ht="14.25" customHeight="1">
      <c r="A152" s="416"/>
    </row>
    <row r="153" spans="1:1" ht="14.25" customHeight="1">
      <c r="A153" s="416"/>
    </row>
    <row r="154" spans="1:1" ht="14.25" customHeight="1">
      <c r="A154" s="416"/>
    </row>
    <row r="155" spans="1:1" ht="14.25" customHeight="1">
      <c r="A155" s="416"/>
    </row>
    <row r="156" spans="1:1" ht="14.25" customHeight="1">
      <c r="A156" s="416"/>
    </row>
    <row r="157" spans="1:1" ht="14.25" customHeight="1">
      <c r="A157" s="416"/>
    </row>
    <row r="158" spans="1:1" ht="14.25" customHeight="1">
      <c r="A158" s="416"/>
    </row>
    <row r="159" spans="1:1" ht="14.25" customHeight="1">
      <c r="A159" s="416"/>
    </row>
    <row r="160" spans="1:1" ht="14.25" customHeight="1">
      <c r="A160" s="416"/>
    </row>
    <row r="161" spans="1:1" ht="14.25" customHeight="1">
      <c r="A161" s="416"/>
    </row>
    <row r="162" spans="1:1" ht="14.25" customHeight="1">
      <c r="A162" s="416"/>
    </row>
    <row r="163" spans="1:1" ht="14.25" customHeight="1">
      <c r="A163" s="416"/>
    </row>
    <row r="164" spans="1:1" ht="14.25" customHeight="1">
      <c r="A164" s="416"/>
    </row>
    <row r="165" spans="1:1" ht="14.25" customHeight="1">
      <c r="A165" s="416"/>
    </row>
    <row r="166" spans="1:1" ht="14.25" customHeight="1">
      <c r="A166" s="416"/>
    </row>
    <row r="167" spans="1:1" ht="14.25" customHeight="1">
      <c r="A167" s="416"/>
    </row>
    <row r="168" spans="1:1" ht="14.25" customHeight="1">
      <c r="A168" s="416"/>
    </row>
    <row r="169" spans="1:1" ht="14.25" customHeight="1">
      <c r="A169" s="416"/>
    </row>
    <row r="170" spans="1:1" ht="14.25" customHeight="1">
      <c r="A170" s="416"/>
    </row>
    <row r="171" spans="1:1" ht="14.25" customHeight="1">
      <c r="A171" s="416"/>
    </row>
    <row r="172" spans="1:1" ht="14.25" customHeight="1">
      <c r="A172" s="416"/>
    </row>
    <row r="173" spans="1:1" ht="14.25" customHeight="1">
      <c r="A173" s="416"/>
    </row>
    <row r="174" spans="1:1" ht="14.25" customHeight="1">
      <c r="A174" s="416"/>
    </row>
    <row r="175" spans="1:1" ht="14.25" customHeight="1">
      <c r="A175" s="416"/>
    </row>
    <row r="176" spans="1:1" ht="14.25" customHeight="1">
      <c r="A176" s="416"/>
    </row>
    <row r="177" spans="1:1" ht="14.25" customHeight="1">
      <c r="A177" s="416"/>
    </row>
    <row r="178" spans="1:1" ht="14.25" customHeight="1">
      <c r="A178" s="416"/>
    </row>
    <row r="179" spans="1:1" ht="14.25" customHeight="1">
      <c r="A179" s="416"/>
    </row>
    <row r="180" spans="1:1" ht="14.25" customHeight="1">
      <c r="A180" s="416"/>
    </row>
    <row r="181" spans="1:1" ht="14.25" customHeight="1">
      <c r="A181" s="416"/>
    </row>
    <row r="182" spans="1:1" ht="14.25" customHeight="1">
      <c r="A182" s="416"/>
    </row>
    <row r="183" spans="1:1" ht="14.25" customHeight="1">
      <c r="A183" s="416"/>
    </row>
    <row r="184" spans="1:1" ht="14.25" customHeight="1">
      <c r="A184" s="416"/>
    </row>
    <row r="185" spans="1:1" ht="14.25" customHeight="1">
      <c r="A185" s="416"/>
    </row>
    <row r="186" spans="1:1" ht="14.25" customHeight="1">
      <c r="A186" s="416"/>
    </row>
    <row r="187" spans="1:1" ht="14.25" customHeight="1">
      <c r="A187" s="416"/>
    </row>
    <row r="188" spans="1:1" ht="14.25" customHeight="1">
      <c r="A188" s="416"/>
    </row>
    <row r="189" spans="1:1" ht="14.25" customHeight="1">
      <c r="A189" s="416"/>
    </row>
    <row r="190" spans="1:1" ht="14.25" customHeight="1">
      <c r="A190" s="416"/>
    </row>
    <row r="191" spans="1:1" ht="14.25" customHeight="1">
      <c r="A191" s="416"/>
    </row>
    <row r="192" spans="1:1" ht="14.25" customHeight="1">
      <c r="A192" s="416"/>
    </row>
    <row r="193" spans="1:1" ht="14.25" customHeight="1">
      <c r="A193" s="416"/>
    </row>
    <row r="194" spans="1:1" ht="14.25" customHeight="1">
      <c r="A194" s="416"/>
    </row>
    <row r="195" spans="1:1" ht="14.25" customHeight="1">
      <c r="A195" s="416"/>
    </row>
    <row r="196" spans="1:1" ht="14.25" customHeight="1">
      <c r="A196" s="416"/>
    </row>
    <row r="197" spans="1:1" ht="14.25" customHeight="1">
      <c r="A197" s="416"/>
    </row>
    <row r="198" spans="1:1" ht="14.25" customHeight="1">
      <c r="A198" s="416"/>
    </row>
    <row r="199" spans="1:1" ht="14.25" customHeight="1">
      <c r="A199" s="416"/>
    </row>
    <row r="200" spans="1:1" ht="14.25" customHeight="1">
      <c r="A200" s="416"/>
    </row>
    <row r="201" spans="1:1" ht="14.25" customHeight="1">
      <c r="A201" s="416"/>
    </row>
    <row r="202" spans="1:1" ht="14.25" customHeight="1">
      <c r="A202" s="416"/>
    </row>
    <row r="203" spans="1:1" ht="14.25" customHeight="1">
      <c r="A203" s="416"/>
    </row>
    <row r="204" spans="1:1" ht="14.25" customHeight="1">
      <c r="A204" s="416"/>
    </row>
    <row r="205" spans="1:1" ht="14.25" customHeight="1">
      <c r="A205" s="416"/>
    </row>
    <row r="206" spans="1:1" ht="14.25" customHeight="1">
      <c r="A206" s="416"/>
    </row>
    <row r="207" spans="1:1" ht="14.25" customHeight="1">
      <c r="A207" s="416"/>
    </row>
    <row r="208" spans="1:1" ht="14.25" customHeight="1">
      <c r="A208" s="416"/>
    </row>
    <row r="209" spans="1:1" ht="14.25" customHeight="1">
      <c r="A209" s="416"/>
    </row>
    <row r="210" spans="1:1" ht="14.25" customHeight="1">
      <c r="A210" s="416"/>
    </row>
    <row r="211" spans="1:1" ht="14.25" customHeight="1">
      <c r="A211" s="416"/>
    </row>
    <row r="212" spans="1:1" ht="14.25" customHeight="1">
      <c r="A212" s="416"/>
    </row>
    <row r="213" spans="1:1" ht="14.25" customHeight="1">
      <c r="A213" s="416"/>
    </row>
    <row r="214" spans="1:1" ht="14.25" customHeight="1">
      <c r="A214" s="416"/>
    </row>
    <row r="215" spans="1:1" ht="14.25" customHeight="1">
      <c r="A215" s="416"/>
    </row>
    <row r="216" spans="1:1" ht="14.25" customHeight="1">
      <c r="A216" s="416"/>
    </row>
    <row r="217" spans="1:1" ht="14.25" customHeight="1">
      <c r="A217" s="416"/>
    </row>
    <row r="218" spans="1:1" ht="14.25" customHeight="1">
      <c r="A218" s="416"/>
    </row>
    <row r="219" spans="1:1" ht="14.25" customHeight="1">
      <c r="A219" s="416"/>
    </row>
    <row r="220" spans="1:1" ht="14.25" customHeight="1">
      <c r="A220" s="416"/>
    </row>
    <row r="221" spans="1:1" ht="14.25" customHeight="1">
      <c r="A221" s="416"/>
    </row>
    <row r="222" spans="1:1" ht="14.25" customHeight="1">
      <c r="A222" s="416"/>
    </row>
    <row r="223" spans="1:1" ht="14.25" customHeight="1">
      <c r="A223" s="416"/>
    </row>
    <row r="224" spans="1:1" ht="14.25" customHeight="1">
      <c r="A224" s="416"/>
    </row>
    <row r="225" spans="1:1" ht="14.25" customHeight="1">
      <c r="A225" s="416"/>
    </row>
    <row r="226" spans="1:1" ht="14.25" customHeight="1">
      <c r="A226" s="416"/>
    </row>
    <row r="227" spans="1:1" ht="14.25" customHeight="1">
      <c r="A227" s="416"/>
    </row>
    <row r="228" spans="1:1" ht="14.25" customHeight="1">
      <c r="A228" s="416"/>
    </row>
    <row r="229" spans="1:1" ht="14.25" customHeight="1">
      <c r="A229" s="416"/>
    </row>
    <row r="230" spans="1:1" ht="14.25" customHeight="1">
      <c r="A230" s="416"/>
    </row>
    <row r="231" spans="1:1" ht="14.25" customHeight="1">
      <c r="A231" s="416"/>
    </row>
    <row r="232" spans="1:1" ht="14.25" customHeight="1">
      <c r="A232" s="416"/>
    </row>
    <row r="233" spans="1:1" ht="14.25" customHeight="1">
      <c r="A233" s="416"/>
    </row>
    <row r="234" spans="1:1" ht="14.25" customHeight="1">
      <c r="A234" s="416"/>
    </row>
    <row r="235" spans="1:1" ht="14.25" customHeight="1">
      <c r="A235" s="416"/>
    </row>
    <row r="236" spans="1:1" ht="14.25" customHeight="1">
      <c r="A236" s="416"/>
    </row>
    <row r="237" spans="1:1" ht="14.25" customHeight="1">
      <c r="A237" s="416"/>
    </row>
    <row r="238" spans="1:1" ht="14.25" customHeight="1">
      <c r="A238" s="416"/>
    </row>
    <row r="239" spans="1:1" ht="14.25" customHeight="1">
      <c r="A239" s="416"/>
    </row>
    <row r="240" spans="1:1" ht="14.25" customHeight="1">
      <c r="A240" s="416"/>
    </row>
    <row r="241" spans="1:1" ht="14.25" customHeight="1">
      <c r="A241" s="416"/>
    </row>
    <row r="242" spans="1:1" ht="14.25" customHeight="1">
      <c r="A242" s="416"/>
    </row>
    <row r="243" spans="1:1" ht="14.25" customHeight="1">
      <c r="A243" s="416"/>
    </row>
    <row r="244" spans="1:1" ht="14.25" customHeight="1">
      <c r="A244" s="416"/>
    </row>
    <row r="245" spans="1:1" ht="14.25" customHeight="1">
      <c r="A245" s="416"/>
    </row>
    <row r="246" spans="1:1" ht="14.25" customHeight="1">
      <c r="A246" s="416"/>
    </row>
    <row r="247" spans="1:1" ht="14.25" customHeight="1">
      <c r="A247" s="416"/>
    </row>
    <row r="248" spans="1:1" ht="14.25" customHeight="1">
      <c r="A248" s="416"/>
    </row>
    <row r="249" spans="1:1" ht="14.25" customHeight="1">
      <c r="A249" s="416"/>
    </row>
    <row r="250" spans="1:1" ht="14.25" customHeight="1">
      <c r="A250" s="416"/>
    </row>
    <row r="251" spans="1:1" ht="14.25" customHeight="1">
      <c r="A251" s="416"/>
    </row>
    <row r="252" spans="1:1" ht="14.25" customHeight="1">
      <c r="A252" s="416"/>
    </row>
    <row r="253" spans="1:1" ht="14.25" customHeight="1">
      <c r="A253" s="416"/>
    </row>
    <row r="254" spans="1:1" ht="14.25" customHeight="1">
      <c r="A254" s="416"/>
    </row>
    <row r="255" spans="1:1" ht="14.25" customHeight="1">
      <c r="A255" s="416"/>
    </row>
    <row r="256" spans="1:1" ht="14.25" customHeight="1">
      <c r="A256" s="416"/>
    </row>
    <row r="257" spans="1:1" ht="14.25" customHeight="1">
      <c r="A257" s="416"/>
    </row>
    <row r="258" spans="1:1" ht="14.25" customHeight="1">
      <c r="A258" s="416"/>
    </row>
    <row r="259" spans="1:1" ht="14.25" customHeight="1">
      <c r="A259" s="416"/>
    </row>
    <row r="260" spans="1:1" ht="14.25" customHeight="1">
      <c r="A260" s="416"/>
    </row>
    <row r="261" spans="1:1" ht="14.25" customHeight="1">
      <c r="A261" s="416"/>
    </row>
    <row r="262" spans="1:1" ht="14.25" customHeight="1">
      <c r="A262" s="416"/>
    </row>
    <row r="263" spans="1:1" ht="14.25" customHeight="1">
      <c r="A263" s="416"/>
    </row>
    <row r="264" spans="1:1" ht="14.25" customHeight="1">
      <c r="A264" s="416"/>
    </row>
    <row r="265" spans="1:1" ht="14.25" customHeight="1">
      <c r="A265" s="416"/>
    </row>
    <row r="266" spans="1:1" ht="14.25" customHeight="1">
      <c r="A266" s="416"/>
    </row>
    <row r="267" spans="1:1" ht="14.25" customHeight="1">
      <c r="A267" s="416"/>
    </row>
    <row r="268" spans="1:1" ht="14.25" customHeight="1">
      <c r="A268" s="416"/>
    </row>
    <row r="269" spans="1:1" ht="14.25" customHeight="1">
      <c r="A269" s="416"/>
    </row>
    <row r="270" spans="1:1" ht="14.25" customHeight="1">
      <c r="A270" s="416"/>
    </row>
    <row r="271" spans="1:1" ht="14.25" customHeight="1">
      <c r="A271" s="416"/>
    </row>
    <row r="272" spans="1:1" ht="14.25" customHeight="1">
      <c r="A272" s="416"/>
    </row>
    <row r="273" spans="1:1" ht="14.25" customHeight="1">
      <c r="A273" s="416"/>
    </row>
    <row r="274" spans="1:1" ht="14.25" customHeight="1">
      <c r="A274" s="416"/>
    </row>
    <row r="275" spans="1:1" ht="14.25" customHeight="1">
      <c r="A275" s="416"/>
    </row>
    <row r="276" spans="1:1" ht="14.25" customHeight="1">
      <c r="A276" s="416"/>
    </row>
    <row r="277" spans="1:1" ht="14.25" customHeight="1">
      <c r="A277" s="416"/>
    </row>
    <row r="278" spans="1:1" ht="14.25" customHeight="1">
      <c r="A278" s="416"/>
    </row>
    <row r="279" spans="1:1" ht="14.25" customHeight="1">
      <c r="A279" s="416"/>
    </row>
    <row r="280" spans="1:1" ht="14.25" customHeight="1">
      <c r="A280" s="416"/>
    </row>
    <row r="281" spans="1:1" ht="14.25" customHeight="1">
      <c r="A281" s="416"/>
    </row>
    <row r="282" spans="1:1" ht="14.25" customHeight="1">
      <c r="A282" s="416"/>
    </row>
    <row r="283" spans="1:1" ht="14.25" customHeight="1">
      <c r="A283" s="416"/>
    </row>
    <row r="284" spans="1:1" ht="14.25" customHeight="1">
      <c r="A284" s="416"/>
    </row>
    <row r="285" spans="1:1" ht="14.25" customHeight="1">
      <c r="A285" s="416"/>
    </row>
    <row r="286" spans="1:1" ht="14.25" customHeight="1">
      <c r="A286" s="416"/>
    </row>
    <row r="287" spans="1:1" ht="14.25" customHeight="1">
      <c r="A287" s="416"/>
    </row>
    <row r="288" spans="1:1" ht="14.25" customHeight="1">
      <c r="A288" s="416"/>
    </row>
    <row r="289" spans="1:1" ht="14.25" customHeight="1">
      <c r="A289" s="416"/>
    </row>
    <row r="290" spans="1:1" ht="14.25" customHeight="1">
      <c r="A290" s="416"/>
    </row>
    <row r="291" spans="1:1" ht="14.25" customHeight="1">
      <c r="A291" s="416"/>
    </row>
    <row r="292" spans="1:1" ht="14.25" customHeight="1">
      <c r="A292" s="416"/>
    </row>
    <row r="293" spans="1:1" ht="14.25" customHeight="1">
      <c r="A293" s="416"/>
    </row>
    <row r="294" spans="1:1" ht="14.25" customHeight="1">
      <c r="A294" s="416"/>
    </row>
    <row r="295" spans="1:1" ht="14.25" customHeight="1">
      <c r="A295" s="416"/>
    </row>
    <row r="296" spans="1:1" ht="14.25" customHeight="1">
      <c r="A296" s="416"/>
    </row>
    <row r="297" spans="1:1" ht="14.25" customHeight="1">
      <c r="A297" s="416"/>
    </row>
    <row r="298" spans="1:1" ht="14.25" customHeight="1">
      <c r="A298" s="416"/>
    </row>
    <row r="299" spans="1:1" ht="14.25" customHeight="1">
      <c r="A299" s="416"/>
    </row>
    <row r="300" spans="1:1" ht="14.25" customHeight="1">
      <c r="A300" s="416"/>
    </row>
    <row r="301" spans="1:1" ht="14.25" customHeight="1">
      <c r="A301" s="416"/>
    </row>
    <row r="302" spans="1:1" ht="14.25" customHeight="1">
      <c r="A302" s="416"/>
    </row>
    <row r="303" spans="1:1" ht="14.25" customHeight="1">
      <c r="A303" s="416"/>
    </row>
    <row r="304" spans="1:1" ht="14.25" customHeight="1">
      <c r="A304" s="416"/>
    </row>
    <row r="305" spans="1:1" ht="14.25" customHeight="1">
      <c r="A305" s="416"/>
    </row>
    <row r="306" spans="1:1" ht="14.25" customHeight="1">
      <c r="A306" s="416"/>
    </row>
    <row r="307" spans="1:1" ht="14.25" customHeight="1">
      <c r="A307" s="416"/>
    </row>
    <row r="308" spans="1:1" ht="14.25" customHeight="1">
      <c r="A308" s="416"/>
    </row>
    <row r="309" spans="1:1" ht="14.25" customHeight="1">
      <c r="A309" s="416"/>
    </row>
    <row r="310" spans="1:1" ht="14.25" customHeight="1">
      <c r="A310" s="416"/>
    </row>
    <row r="311" spans="1:1" ht="14.25" customHeight="1">
      <c r="A311" s="416"/>
    </row>
    <row r="312" spans="1:1" ht="14.25" customHeight="1">
      <c r="A312" s="416"/>
    </row>
    <row r="313" spans="1:1" ht="14.25" customHeight="1">
      <c r="A313" s="416"/>
    </row>
    <row r="314" spans="1:1" ht="14.25" customHeight="1">
      <c r="A314" s="416"/>
    </row>
    <row r="315" spans="1:1" ht="14.25" customHeight="1">
      <c r="A315" s="416"/>
    </row>
    <row r="316" spans="1:1" ht="14.25" customHeight="1">
      <c r="A316" s="416"/>
    </row>
    <row r="317" spans="1:1" ht="14.25" customHeight="1">
      <c r="A317" s="416"/>
    </row>
    <row r="318" spans="1:1" ht="14.25" customHeight="1">
      <c r="A318" s="416"/>
    </row>
    <row r="319" spans="1:1" ht="14.25" customHeight="1">
      <c r="A319" s="416"/>
    </row>
    <row r="320" spans="1:1" ht="14.25" customHeight="1">
      <c r="A320" s="416"/>
    </row>
    <row r="321" spans="1:1" ht="14.25" customHeight="1">
      <c r="A321" s="416"/>
    </row>
    <row r="322" spans="1:1" ht="14.25" customHeight="1">
      <c r="A322" s="416"/>
    </row>
    <row r="323" spans="1:1" ht="14.25" customHeight="1">
      <c r="A323" s="416"/>
    </row>
    <row r="324" spans="1:1" ht="14.25" customHeight="1">
      <c r="A324" s="416"/>
    </row>
    <row r="325" spans="1:1" ht="14.25" customHeight="1">
      <c r="A325" s="416"/>
    </row>
    <row r="326" spans="1:1" ht="14.25" customHeight="1">
      <c r="A326" s="416"/>
    </row>
    <row r="327" spans="1:1" ht="14.25" customHeight="1">
      <c r="A327" s="416"/>
    </row>
    <row r="328" spans="1:1" ht="14.25" customHeight="1">
      <c r="A328" s="416"/>
    </row>
    <row r="329" spans="1:1" ht="14.25" customHeight="1">
      <c r="A329" s="416"/>
    </row>
    <row r="330" spans="1:1" ht="14.25" customHeight="1">
      <c r="A330" s="416"/>
    </row>
    <row r="331" spans="1:1" ht="14.25" customHeight="1">
      <c r="A331" s="416"/>
    </row>
    <row r="332" spans="1:1" ht="14.25" customHeight="1">
      <c r="A332" s="416"/>
    </row>
    <row r="333" spans="1:1" ht="14.25" customHeight="1">
      <c r="A333" s="416"/>
    </row>
    <row r="334" spans="1:1" ht="14.25" customHeight="1">
      <c r="A334" s="416"/>
    </row>
    <row r="335" spans="1:1" ht="14.25" customHeight="1">
      <c r="A335" s="416"/>
    </row>
    <row r="336" spans="1:1" ht="14.25" customHeight="1">
      <c r="A336" s="416"/>
    </row>
    <row r="337" spans="1:1" ht="14.25" customHeight="1">
      <c r="A337" s="416"/>
    </row>
    <row r="338" spans="1:1" ht="14.25" customHeight="1">
      <c r="A338" s="416"/>
    </row>
    <row r="339" spans="1:1" ht="14.25" customHeight="1">
      <c r="A339" s="416"/>
    </row>
    <row r="340" spans="1:1" ht="14.25" customHeight="1">
      <c r="A340" s="416"/>
    </row>
    <row r="341" spans="1:1" ht="14.25" customHeight="1">
      <c r="A341" s="416"/>
    </row>
    <row r="342" spans="1:1" ht="14.25" customHeight="1">
      <c r="A342" s="416"/>
    </row>
    <row r="343" spans="1:1" ht="14.25" customHeight="1">
      <c r="A343" s="416"/>
    </row>
    <row r="344" spans="1:1" ht="14.25" customHeight="1">
      <c r="A344" s="416"/>
    </row>
    <row r="345" spans="1:1" ht="14.25" customHeight="1">
      <c r="A345" s="416"/>
    </row>
    <row r="346" spans="1:1" ht="14.25" customHeight="1">
      <c r="A346" s="416"/>
    </row>
    <row r="347" spans="1:1" ht="14.25" customHeight="1">
      <c r="A347" s="416"/>
    </row>
    <row r="348" spans="1:1" ht="14.25" customHeight="1">
      <c r="A348" s="416"/>
    </row>
    <row r="349" spans="1:1" ht="14.25" customHeight="1">
      <c r="A349" s="416"/>
    </row>
    <row r="350" spans="1:1" ht="14.25" customHeight="1">
      <c r="A350" s="416"/>
    </row>
    <row r="351" spans="1:1" ht="14.25" customHeight="1">
      <c r="A351" s="416"/>
    </row>
    <row r="352" spans="1:1" ht="14.25" customHeight="1">
      <c r="A352" s="416"/>
    </row>
    <row r="353" spans="1:1" ht="14.25" customHeight="1">
      <c r="A353" s="416"/>
    </row>
    <row r="354" spans="1:1" ht="14.25" customHeight="1">
      <c r="A354" s="416"/>
    </row>
    <row r="355" spans="1:1" ht="14.25" customHeight="1">
      <c r="A355" s="416"/>
    </row>
    <row r="356" spans="1:1" ht="14.25" customHeight="1">
      <c r="A356" s="416"/>
    </row>
    <row r="357" spans="1:1" ht="14.25" customHeight="1">
      <c r="A357" s="416"/>
    </row>
    <row r="358" spans="1:1" ht="14.25" customHeight="1">
      <c r="A358" s="416"/>
    </row>
    <row r="359" spans="1:1" ht="14.25" customHeight="1">
      <c r="A359" s="416"/>
    </row>
    <row r="360" spans="1:1" ht="14.25" customHeight="1">
      <c r="A360" s="416"/>
    </row>
    <row r="361" spans="1:1" ht="14.25" customHeight="1">
      <c r="A361" s="416"/>
    </row>
    <row r="362" spans="1:1" ht="14.25" customHeight="1">
      <c r="A362" s="416"/>
    </row>
    <row r="363" spans="1:1" ht="14.25" customHeight="1">
      <c r="A363" s="416"/>
    </row>
    <row r="364" spans="1:1" ht="14.25" customHeight="1">
      <c r="A364" s="416"/>
    </row>
    <row r="365" spans="1:1" ht="14.25" customHeight="1">
      <c r="A365" s="416"/>
    </row>
    <row r="366" spans="1:1" ht="14.25" customHeight="1">
      <c r="A366" s="416"/>
    </row>
    <row r="367" spans="1:1" ht="14.25" customHeight="1">
      <c r="A367" s="416"/>
    </row>
    <row r="368" spans="1:1" ht="14.25" customHeight="1">
      <c r="A368" s="416"/>
    </row>
    <row r="369" spans="1:1" ht="14.25" customHeight="1">
      <c r="A369" s="416"/>
    </row>
    <row r="370" spans="1:1" ht="14.25" customHeight="1">
      <c r="A370" s="416"/>
    </row>
    <row r="371" spans="1:1" ht="14.25" customHeight="1">
      <c r="A371" s="416"/>
    </row>
    <row r="372" spans="1:1" ht="14.25" customHeight="1">
      <c r="A372" s="416"/>
    </row>
    <row r="373" spans="1:1" ht="14.25" customHeight="1">
      <c r="A373" s="416"/>
    </row>
    <row r="374" spans="1:1" ht="14.25" customHeight="1">
      <c r="A374" s="416"/>
    </row>
    <row r="375" spans="1:1" ht="14.25" customHeight="1">
      <c r="A375" s="416"/>
    </row>
    <row r="376" spans="1:1" ht="14.25" customHeight="1">
      <c r="A376" s="416"/>
    </row>
    <row r="377" spans="1:1" ht="14.25" customHeight="1">
      <c r="A377" s="416"/>
    </row>
    <row r="378" spans="1:1" ht="14.25" customHeight="1">
      <c r="A378" s="416"/>
    </row>
    <row r="379" spans="1:1" ht="14.25" customHeight="1">
      <c r="A379" s="416"/>
    </row>
    <row r="380" spans="1:1" ht="14.25" customHeight="1">
      <c r="A380" s="416"/>
    </row>
    <row r="381" spans="1:1" ht="14.25" customHeight="1">
      <c r="A381" s="416"/>
    </row>
    <row r="382" spans="1:1" ht="14.25" customHeight="1">
      <c r="A382" s="416"/>
    </row>
    <row r="383" spans="1:1" ht="14.25" customHeight="1">
      <c r="A383" s="416"/>
    </row>
    <row r="384" spans="1:1" ht="14.25" customHeight="1">
      <c r="A384" s="416"/>
    </row>
    <row r="385" spans="1:1" ht="14.25" customHeight="1">
      <c r="A385" s="416"/>
    </row>
    <row r="386" spans="1:1" ht="14.25" customHeight="1">
      <c r="A386" s="416"/>
    </row>
    <row r="387" spans="1:1" ht="14.25" customHeight="1">
      <c r="A387" s="416"/>
    </row>
    <row r="388" spans="1:1" ht="14.25" customHeight="1">
      <c r="A388" s="416"/>
    </row>
    <row r="389" spans="1:1" ht="14.25" customHeight="1">
      <c r="A389" s="416"/>
    </row>
    <row r="390" spans="1:1" ht="14.25" customHeight="1">
      <c r="A390" s="416"/>
    </row>
    <row r="391" spans="1:1" ht="14.25" customHeight="1">
      <c r="A391" s="416"/>
    </row>
    <row r="392" spans="1:1" ht="14.25" customHeight="1">
      <c r="A392" s="416"/>
    </row>
    <row r="393" spans="1:1" ht="14.25" customHeight="1">
      <c r="A393" s="416"/>
    </row>
    <row r="394" spans="1:1" ht="14.25" customHeight="1">
      <c r="A394" s="416"/>
    </row>
    <row r="395" spans="1:1" ht="14.25" customHeight="1">
      <c r="A395" s="416"/>
    </row>
    <row r="396" spans="1:1" ht="14.25" customHeight="1">
      <c r="A396" s="416"/>
    </row>
    <row r="397" spans="1:1" ht="14.25" customHeight="1">
      <c r="A397" s="416"/>
    </row>
    <row r="398" spans="1:1" ht="14.25" customHeight="1">
      <c r="A398" s="416"/>
    </row>
    <row r="399" spans="1:1" ht="14.25" customHeight="1">
      <c r="A399" s="416"/>
    </row>
    <row r="400" spans="1:1" ht="14.25" customHeight="1">
      <c r="A400" s="416"/>
    </row>
    <row r="401" spans="1:1" ht="14.25" customHeight="1">
      <c r="A401" s="416"/>
    </row>
    <row r="402" spans="1:1" ht="14.25" customHeight="1">
      <c r="A402" s="416"/>
    </row>
    <row r="403" spans="1:1" ht="14.25" customHeight="1">
      <c r="A403" s="416"/>
    </row>
    <row r="404" spans="1:1" ht="14.25" customHeight="1">
      <c r="A404" s="416"/>
    </row>
    <row r="405" spans="1:1" ht="14.25" customHeight="1">
      <c r="A405" s="416"/>
    </row>
    <row r="406" spans="1:1" ht="14.25" customHeight="1">
      <c r="A406" s="416"/>
    </row>
    <row r="407" spans="1:1" ht="14.25" customHeight="1">
      <c r="A407" s="416"/>
    </row>
    <row r="408" spans="1:1" ht="14.25" customHeight="1">
      <c r="A408" s="416"/>
    </row>
    <row r="409" spans="1:1" ht="14.25" customHeight="1">
      <c r="A409" s="416"/>
    </row>
    <row r="410" spans="1:1" ht="14.25" customHeight="1">
      <c r="A410" s="416"/>
    </row>
    <row r="411" spans="1:1" ht="14.25" customHeight="1">
      <c r="A411" s="416"/>
    </row>
    <row r="412" spans="1:1" ht="14.25" customHeight="1">
      <c r="A412" s="416"/>
    </row>
    <row r="413" spans="1:1" ht="14.25" customHeight="1">
      <c r="A413" s="416"/>
    </row>
    <row r="414" spans="1:1" ht="14.25" customHeight="1">
      <c r="A414" s="416"/>
    </row>
    <row r="415" spans="1:1" ht="14.25" customHeight="1">
      <c r="A415" s="416"/>
    </row>
    <row r="416" spans="1:1" ht="14.25" customHeight="1">
      <c r="A416" s="416"/>
    </row>
    <row r="417" spans="1:1" ht="14.25" customHeight="1">
      <c r="A417" s="416"/>
    </row>
    <row r="418" spans="1:1" ht="14.25" customHeight="1">
      <c r="A418" s="416"/>
    </row>
    <row r="419" spans="1:1" ht="14.25" customHeight="1">
      <c r="A419" s="416"/>
    </row>
    <row r="420" spans="1:1" ht="14.25" customHeight="1">
      <c r="A420" s="416"/>
    </row>
    <row r="421" spans="1:1" ht="14.25" customHeight="1">
      <c r="A421" s="416"/>
    </row>
    <row r="422" spans="1:1" ht="14.25" customHeight="1">
      <c r="A422" s="416"/>
    </row>
    <row r="423" spans="1:1" ht="14.25" customHeight="1">
      <c r="A423" s="416"/>
    </row>
    <row r="424" spans="1:1" ht="14.25" customHeight="1">
      <c r="A424" s="416"/>
    </row>
    <row r="425" spans="1:1" ht="14.25" customHeight="1">
      <c r="A425" s="416"/>
    </row>
    <row r="426" spans="1:1" ht="14.25" customHeight="1">
      <c r="A426" s="416"/>
    </row>
    <row r="427" spans="1:1" ht="14.25" customHeight="1">
      <c r="A427" s="416"/>
    </row>
    <row r="428" spans="1:1" ht="14.25" customHeight="1">
      <c r="A428" s="416"/>
    </row>
    <row r="429" spans="1:1" ht="14.25" customHeight="1">
      <c r="A429" s="416"/>
    </row>
    <row r="430" spans="1:1" ht="14.25" customHeight="1">
      <c r="A430" s="416"/>
    </row>
    <row r="431" spans="1:1" ht="14.25" customHeight="1">
      <c r="A431" s="416"/>
    </row>
    <row r="432" spans="1:1" ht="14.25" customHeight="1">
      <c r="A432" s="416"/>
    </row>
    <row r="433" spans="1:1" ht="14.25" customHeight="1">
      <c r="A433" s="416"/>
    </row>
    <row r="434" spans="1:1" ht="14.25" customHeight="1">
      <c r="A434" s="416"/>
    </row>
    <row r="435" spans="1:1" ht="14.25" customHeight="1">
      <c r="A435" s="416"/>
    </row>
    <row r="436" spans="1:1" ht="14.25" customHeight="1">
      <c r="A436" s="416"/>
    </row>
    <row r="437" spans="1:1" ht="14.25" customHeight="1">
      <c r="A437" s="416"/>
    </row>
    <row r="438" spans="1:1" ht="14.25" customHeight="1">
      <c r="A438" s="416"/>
    </row>
    <row r="439" spans="1:1" ht="14.25" customHeight="1">
      <c r="A439" s="416"/>
    </row>
    <row r="440" spans="1:1" ht="14.25" customHeight="1">
      <c r="A440" s="416"/>
    </row>
    <row r="441" spans="1:1" ht="14.25" customHeight="1">
      <c r="A441" s="416"/>
    </row>
    <row r="442" spans="1:1" ht="14.25" customHeight="1">
      <c r="A442" s="416"/>
    </row>
    <row r="443" spans="1:1" ht="14.25" customHeight="1">
      <c r="A443" s="416"/>
    </row>
    <row r="444" spans="1:1" ht="14.25" customHeight="1">
      <c r="A444" s="416"/>
    </row>
    <row r="445" spans="1:1" ht="14.25" customHeight="1">
      <c r="A445" s="416"/>
    </row>
    <row r="446" spans="1:1" ht="14.25" customHeight="1">
      <c r="A446" s="416"/>
    </row>
    <row r="447" spans="1:1" ht="14.25" customHeight="1">
      <c r="A447" s="416"/>
    </row>
    <row r="448" spans="1:1" ht="14.25" customHeight="1">
      <c r="A448" s="416"/>
    </row>
    <row r="449" spans="1:1" ht="14.25" customHeight="1">
      <c r="A449" s="416"/>
    </row>
    <row r="450" spans="1:1" ht="14.25" customHeight="1">
      <c r="A450" s="416"/>
    </row>
    <row r="451" spans="1:1" ht="14.25" customHeight="1">
      <c r="A451" s="416"/>
    </row>
    <row r="452" spans="1:1" ht="14.25" customHeight="1">
      <c r="A452" s="416"/>
    </row>
    <row r="453" spans="1:1" ht="14.25" customHeight="1">
      <c r="A453" s="416"/>
    </row>
    <row r="454" spans="1:1" ht="14.25" customHeight="1">
      <c r="A454" s="416"/>
    </row>
    <row r="455" spans="1:1" ht="14.25" customHeight="1">
      <c r="A455" s="416"/>
    </row>
    <row r="456" spans="1:1" ht="14.25" customHeight="1">
      <c r="A456" s="416"/>
    </row>
    <row r="457" spans="1:1" ht="14.25" customHeight="1">
      <c r="A457" s="416"/>
    </row>
    <row r="458" spans="1:1" ht="14.25" customHeight="1">
      <c r="A458" s="416"/>
    </row>
    <row r="459" spans="1:1" ht="14.25" customHeight="1">
      <c r="A459" s="416"/>
    </row>
    <row r="460" spans="1:1" ht="14.25" customHeight="1">
      <c r="A460" s="416"/>
    </row>
    <row r="461" spans="1:1" ht="14.25" customHeight="1">
      <c r="A461" s="416"/>
    </row>
    <row r="462" spans="1:1" ht="14.25" customHeight="1">
      <c r="A462" s="416"/>
    </row>
    <row r="463" spans="1:1" ht="14.25" customHeight="1">
      <c r="A463" s="416"/>
    </row>
    <row r="464" spans="1:1" ht="14.25" customHeight="1">
      <c r="A464" s="416"/>
    </row>
    <row r="465" spans="1:1" ht="14.25" customHeight="1">
      <c r="A465" s="416"/>
    </row>
    <row r="466" spans="1:1" ht="14.25" customHeight="1">
      <c r="A466" s="416"/>
    </row>
    <row r="467" spans="1:1" ht="14.25" customHeight="1">
      <c r="A467" s="416"/>
    </row>
    <row r="468" spans="1:1" ht="14.25" customHeight="1">
      <c r="A468" s="416"/>
    </row>
    <row r="469" spans="1:1" ht="14.25" customHeight="1">
      <c r="A469" s="416"/>
    </row>
    <row r="470" spans="1:1" ht="14.25" customHeight="1">
      <c r="A470" s="416"/>
    </row>
    <row r="471" spans="1:1" ht="14.25" customHeight="1">
      <c r="A471" s="416"/>
    </row>
    <row r="472" spans="1:1" ht="14.25" customHeight="1">
      <c r="A472" s="416"/>
    </row>
    <row r="473" spans="1:1" ht="14.25" customHeight="1">
      <c r="A473" s="416"/>
    </row>
    <row r="474" spans="1:1" ht="14.25" customHeight="1">
      <c r="A474" s="416"/>
    </row>
    <row r="475" spans="1:1" ht="14.25" customHeight="1">
      <c r="A475" s="416"/>
    </row>
    <row r="476" spans="1:1" ht="14.25" customHeight="1">
      <c r="A476" s="416"/>
    </row>
    <row r="477" spans="1:1" ht="14.25" customHeight="1">
      <c r="A477" s="416"/>
    </row>
    <row r="478" spans="1:1" ht="14.25" customHeight="1">
      <c r="A478" s="416"/>
    </row>
    <row r="479" spans="1:1" ht="14.25" customHeight="1">
      <c r="A479" s="416"/>
    </row>
    <row r="480" spans="1:1" ht="14.25" customHeight="1">
      <c r="A480" s="416"/>
    </row>
    <row r="481" spans="1:1" ht="14.25" customHeight="1">
      <c r="A481" s="416"/>
    </row>
    <row r="482" spans="1:1" ht="14.25" customHeight="1">
      <c r="A482" s="416"/>
    </row>
    <row r="483" spans="1:1" ht="14.25" customHeight="1">
      <c r="A483" s="416"/>
    </row>
    <row r="484" spans="1:1" ht="14.25" customHeight="1">
      <c r="A484" s="416"/>
    </row>
    <row r="485" spans="1:1" ht="14.25" customHeight="1">
      <c r="A485" s="416"/>
    </row>
    <row r="486" spans="1:1" ht="14.25" customHeight="1">
      <c r="A486" s="416"/>
    </row>
    <row r="487" spans="1:1" ht="14.25" customHeight="1">
      <c r="A487" s="416"/>
    </row>
    <row r="488" spans="1:1" ht="14.25" customHeight="1">
      <c r="A488" s="416"/>
    </row>
    <row r="489" spans="1:1" ht="14.25" customHeight="1">
      <c r="A489" s="416"/>
    </row>
    <row r="490" spans="1:1" ht="14.25" customHeight="1">
      <c r="A490" s="416"/>
    </row>
    <row r="491" spans="1:1" ht="14.25" customHeight="1">
      <c r="A491" s="416"/>
    </row>
    <row r="492" spans="1:1" ht="14.25" customHeight="1">
      <c r="A492" s="416"/>
    </row>
    <row r="493" spans="1:1" ht="14.25" customHeight="1">
      <c r="A493" s="416"/>
    </row>
    <row r="494" spans="1:1" ht="14.25" customHeight="1">
      <c r="A494" s="416"/>
    </row>
    <row r="495" spans="1:1" ht="14.25" customHeight="1">
      <c r="A495" s="416"/>
    </row>
    <row r="496" spans="1:1" ht="14.25" customHeight="1">
      <c r="A496" s="416"/>
    </row>
    <row r="497" spans="1:1" ht="14.25" customHeight="1">
      <c r="A497" s="416"/>
    </row>
    <row r="498" spans="1:1" ht="14.25" customHeight="1">
      <c r="A498" s="416"/>
    </row>
    <row r="499" spans="1:1" ht="14.25" customHeight="1">
      <c r="A499" s="416"/>
    </row>
    <row r="500" spans="1:1" ht="14.25" customHeight="1">
      <c r="A500" s="416"/>
    </row>
    <row r="501" spans="1:1" ht="14.25" customHeight="1">
      <c r="A501" s="416"/>
    </row>
    <row r="502" spans="1:1" ht="14.25" customHeight="1">
      <c r="A502" s="416"/>
    </row>
    <row r="503" spans="1:1" ht="14.25" customHeight="1">
      <c r="A503" s="416"/>
    </row>
    <row r="504" spans="1:1" ht="14.25" customHeight="1">
      <c r="A504" s="416"/>
    </row>
    <row r="505" spans="1:1" ht="14.25" customHeight="1">
      <c r="A505" s="416"/>
    </row>
    <row r="506" spans="1:1" ht="14.25" customHeight="1">
      <c r="A506" s="416"/>
    </row>
    <row r="507" spans="1:1" ht="14.25" customHeight="1">
      <c r="A507" s="416"/>
    </row>
    <row r="508" spans="1:1" ht="14.25" customHeight="1">
      <c r="A508" s="416"/>
    </row>
    <row r="509" spans="1:1" ht="14.25" customHeight="1">
      <c r="A509" s="416"/>
    </row>
    <row r="510" spans="1:1" ht="14.25" customHeight="1">
      <c r="A510" s="416"/>
    </row>
    <row r="511" spans="1:1" ht="14.25" customHeight="1">
      <c r="A511" s="416"/>
    </row>
    <row r="512" spans="1:1" ht="14.25" customHeight="1">
      <c r="A512" s="416"/>
    </row>
    <row r="513" spans="1:1" ht="14.25" customHeight="1">
      <c r="A513" s="416"/>
    </row>
    <row r="514" spans="1:1" ht="14.25" customHeight="1">
      <c r="A514" s="416"/>
    </row>
    <row r="515" spans="1:1" ht="14.25" customHeight="1">
      <c r="A515" s="416"/>
    </row>
    <row r="516" spans="1:1" ht="14.25" customHeight="1">
      <c r="A516" s="416"/>
    </row>
    <row r="517" spans="1:1" ht="14.25" customHeight="1">
      <c r="A517" s="416"/>
    </row>
    <row r="518" spans="1:1" ht="14.25" customHeight="1">
      <c r="A518" s="416"/>
    </row>
    <row r="519" spans="1:1" ht="14.25" customHeight="1">
      <c r="A519" s="416"/>
    </row>
    <row r="520" spans="1:1" ht="14.25" customHeight="1">
      <c r="A520" s="416"/>
    </row>
    <row r="521" spans="1:1" ht="14.25" customHeight="1">
      <c r="A521" s="416"/>
    </row>
    <row r="522" spans="1:1" ht="14.25" customHeight="1">
      <c r="A522" s="416"/>
    </row>
    <row r="523" spans="1:1" ht="14.25" customHeight="1">
      <c r="A523" s="416"/>
    </row>
    <row r="524" spans="1:1" ht="14.25" customHeight="1">
      <c r="A524" s="416"/>
    </row>
    <row r="525" spans="1:1" ht="14.25" customHeight="1">
      <c r="A525" s="416"/>
    </row>
    <row r="526" spans="1:1" ht="14.25" customHeight="1">
      <c r="A526" s="416"/>
    </row>
    <row r="527" spans="1:1" ht="14.25" customHeight="1">
      <c r="A527" s="416"/>
    </row>
    <row r="528" spans="1:1" ht="14.25" customHeight="1">
      <c r="A528" s="416"/>
    </row>
    <row r="529" spans="1:1" ht="14.25" customHeight="1">
      <c r="A529" s="416"/>
    </row>
    <row r="530" spans="1:1" ht="14.25" customHeight="1">
      <c r="A530" s="416"/>
    </row>
    <row r="531" spans="1:1" ht="14.25" customHeight="1">
      <c r="A531" s="416"/>
    </row>
    <row r="532" spans="1:1" ht="14.25" customHeight="1">
      <c r="A532" s="416"/>
    </row>
    <row r="533" spans="1:1" ht="14.25" customHeight="1">
      <c r="A533" s="416"/>
    </row>
    <row r="534" spans="1:1" ht="14.25" customHeight="1">
      <c r="A534" s="416"/>
    </row>
    <row r="535" spans="1:1" ht="14.25" customHeight="1">
      <c r="A535" s="416"/>
    </row>
    <row r="536" spans="1:1" ht="14.25" customHeight="1">
      <c r="A536" s="416"/>
    </row>
    <row r="537" spans="1:1" ht="14.25" customHeight="1">
      <c r="A537" s="416"/>
    </row>
    <row r="538" spans="1:1" ht="14.25" customHeight="1">
      <c r="A538" s="416"/>
    </row>
    <row r="539" spans="1:1" ht="14.25" customHeight="1">
      <c r="A539" s="416"/>
    </row>
    <row r="540" spans="1:1" ht="14.25" customHeight="1">
      <c r="A540" s="416"/>
    </row>
    <row r="541" spans="1:1" ht="14.25" customHeight="1">
      <c r="A541" s="416"/>
    </row>
    <row r="542" spans="1:1" ht="14.25" customHeight="1">
      <c r="A542" s="416"/>
    </row>
    <row r="543" spans="1:1" ht="14.25" customHeight="1">
      <c r="A543" s="416"/>
    </row>
    <row r="544" spans="1:1" ht="14.25" customHeight="1">
      <c r="A544" s="416"/>
    </row>
    <row r="545" spans="1:1" ht="14.25" customHeight="1">
      <c r="A545" s="416"/>
    </row>
    <row r="546" spans="1:1" ht="14.25" customHeight="1">
      <c r="A546" s="416"/>
    </row>
    <row r="547" spans="1:1" ht="14.25" customHeight="1">
      <c r="A547" s="416"/>
    </row>
    <row r="548" spans="1:1" ht="14.25" customHeight="1">
      <c r="A548" s="416"/>
    </row>
    <row r="549" spans="1:1" ht="14.25" customHeight="1">
      <c r="A549" s="416"/>
    </row>
    <row r="550" spans="1:1" ht="14.25" customHeight="1">
      <c r="A550" s="416"/>
    </row>
    <row r="551" spans="1:1" ht="14.25" customHeight="1">
      <c r="A551" s="416"/>
    </row>
    <row r="552" spans="1:1" ht="14.25" customHeight="1">
      <c r="A552" s="416"/>
    </row>
    <row r="553" spans="1:1" ht="14.25" customHeight="1">
      <c r="A553" s="416"/>
    </row>
    <row r="554" spans="1:1" ht="14.25" customHeight="1">
      <c r="A554" s="416"/>
    </row>
    <row r="555" spans="1:1" ht="14.25" customHeight="1">
      <c r="A555" s="416"/>
    </row>
    <row r="556" spans="1:1" ht="14.25" customHeight="1">
      <c r="A556" s="416"/>
    </row>
    <row r="557" spans="1:1" ht="14.25" customHeight="1">
      <c r="A557" s="416"/>
    </row>
    <row r="558" spans="1:1" ht="14.25" customHeight="1">
      <c r="A558" s="416"/>
    </row>
    <row r="559" spans="1:1" ht="14.25" customHeight="1">
      <c r="A559" s="416"/>
    </row>
    <row r="560" spans="1:1" ht="14.25" customHeight="1">
      <c r="A560" s="416"/>
    </row>
    <row r="561" spans="1:1" ht="14.25" customHeight="1">
      <c r="A561" s="416"/>
    </row>
    <row r="562" spans="1:1" ht="14.25" customHeight="1">
      <c r="A562" s="416"/>
    </row>
    <row r="563" spans="1:1" ht="14.25" customHeight="1">
      <c r="A563" s="416"/>
    </row>
    <row r="564" spans="1:1" ht="14.25" customHeight="1">
      <c r="A564" s="416"/>
    </row>
    <row r="565" spans="1:1" ht="14.25" customHeight="1">
      <c r="A565" s="416"/>
    </row>
    <row r="566" spans="1:1" ht="14.25" customHeight="1">
      <c r="A566" s="416"/>
    </row>
    <row r="567" spans="1:1" ht="14.25" customHeight="1">
      <c r="A567" s="416"/>
    </row>
    <row r="568" spans="1:1" ht="14.25" customHeight="1">
      <c r="A568" s="416"/>
    </row>
    <row r="569" spans="1:1" ht="14.25" customHeight="1">
      <c r="A569" s="416"/>
    </row>
    <row r="570" spans="1:1" ht="14.25" customHeight="1">
      <c r="A570" s="416"/>
    </row>
    <row r="571" spans="1:1" ht="14.25" customHeight="1">
      <c r="A571" s="416"/>
    </row>
    <row r="572" spans="1:1" ht="14.25" customHeight="1">
      <c r="A572" s="416"/>
    </row>
    <row r="573" spans="1:1" ht="14.25" customHeight="1">
      <c r="A573" s="416"/>
    </row>
    <row r="574" spans="1:1" ht="14.25" customHeight="1">
      <c r="A574" s="416"/>
    </row>
    <row r="575" spans="1:1" ht="14.25" customHeight="1">
      <c r="A575" s="416"/>
    </row>
    <row r="576" spans="1:1" ht="14.25" customHeight="1">
      <c r="A576" s="416"/>
    </row>
    <row r="577" spans="1:1" ht="14.25" customHeight="1">
      <c r="A577" s="416"/>
    </row>
    <row r="578" spans="1:1" ht="14.25" customHeight="1">
      <c r="A578" s="416"/>
    </row>
    <row r="579" spans="1:1" ht="14.25" customHeight="1">
      <c r="A579" s="416"/>
    </row>
    <row r="580" spans="1:1" ht="14.25" customHeight="1">
      <c r="A580" s="416"/>
    </row>
    <row r="581" spans="1:1" ht="14.25" customHeight="1">
      <c r="A581" s="416"/>
    </row>
    <row r="582" spans="1:1" ht="14.25" customHeight="1">
      <c r="A582" s="416"/>
    </row>
    <row r="583" spans="1:1" ht="14.25" customHeight="1">
      <c r="A583" s="416"/>
    </row>
    <row r="584" spans="1:1" ht="14.25" customHeight="1">
      <c r="A584" s="416"/>
    </row>
    <row r="585" spans="1:1" ht="14.25" customHeight="1">
      <c r="A585" s="416"/>
    </row>
    <row r="586" spans="1:1" ht="14.25" customHeight="1">
      <c r="A586" s="416"/>
    </row>
    <row r="587" spans="1:1" ht="14.25" customHeight="1">
      <c r="A587" s="416"/>
    </row>
    <row r="588" spans="1:1" ht="14.25" customHeight="1">
      <c r="A588" s="416"/>
    </row>
    <row r="589" spans="1:1" ht="14.25" customHeight="1">
      <c r="A589" s="416"/>
    </row>
    <row r="590" spans="1:1" ht="14.25" customHeight="1">
      <c r="A590" s="416"/>
    </row>
    <row r="591" spans="1:1" ht="14.25" customHeight="1">
      <c r="A591" s="416"/>
    </row>
    <row r="592" spans="1:1" ht="14.25" customHeight="1">
      <c r="A592" s="416"/>
    </row>
    <row r="593" spans="1:1" ht="14.25" customHeight="1">
      <c r="A593" s="416"/>
    </row>
    <row r="594" spans="1:1" ht="14.25" customHeight="1">
      <c r="A594" s="416"/>
    </row>
    <row r="595" spans="1:1" ht="14.25" customHeight="1">
      <c r="A595" s="416"/>
    </row>
    <row r="596" spans="1:1" ht="14.25" customHeight="1">
      <c r="A596" s="416"/>
    </row>
    <row r="597" spans="1:1" ht="14.25" customHeight="1">
      <c r="A597" s="416"/>
    </row>
    <row r="598" spans="1:1" ht="14.25" customHeight="1">
      <c r="A598" s="416"/>
    </row>
    <row r="599" spans="1:1" ht="14.25" customHeight="1">
      <c r="A599" s="416"/>
    </row>
    <row r="600" spans="1:1" ht="14.25" customHeight="1">
      <c r="A600" s="416"/>
    </row>
    <row r="601" spans="1:1" ht="14.25" customHeight="1">
      <c r="A601" s="416"/>
    </row>
    <row r="602" spans="1:1" ht="14.25" customHeight="1">
      <c r="A602" s="416"/>
    </row>
    <row r="603" spans="1:1" ht="14.25" customHeight="1">
      <c r="A603" s="416"/>
    </row>
    <row r="604" spans="1:1" ht="14.25" customHeight="1">
      <c r="A604" s="416"/>
    </row>
    <row r="605" spans="1:1" ht="14.25" customHeight="1">
      <c r="A605" s="416"/>
    </row>
    <row r="606" spans="1:1" ht="14.25" customHeight="1">
      <c r="A606" s="416"/>
    </row>
    <row r="607" spans="1:1" ht="14.25" customHeight="1">
      <c r="A607" s="416"/>
    </row>
    <row r="608" spans="1:1" ht="14.25" customHeight="1">
      <c r="A608" s="416"/>
    </row>
    <row r="609" spans="1:1" ht="14.25" customHeight="1">
      <c r="A609" s="416"/>
    </row>
    <row r="610" spans="1:1" ht="14.25" customHeight="1">
      <c r="A610" s="416"/>
    </row>
    <row r="611" spans="1:1" ht="14.25" customHeight="1">
      <c r="A611" s="416"/>
    </row>
    <row r="612" spans="1:1" ht="14.25" customHeight="1">
      <c r="A612" s="416"/>
    </row>
    <row r="613" spans="1:1" ht="14.25" customHeight="1">
      <c r="A613" s="416"/>
    </row>
    <row r="614" spans="1:1" ht="14.25" customHeight="1">
      <c r="A614" s="416"/>
    </row>
    <row r="615" spans="1:1" ht="14.25" customHeight="1">
      <c r="A615" s="416"/>
    </row>
    <row r="616" spans="1:1" ht="14.25" customHeight="1">
      <c r="A616" s="416"/>
    </row>
    <row r="617" spans="1:1" ht="14.25" customHeight="1">
      <c r="A617" s="416"/>
    </row>
    <row r="618" spans="1:1" ht="14.25" customHeight="1">
      <c r="A618" s="416"/>
    </row>
    <row r="619" spans="1:1" ht="14.25" customHeight="1">
      <c r="A619" s="416"/>
    </row>
    <row r="620" spans="1:1" ht="14.25" customHeight="1">
      <c r="A620" s="416"/>
    </row>
    <row r="621" spans="1:1" ht="14.25" customHeight="1">
      <c r="A621" s="416"/>
    </row>
    <row r="622" spans="1:1" ht="14.25" customHeight="1">
      <c r="A622" s="416"/>
    </row>
    <row r="623" spans="1:1" ht="14.25" customHeight="1">
      <c r="A623" s="416"/>
    </row>
    <row r="624" spans="1:1" ht="14.25" customHeight="1">
      <c r="A624" s="416"/>
    </row>
    <row r="625" spans="1:1" ht="14.25" customHeight="1">
      <c r="A625" s="416"/>
    </row>
    <row r="626" spans="1:1" ht="14.25" customHeight="1">
      <c r="A626" s="416"/>
    </row>
    <row r="627" spans="1:1" ht="14.25" customHeight="1">
      <c r="A627" s="416"/>
    </row>
    <row r="628" spans="1:1" ht="14.25" customHeight="1">
      <c r="A628" s="416"/>
    </row>
    <row r="629" spans="1:1" ht="14.25" customHeight="1">
      <c r="A629" s="416"/>
    </row>
    <row r="630" spans="1:1" ht="14.25" customHeight="1">
      <c r="A630" s="416"/>
    </row>
    <row r="631" spans="1:1" ht="14.25" customHeight="1">
      <c r="A631" s="416"/>
    </row>
    <row r="632" spans="1:1" ht="14.25" customHeight="1">
      <c r="A632" s="416"/>
    </row>
    <row r="633" spans="1:1" ht="14.25" customHeight="1">
      <c r="A633" s="416"/>
    </row>
    <row r="634" spans="1:1" ht="14.25" customHeight="1">
      <c r="A634" s="416"/>
    </row>
    <row r="635" spans="1:1" ht="14.25" customHeight="1">
      <c r="A635" s="416"/>
    </row>
    <row r="636" spans="1:1" ht="14.25" customHeight="1">
      <c r="A636" s="416"/>
    </row>
    <row r="637" spans="1:1" ht="14.25" customHeight="1">
      <c r="A637" s="416"/>
    </row>
    <row r="638" spans="1:1" ht="14.25" customHeight="1">
      <c r="A638" s="416"/>
    </row>
    <row r="639" spans="1:1" ht="14.25" customHeight="1">
      <c r="A639" s="416"/>
    </row>
    <row r="640" spans="1:1" ht="14.25" customHeight="1">
      <c r="A640" s="416"/>
    </row>
    <row r="641" spans="1:1" ht="14.25" customHeight="1">
      <c r="A641" s="416"/>
    </row>
    <row r="642" spans="1:1" ht="14.25" customHeight="1">
      <c r="A642" s="416"/>
    </row>
    <row r="643" spans="1:1" ht="14.25" customHeight="1">
      <c r="A643" s="416"/>
    </row>
    <row r="644" spans="1:1" ht="14.25" customHeight="1">
      <c r="A644" s="416"/>
    </row>
    <row r="645" spans="1:1" ht="14.25" customHeight="1">
      <c r="A645" s="416"/>
    </row>
    <row r="646" spans="1:1" ht="14.25" customHeight="1">
      <c r="A646" s="416"/>
    </row>
    <row r="647" spans="1:1" ht="14.25" customHeight="1">
      <c r="A647" s="416"/>
    </row>
    <row r="648" spans="1:1" ht="14.25" customHeight="1">
      <c r="A648" s="416"/>
    </row>
    <row r="649" spans="1:1" ht="14.25" customHeight="1">
      <c r="A649" s="416"/>
    </row>
    <row r="650" spans="1:1" ht="14.25" customHeight="1">
      <c r="A650" s="416"/>
    </row>
    <row r="651" spans="1:1" ht="14.25" customHeight="1">
      <c r="A651" s="416"/>
    </row>
    <row r="652" spans="1:1" ht="14.25" customHeight="1">
      <c r="A652" s="416"/>
    </row>
    <row r="653" spans="1:1" ht="14.25" customHeight="1">
      <c r="A653" s="416"/>
    </row>
    <row r="654" spans="1:1" ht="14.25" customHeight="1">
      <c r="A654" s="416"/>
    </row>
    <row r="655" spans="1:1" ht="14.25" customHeight="1">
      <c r="A655" s="416"/>
    </row>
    <row r="656" spans="1:1" ht="14.25" customHeight="1">
      <c r="A656" s="416"/>
    </row>
    <row r="657" spans="1:1" ht="14.25" customHeight="1">
      <c r="A657" s="416"/>
    </row>
    <row r="658" spans="1:1" ht="14.25" customHeight="1">
      <c r="A658" s="416"/>
    </row>
    <row r="659" spans="1:1" ht="14.25" customHeight="1">
      <c r="A659" s="416"/>
    </row>
    <row r="660" spans="1:1" ht="14.25" customHeight="1">
      <c r="A660" s="416"/>
    </row>
    <row r="661" spans="1:1" ht="14.25" customHeight="1">
      <c r="A661" s="416"/>
    </row>
    <row r="662" spans="1:1" ht="14.25" customHeight="1">
      <c r="A662" s="416"/>
    </row>
    <row r="663" spans="1:1" ht="14.25" customHeight="1">
      <c r="A663" s="416"/>
    </row>
    <row r="664" spans="1:1" ht="14.25" customHeight="1">
      <c r="A664" s="416"/>
    </row>
    <row r="665" spans="1:1" ht="14.25" customHeight="1">
      <c r="A665" s="416"/>
    </row>
    <row r="666" spans="1:1" ht="14.25" customHeight="1">
      <c r="A666" s="416"/>
    </row>
    <row r="667" spans="1:1" ht="14.25" customHeight="1">
      <c r="A667" s="416"/>
    </row>
    <row r="668" spans="1:1" ht="14.25" customHeight="1">
      <c r="A668" s="416"/>
    </row>
    <row r="669" spans="1:1" ht="14.25" customHeight="1">
      <c r="A669" s="416"/>
    </row>
    <row r="670" spans="1:1" ht="14.25" customHeight="1">
      <c r="A670" s="416"/>
    </row>
    <row r="671" spans="1:1" ht="14.25" customHeight="1">
      <c r="A671" s="416"/>
    </row>
    <row r="672" spans="1:1" ht="14.25" customHeight="1">
      <c r="A672" s="416"/>
    </row>
    <row r="673" spans="1:1" ht="14.25" customHeight="1">
      <c r="A673" s="416"/>
    </row>
    <row r="674" spans="1:1" ht="14.25" customHeight="1">
      <c r="A674" s="416"/>
    </row>
    <row r="675" spans="1:1" ht="14.25" customHeight="1">
      <c r="A675" s="416"/>
    </row>
    <row r="676" spans="1:1" ht="14.25" customHeight="1">
      <c r="A676" s="416"/>
    </row>
    <row r="677" spans="1:1" ht="14.25" customHeight="1">
      <c r="A677" s="416"/>
    </row>
    <row r="678" spans="1:1" ht="14.25" customHeight="1">
      <c r="A678" s="416"/>
    </row>
    <row r="679" spans="1:1" ht="14.25" customHeight="1">
      <c r="A679" s="416"/>
    </row>
    <row r="680" spans="1:1" ht="14.25" customHeight="1">
      <c r="A680" s="416"/>
    </row>
    <row r="681" spans="1:1" ht="14.25" customHeight="1">
      <c r="A681" s="416"/>
    </row>
    <row r="682" spans="1:1" ht="14.25" customHeight="1">
      <c r="A682" s="416"/>
    </row>
    <row r="683" spans="1:1" ht="14.25" customHeight="1">
      <c r="A683" s="416"/>
    </row>
    <row r="684" spans="1:1" ht="14.25" customHeight="1">
      <c r="A684" s="416"/>
    </row>
    <row r="685" spans="1:1" ht="14.25" customHeight="1">
      <c r="A685" s="416"/>
    </row>
    <row r="686" spans="1:1" ht="14.25" customHeight="1">
      <c r="A686" s="416"/>
    </row>
    <row r="687" spans="1:1" ht="14.25" customHeight="1">
      <c r="A687" s="416"/>
    </row>
    <row r="688" spans="1:1" ht="14.25" customHeight="1">
      <c r="A688" s="416"/>
    </row>
    <row r="689" spans="1:1" ht="14.25" customHeight="1">
      <c r="A689" s="416"/>
    </row>
    <row r="690" spans="1:1" ht="14.25" customHeight="1">
      <c r="A690" s="416"/>
    </row>
    <row r="691" spans="1:1" ht="14.25" customHeight="1">
      <c r="A691" s="416"/>
    </row>
    <row r="692" spans="1:1" ht="14.25" customHeight="1">
      <c r="A692" s="416"/>
    </row>
    <row r="693" spans="1:1" ht="14.25" customHeight="1">
      <c r="A693" s="416"/>
    </row>
    <row r="694" spans="1:1" ht="14.25" customHeight="1">
      <c r="A694" s="416"/>
    </row>
    <row r="695" spans="1:1" ht="14.25" customHeight="1">
      <c r="A695" s="416"/>
    </row>
    <row r="696" spans="1:1" ht="14.25" customHeight="1">
      <c r="A696" s="416"/>
    </row>
    <row r="697" spans="1:1" ht="14.25" customHeight="1">
      <c r="A697" s="416"/>
    </row>
    <row r="698" spans="1:1" ht="14.25" customHeight="1">
      <c r="A698" s="416"/>
    </row>
    <row r="699" spans="1:1" ht="14.25" customHeight="1">
      <c r="A699" s="416"/>
    </row>
    <row r="700" spans="1:1" ht="14.25" customHeight="1">
      <c r="A700" s="416"/>
    </row>
    <row r="701" spans="1:1" ht="14.25" customHeight="1">
      <c r="A701" s="416"/>
    </row>
    <row r="702" spans="1:1" ht="14.25" customHeight="1">
      <c r="A702" s="416"/>
    </row>
    <row r="703" spans="1:1" ht="14.25" customHeight="1">
      <c r="A703" s="416"/>
    </row>
    <row r="704" spans="1:1" ht="14.25" customHeight="1">
      <c r="A704" s="416"/>
    </row>
    <row r="705" spans="1:1" ht="14.25" customHeight="1">
      <c r="A705" s="416"/>
    </row>
    <row r="706" spans="1:1" ht="14.25" customHeight="1">
      <c r="A706" s="416"/>
    </row>
    <row r="707" spans="1:1" ht="14.25" customHeight="1">
      <c r="A707" s="416"/>
    </row>
    <row r="708" spans="1:1" ht="14.25" customHeight="1">
      <c r="A708" s="416"/>
    </row>
    <row r="709" spans="1:1" ht="14.25" customHeight="1">
      <c r="A709" s="416"/>
    </row>
    <row r="710" spans="1:1" ht="14.25" customHeight="1">
      <c r="A710" s="416"/>
    </row>
    <row r="711" spans="1:1" ht="14.25" customHeight="1">
      <c r="A711" s="416"/>
    </row>
    <row r="712" spans="1:1" ht="14.25" customHeight="1">
      <c r="A712" s="416"/>
    </row>
    <row r="713" spans="1:1" ht="14.25" customHeight="1">
      <c r="A713" s="416"/>
    </row>
    <row r="714" spans="1:1" ht="14.25" customHeight="1">
      <c r="A714" s="416"/>
    </row>
    <row r="715" spans="1:1" ht="14.25" customHeight="1">
      <c r="A715" s="416"/>
    </row>
    <row r="716" spans="1:1" ht="14.25" customHeight="1">
      <c r="A716" s="416"/>
    </row>
    <row r="717" spans="1:1" ht="14.25" customHeight="1">
      <c r="A717" s="416"/>
    </row>
    <row r="718" spans="1:1" ht="14.25" customHeight="1">
      <c r="A718" s="416"/>
    </row>
    <row r="719" spans="1:1" ht="14.25" customHeight="1">
      <c r="A719" s="416"/>
    </row>
    <row r="720" spans="1:1" ht="14.25" customHeight="1">
      <c r="A720" s="416"/>
    </row>
    <row r="721" spans="1:1" ht="14.25" customHeight="1">
      <c r="A721" s="416"/>
    </row>
    <row r="722" spans="1:1" ht="14.25" customHeight="1">
      <c r="A722" s="416"/>
    </row>
    <row r="723" spans="1:1" ht="14.25" customHeight="1">
      <c r="A723" s="416"/>
    </row>
    <row r="724" spans="1:1" ht="14.25" customHeight="1">
      <c r="A724" s="416"/>
    </row>
    <row r="725" spans="1:1" ht="14.25" customHeight="1">
      <c r="A725" s="416"/>
    </row>
    <row r="726" spans="1:1" ht="14.25" customHeight="1">
      <c r="A726" s="416"/>
    </row>
    <row r="727" spans="1:1" ht="14.25" customHeight="1">
      <c r="A727" s="416"/>
    </row>
    <row r="728" spans="1:1" ht="14.25" customHeight="1">
      <c r="A728" s="416"/>
    </row>
    <row r="729" spans="1:1" ht="14.25" customHeight="1">
      <c r="A729" s="416"/>
    </row>
    <row r="730" spans="1:1" ht="14.25" customHeight="1">
      <c r="A730" s="416"/>
    </row>
    <row r="731" spans="1:1" ht="14.25" customHeight="1">
      <c r="A731" s="416"/>
    </row>
    <row r="732" spans="1:1" ht="14.25" customHeight="1">
      <c r="A732" s="416"/>
    </row>
    <row r="733" spans="1:1" ht="14.25" customHeight="1">
      <c r="A733" s="416"/>
    </row>
    <row r="734" spans="1:1" ht="14.25" customHeight="1">
      <c r="A734" s="416"/>
    </row>
    <row r="735" spans="1:1" ht="14.25" customHeight="1">
      <c r="A735" s="416"/>
    </row>
    <row r="736" spans="1:1" ht="14.25" customHeight="1">
      <c r="A736" s="416"/>
    </row>
    <row r="737" spans="1:1" ht="14.25" customHeight="1">
      <c r="A737" s="416"/>
    </row>
    <row r="738" spans="1:1" ht="14.25" customHeight="1">
      <c r="A738" s="416"/>
    </row>
    <row r="739" spans="1:1" ht="14.25" customHeight="1">
      <c r="A739" s="416"/>
    </row>
    <row r="740" spans="1:1" ht="14.25" customHeight="1">
      <c r="A740" s="416"/>
    </row>
    <row r="741" spans="1:1" ht="14.25" customHeight="1">
      <c r="A741" s="416"/>
    </row>
    <row r="742" spans="1:1" ht="14.25" customHeight="1">
      <c r="A742" s="416"/>
    </row>
    <row r="743" spans="1:1" ht="14.25" customHeight="1">
      <c r="A743" s="416"/>
    </row>
    <row r="744" spans="1:1" ht="14.25" customHeight="1">
      <c r="A744" s="416"/>
    </row>
    <row r="745" spans="1:1" ht="14.25" customHeight="1">
      <c r="A745" s="416"/>
    </row>
    <row r="746" spans="1:1" ht="14.25" customHeight="1">
      <c r="A746" s="416"/>
    </row>
    <row r="747" spans="1:1" ht="14.25" customHeight="1">
      <c r="A747" s="416"/>
    </row>
    <row r="748" spans="1:1" ht="14.25" customHeight="1">
      <c r="A748" s="416"/>
    </row>
    <row r="749" spans="1:1" ht="14.25" customHeight="1">
      <c r="A749" s="416"/>
    </row>
    <row r="750" spans="1:1" ht="14.25" customHeight="1">
      <c r="A750" s="416"/>
    </row>
    <row r="751" spans="1:1" ht="14.25" customHeight="1">
      <c r="A751" s="416"/>
    </row>
    <row r="752" spans="1:1" ht="14.25" customHeight="1">
      <c r="A752" s="416"/>
    </row>
    <row r="753" spans="1:1" ht="14.25" customHeight="1">
      <c r="A753" s="416"/>
    </row>
    <row r="754" spans="1:1" ht="14.25" customHeight="1">
      <c r="A754" s="416"/>
    </row>
    <row r="755" spans="1:1" ht="14.25" customHeight="1">
      <c r="A755" s="416"/>
    </row>
    <row r="756" spans="1:1" ht="14.25" customHeight="1">
      <c r="A756" s="416"/>
    </row>
    <row r="757" spans="1:1" ht="14.25" customHeight="1">
      <c r="A757" s="416"/>
    </row>
    <row r="758" spans="1:1" ht="14.25" customHeight="1">
      <c r="A758" s="416"/>
    </row>
    <row r="759" spans="1:1" ht="14.25" customHeight="1">
      <c r="A759" s="416"/>
    </row>
    <row r="760" spans="1:1" ht="14.25" customHeight="1">
      <c r="A760" s="416"/>
    </row>
    <row r="761" spans="1:1" ht="14.25" customHeight="1">
      <c r="A761" s="416"/>
    </row>
    <row r="762" spans="1:1" ht="14.25" customHeight="1">
      <c r="A762" s="416"/>
    </row>
    <row r="763" spans="1:1" ht="14.25" customHeight="1">
      <c r="A763" s="416"/>
    </row>
    <row r="764" spans="1:1" ht="14.25" customHeight="1">
      <c r="A764" s="416"/>
    </row>
    <row r="765" spans="1:1" ht="14.25" customHeight="1">
      <c r="A765" s="416"/>
    </row>
    <row r="766" spans="1:1" ht="14.25" customHeight="1">
      <c r="A766" s="416"/>
    </row>
    <row r="767" spans="1:1" ht="14.25" customHeight="1">
      <c r="A767" s="416"/>
    </row>
    <row r="768" spans="1:1" ht="14.25" customHeight="1">
      <c r="A768" s="416"/>
    </row>
    <row r="769" spans="1:1" ht="14.25" customHeight="1">
      <c r="A769" s="416"/>
    </row>
    <row r="770" spans="1:1" ht="14.25" customHeight="1">
      <c r="A770" s="416"/>
    </row>
    <row r="771" spans="1:1" ht="14.25" customHeight="1">
      <c r="A771" s="416"/>
    </row>
    <row r="772" spans="1:1" ht="14.25" customHeight="1">
      <c r="A772" s="416"/>
    </row>
    <row r="773" spans="1:1" ht="14.25" customHeight="1">
      <c r="A773" s="416"/>
    </row>
    <row r="774" spans="1:1" ht="14.25" customHeight="1">
      <c r="A774" s="416"/>
    </row>
    <row r="775" spans="1:1" ht="14.25" customHeight="1">
      <c r="A775" s="416"/>
    </row>
    <row r="776" spans="1:1" ht="14.25" customHeight="1">
      <c r="A776" s="416"/>
    </row>
    <row r="777" spans="1:1" ht="14.25" customHeight="1">
      <c r="A777" s="416"/>
    </row>
    <row r="778" spans="1:1" ht="14.25" customHeight="1">
      <c r="A778" s="416"/>
    </row>
    <row r="779" spans="1:1" ht="14.25" customHeight="1">
      <c r="A779" s="416"/>
    </row>
    <row r="780" spans="1:1" ht="14.25" customHeight="1">
      <c r="A780" s="416"/>
    </row>
    <row r="781" spans="1:1" ht="14.25" customHeight="1">
      <c r="A781" s="416"/>
    </row>
    <row r="782" spans="1:1" ht="14.25" customHeight="1">
      <c r="A782" s="416"/>
    </row>
    <row r="783" spans="1:1" ht="14.25" customHeight="1">
      <c r="A783" s="416"/>
    </row>
    <row r="784" spans="1:1" ht="14.25" customHeight="1">
      <c r="A784" s="416"/>
    </row>
    <row r="785" spans="1:1" ht="14.25" customHeight="1">
      <c r="A785" s="416"/>
    </row>
    <row r="786" spans="1:1" ht="14.25" customHeight="1">
      <c r="A786" s="416"/>
    </row>
    <row r="787" spans="1:1" ht="14.25" customHeight="1">
      <c r="A787" s="416"/>
    </row>
    <row r="788" spans="1:1" ht="14.25" customHeight="1">
      <c r="A788" s="416"/>
    </row>
    <row r="789" spans="1:1" ht="14.25" customHeight="1">
      <c r="A789" s="416"/>
    </row>
    <row r="790" spans="1:1" ht="14.25" customHeight="1">
      <c r="A790" s="416"/>
    </row>
    <row r="791" spans="1:1" ht="14.25" customHeight="1">
      <c r="A791" s="416"/>
    </row>
    <row r="792" spans="1:1" ht="14.25" customHeight="1">
      <c r="A792" s="416"/>
    </row>
    <row r="793" spans="1:1" ht="14.25" customHeight="1">
      <c r="A793" s="416"/>
    </row>
    <row r="794" spans="1:1" ht="14.25" customHeight="1">
      <c r="A794" s="416"/>
    </row>
    <row r="795" spans="1:1" ht="14.25" customHeight="1">
      <c r="A795" s="416"/>
    </row>
    <row r="796" spans="1:1" ht="14.25" customHeight="1">
      <c r="A796" s="416"/>
    </row>
    <row r="797" spans="1:1" ht="14.25" customHeight="1">
      <c r="A797" s="416"/>
    </row>
    <row r="798" spans="1:1" ht="14.25" customHeight="1">
      <c r="A798" s="416"/>
    </row>
    <row r="799" spans="1:1" ht="14.25" customHeight="1">
      <c r="A799" s="416"/>
    </row>
    <row r="800" spans="1:1" ht="14.25" customHeight="1">
      <c r="A800" s="416"/>
    </row>
    <row r="801" spans="1:1" ht="14.25" customHeight="1">
      <c r="A801" s="416"/>
    </row>
    <row r="802" spans="1:1" ht="14.25" customHeight="1">
      <c r="A802" s="416"/>
    </row>
    <row r="803" spans="1:1" ht="14.25" customHeight="1">
      <c r="A803" s="416"/>
    </row>
    <row r="804" spans="1:1" ht="14.25" customHeight="1">
      <c r="A804" s="416"/>
    </row>
    <row r="805" spans="1:1" ht="14.25" customHeight="1">
      <c r="A805" s="416"/>
    </row>
    <row r="806" spans="1:1" ht="14.25" customHeight="1">
      <c r="A806" s="416"/>
    </row>
    <row r="807" spans="1:1" ht="14.25" customHeight="1">
      <c r="A807" s="416"/>
    </row>
    <row r="808" spans="1:1" ht="14.25" customHeight="1">
      <c r="A808" s="416"/>
    </row>
    <row r="809" spans="1:1" ht="14.25" customHeight="1">
      <c r="A809" s="416"/>
    </row>
    <row r="810" spans="1:1" ht="14.25" customHeight="1">
      <c r="A810" s="416"/>
    </row>
    <row r="811" spans="1:1" ht="14.25" customHeight="1">
      <c r="A811" s="416"/>
    </row>
    <row r="812" spans="1:1" ht="14.25" customHeight="1">
      <c r="A812" s="416"/>
    </row>
    <row r="813" spans="1:1" ht="14.25" customHeight="1">
      <c r="A813" s="416"/>
    </row>
    <row r="814" spans="1:1" ht="14.25" customHeight="1">
      <c r="A814" s="416"/>
    </row>
    <row r="815" spans="1:1" ht="14.25" customHeight="1">
      <c r="A815" s="416"/>
    </row>
    <row r="816" spans="1:1" ht="14.25" customHeight="1">
      <c r="A816" s="416"/>
    </row>
    <row r="817" spans="1:1" ht="14.25" customHeight="1">
      <c r="A817" s="416"/>
    </row>
    <row r="818" spans="1:1" ht="14.25" customHeight="1">
      <c r="A818" s="416"/>
    </row>
    <row r="819" spans="1:1" ht="14.25" customHeight="1">
      <c r="A819" s="416"/>
    </row>
    <row r="820" spans="1:1" ht="14.25" customHeight="1">
      <c r="A820" s="416"/>
    </row>
    <row r="821" spans="1:1" ht="14.25" customHeight="1">
      <c r="A821" s="416"/>
    </row>
    <row r="822" spans="1:1" ht="14.25" customHeight="1">
      <c r="A822" s="416"/>
    </row>
    <row r="823" spans="1:1" ht="14.25" customHeight="1">
      <c r="A823" s="416"/>
    </row>
    <row r="824" spans="1:1" ht="14.25" customHeight="1">
      <c r="A824" s="416"/>
    </row>
    <row r="825" spans="1:1" ht="14.25" customHeight="1">
      <c r="A825" s="416"/>
    </row>
    <row r="826" spans="1:1" ht="14.25" customHeight="1">
      <c r="A826" s="416"/>
    </row>
    <row r="827" spans="1:1" ht="14.25" customHeight="1">
      <c r="A827" s="416"/>
    </row>
    <row r="828" spans="1:1" ht="14.25" customHeight="1">
      <c r="A828" s="416"/>
    </row>
    <row r="829" spans="1:1" ht="14.25" customHeight="1">
      <c r="A829" s="416"/>
    </row>
    <row r="830" spans="1:1" ht="14.25" customHeight="1">
      <c r="A830" s="416"/>
    </row>
    <row r="831" spans="1:1" ht="14.25" customHeight="1">
      <c r="A831" s="416"/>
    </row>
    <row r="832" spans="1:1" ht="14.25" customHeight="1">
      <c r="A832" s="416"/>
    </row>
    <row r="833" spans="1:1" ht="14.25" customHeight="1">
      <c r="A833" s="416"/>
    </row>
    <row r="834" spans="1:1" ht="14.25" customHeight="1">
      <c r="A834" s="416"/>
    </row>
    <row r="835" spans="1:1" ht="14.25" customHeight="1">
      <c r="A835" s="416"/>
    </row>
    <row r="836" spans="1:1" ht="14.25" customHeight="1">
      <c r="A836" s="416"/>
    </row>
    <row r="837" spans="1:1" ht="14.25" customHeight="1">
      <c r="A837" s="416"/>
    </row>
    <row r="838" spans="1:1" ht="14.25" customHeight="1">
      <c r="A838" s="416"/>
    </row>
    <row r="839" spans="1:1" ht="14.25" customHeight="1">
      <c r="A839" s="416"/>
    </row>
    <row r="840" spans="1:1" ht="14.25" customHeight="1">
      <c r="A840" s="416"/>
    </row>
    <row r="841" spans="1:1" ht="14.25" customHeight="1">
      <c r="A841" s="416"/>
    </row>
    <row r="842" spans="1:1" ht="14.25" customHeight="1">
      <c r="A842" s="416"/>
    </row>
    <row r="843" spans="1:1" ht="14.25" customHeight="1">
      <c r="A843" s="416"/>
    </row>
    <row r="844" spans="1:1" ht="14.25" customHeight="1">
      <c r="A844" s="416"/>
    </row>
    <row r="845" spans="1:1" ht="14.25" customHeight="1">
      <c r="A845" s="416"/>
    </row>
    <row r="846" spans="1:1" ht="14.25" customHeight="1">
      <c r="A846" s="416"/>
    </row>
    <row r="847" spans="1:1" ht="14.25" customHeight="1">
      <c r="A847" s="416"/>
    </row>
    <row r="848" spans="1:1" ht="14.25" customHeight="1">
      <c r="A848" s="416"/>
    </row>
    <row r="849" spans="1:1" ht="14.25" customHeight="1">
      <c r="A849" s="416"/>
    </row>
    <row r="850" spans="1:1" ht="14.25" customHeight="1">
      <c r="A850" s="416"/>
    </row>
    <row r="851" spans="1:1" ht="14.25" customHeight="1">
      <c r="A851" s="416"/>
    </row>
    <row r="852" spans="1:1" ht="14.25" customHeight="1">
      <c r="A852" s="416"/>
    </row>
    <row r="853" spans="1:1" ht="14.25" customHeight="1">
      <c r="A853" s="416"/>
    </row>
    <row r="854" spans="1:1" ht="14.25" customHeight="1">
      <c r="A854" s="416"/>
    </row>
    <row r="855" spans="1:1" ht="14.25" customHeight="1">
      <c r="A855" s="416"/>
    </row>
    <row r="856" spans="1:1" ht="14.25" customHeight="1">
      <c r="A856" s="416"/>
    </row>
    <row r="857" spans="1:1" ht="14.25" customHeight="1">
      <c r="A857" s="416"/>
    </row>
    <row r="858" spans="1:1" ht="14.25" customHeight="1">
      <c r="A858" s="416"/>
    </row>
    <row r="859" spans="1:1" ht="14.25" customHeight="1">
      <c r="A859" s="416"/>
    </row>
    <row r="860" spans="1:1" ht="14.25" customHeight="1">
      <c r="A860" s="416"/>
    </row>
    <row r="861" spans="1:1" ht="14.25" customHeight="1">
      <c r="A861" s="416"/>
    </row>
    <row r="862" spans="1:1" ht="14.25" customHeight="1">
      <c r="A862" s="416"/>
    </row>
    <row r="863" spans="1:1" ht="14.25" customHeight="1">
      <c r="A863" s="416"/>
    </row>
    <row r="864" spans="1:1" ht="14.25" customHeight="1">
      <c r="A864" s="416"/>
    </row>
    <row r="865" spans="1:1" ht="14.25" customHeight="1">
      <c r="A865" s="416"/>
    </row>
    <row r="866" spans="1:1" ht="14.25" customHeight="1">
      <c r="A866" s="416"/>
    </row>
    <row r="867" spans="1:1" ht="14.25" customHeight="1">
      <c r="A867" s="416"/>
    </row>
    <row r="868" spans="1:1" ht="14.25" customHeight="1">
      <c r="A868" s="416"/>
    </row>
    <row r="869" spans="1:1" ht="14.25" customHeight="1">
      <c r="A869" s="416"/>
    </row>
    <row r="870" spans="1:1" ht="14.25" customHeight="1">
      <c r="A870" s="416"/>
    </row>
    <row r="871" spans="1:1" ht="14.25" customHeight="1">
      <c r="A871" s="416"/>
    </row>
    <row r="872" spans="1:1" ht="14.25" customHeight="1">
      <c r="A872" s="416"/>
    </row>
    <row r="873" spans="1:1" ht="14.25" customHeight="1">
      <c r="A873" s="416"/>
    </row>
    <row r="874" spans="1:1" ht="14.25" customHeight="1">
      <c r="A874" s="416"/>
    </row>
    <row r="875" spans="1:1" ht="14.25" customHeight="1">
      <c r="A875" s="416"/>
    </row>
    <row r="876" spans="1:1" ht="14.25" customHeight="1">
      <c r="A876" s="416"/>
    </row>
    <row r="877" spans="1:1" ht="14.25" customHeight="1">
      <c r="A877" s="416"/>
    </row>
    <row r="878" spans="1:1" ht="14.25" customHeight="1">
      <c r="A878" s="416"/>
    </row>
    <row r="879" spans="1:1" ht="14.25" customHeight="1">
      <c r="A879" s="416"/>
    </row>
    <row r="880" spans="1:1" ht="14.25" customHeight="1">
      <c r="A880" s="416"/>
    </row>
    <row r="881" spans="1:1" ht="14.25" customHeight="1">
      <c r="A881" s="416"/>
    </row>
    <row r="882" spans="1:1" ht="14.25" customHeight="1">
      <c r="A882" s="416"/>
    </row>
    <row r="883" spans="1:1" ht="14.25" customHeight="1">
      <c r="A883" s="416"/>
    </row>
    <row r="884" spans="1:1" ht="14.25" customHeight="1">
      <c r="A884" s="416"/>
    </row>
    <row r="885" spans="1:1" ht="14.25" customHeight="1">
      <c r="A885" s="416"/>
    </row>
    <row r="886" spans="1:1" ht="14.25" customHeight="1">
      <c r="A886" s="416"/>
    </row>
    <row r="887" spans="1:1" ht="14.25" customHeight="1">
      <c r="A887" s="416"/>
    </row>
    <row r="888" spans="1:1" ht="14.25" customHeight="1">
      <c r="A888" s="416"/>
    </row>
    <row r="889" spans="1:1" ht="14.25" customHeight="1">
      <c r="A889" s="416"/>
    </row>
    <row r="890" spans="1:1" ht="14.25" customHeight="1">
      <c r="A890" s="416"/>
    </row>
    <row r="891" spans="1:1" ht="14.25" customHeight="1">
      <c r="A891" s="416"/>
    </row>
    <row r="892" spans="1:1" ht="14.25" customHeight="1">
      <c r="A892" s="416"/>
    </row>
    <row r="893" spans="1:1" ht="14.25" customHeight="1">
      <c r="A893" s="416"/>
    </row>
    <row r="894" spans="1:1" ht="14.25" customHeight="1">
      <c r="A894" s="416"/>
    </row>
    <row r="895" spans="1:1" ht="14.25" customHeight="1">
      <c r="A895" s="416"/>
    </row>
    <row r="896" spans="1:1" ht="14.25" customHeight="1">
      <c r="A896" s="416"/>
    </row>
    <row r="897" spans="1:1" ht="14.25" customHeight="1">
      <c r="A897" s="416"/>
    </row>
    <row r="898" spans="1:1" ht="14.25" customHeight="1">
      <c r="A898" s="416"/>
    </row>
    <row r="899" spans="1:1" ht="14.25" customHeight="1">
      <c r="A899" s="416"/>
    </row>
    <row r="900" spans="1:1" ht="14.25" customHeight="1">
      <c r="A900" s="416"/>
    </row>
    <row r="901" spans="1:1" ht="14.25" customHeight="1">
      <c r="A901" s="416"/>
    </row>
    <row r="902" spans="1:1" ht="14.25" customHeight="1">
      <c r="A902" s="416"/>
    </row>
    <row r="903" spans="1:1" ht="14.25" customHeight="1">
      <c r="A903" s="416"/>
    </row>
    <row r="904" spans="1:1" ht="14.25" customHeight="1">
      <c r="A904" s="416"/>
    </row>
    <row r="905" spans="1:1" ht="14.25" customHeight="1">
      <c r="A905" s="416"/>
    </row>
    <row r="906" spans="1:1" ht="14.25" customHeight="1">
      <c r="A906" s="416"/>
    </row>
    <row r="907" spans="1:1" ht="14.25" customHeight="1">
      <c r="A907" s="416"/>
    </row>
    <row r="908" spans="1:1" ht="14.25" customHeight="1">
      <c r="A908" s="416"/>
    </row>
    <row r="909" spans="1:1" ht="14.25" customHeight="1">
      <c r="A909" s="416"/>
    </row>
    <row r="910" spans="1:1" ht="14.25" customHeight="1">
      <c r="A910" s="416"/>
    </row>
    <row r="911" spans="1:1" ht="14.25" customHeight="1">
      <c r="A911" s="416"/>
    </row>
    <row r="912" spans="1:1" ht="14.25" customHeight="1">
      <c r="A912" s="416"/>
    </row>
    <row r="913" spans="1:1" ht="14.25" customHeight="1">
      <c r="A913" s="416"/>
    </row>
    <row r="914" spans="1:1" ht="14.25" customHeight="1">
      <c r="A914" s="416"/>
    </row>
    <row r="915" spans="1:1" ht="14.25" customHeight="1">
      <c r="A915" s="416"/>
    </row>
    <row r="916" spans="1:1" ht="14.25" customHeight="1">
      <c r="A916" s="416"/>
    </row>
    <row r="917" spans="1:1" ht="14.25" customHeight="1">
      <c r="A917" s="416"/>
    </row>
    <row r="918" spans="1:1" ht="14.25" customHeight="1">
      <c r="A918" s="416"/>
    </row>
    <row r="919" spans="1:1" ht="14.25" customHeight="1">
      <c r="A919" s="416"/>
    </row>
    <row r="920" spans="1:1" ht="14.25" customHeight="1">
      <c r="A920" s="416"/>
    </row>
    <row r="921" spans="1:1" ht="14.25" customHeight="1">
      <c r="A921" s="416"/>
    </row>
    <row r="922" spans="1:1" ht="14.25" customHeight="1">
      <c r="A922" s="416"/>
    </row>
    <row r="923" spans="1:1" ht="14.25" customHeight="1">
      <c r="A923" s="416"/>
    </row>
    <row r="924" spans="1:1" ht="14.25" customHeight="1">
      <c r="A924" s="416"/>
    </row>
    <row r="925" spans="1:1" ht="14.25" customHeight="1">
      <c r="A925" s="416"/>
    </row>
    <row r="926" spans="1:1" ht="14.25" customHeight="1">
      <c r="A926" s="416"/>
    </row>
    <row r="927" spans="1:1" ht="14.25" customHeight="1">
      <c r="A927" s="416"/>
    </row>
    <row r="928" spans="1:1" ht="14.25" customHeight="1">
      <c r="A928" s="416"/>
    </row>
    <row r="929" spans="1:1" ht="14.25" customHeight="1">
      <c r="A929" s="416"/>
    </row>
    <row r="930" spans="1:1" ht="14.25" customHeight="1">
      <c r="A930" s="416"/>
    </row>
    <row r="931" spans="1:1" ht="14.25" customHeight="1">
      <c r="A931" s="416"/>
    </row>
    <row r="932" spans="1:1" ht="14.25" customHeight="1">
      <c r="A932" s="416"/>
    </row>
    <row r="933" spans="1:1" ht="14.25" customHeight="1">
      <c r="A933" s="416"/>
    </row>
    <row r="934" spans="1:1" ht="14.25" customHeight="1">
      <c r="A934" s="416"/>
    </row>
    <row r="935" spans="1:1" ht="14.25" customHeight="1">
      <c r="A935" s="416"/>
    </row>
    <row r="936" spans="1:1" ht="14.25" customHeight="1">
      <c r="A936" s="416"/>
    </row>
    <row r="937" spans="1:1" ht="14.25" customHeight="1">
      <c r="A937" s="416"/>
    </row>
    <row r="938" spans="1:1" ht="14.25" customHeight="1">
      <c r="A938" s="416"/>
    </row>
    <row r="939" spans="1:1" ht="14.25" customHeight="1">
      <c r="A939" s="416"/>
    </row>
    <row r="940" spans="1:1" ht="14.25" customHeight="1">
      <c r="A940" s="416"/>
    </row>
    <row r="941" spans="1:1" ht="14.25" customHeight="1">
      <c r="A941" s="416"/>
    </row>
    <row r="942" spans="1:1" ht="14.25" customHeight="1">
      <c r="A942" s="416"/>
    </row>
    <row r="943" spans="1:1" ht="14.25" customHeight="1">
      <c r="A943" s="416"/>
    </row>
    <row r="944" spans="1:1" ht="14.25" customHeight="1">
      <c r="A944" s="416"/>
    </row>
    <row r="945" spans="1:1" ht="14.25" customHeight="1">
      <c r="A945" s="416"/>
    </row>
    <row r="946" spans="1:1" ht="14.25" customHeight="1">
      <c r="A946" s="416"/>
    </row>
    <row r="947" spans="1:1" ht="14.25" customHeight="1">
      <c r="A947" s="416"/>
    </row>
    <row r="948" spans="1:1" ht="14.25" customHeight="1">
      <c r="A948" s="416"/>
    </row>
    <row r="949" spans="1:1" ht="14.25" customHeight="1">
      <c r="A949" s="416"/>
    </row>
    <row r="950" spans="1:1" ht="14.25" customHeight="1">
      <c r="A950" s="416"/>
    </row>
    <row r="951" spans="1:1" ht="14.25" customHeight="1">
      <c r="A951" s="416"/>
    </row>
    <row r="952" spans="1:1" ht="14.25" customHeight="1">
      <c r="A952" s="416"/>
    </row>
    <row r="953" spans="1:1" ht="14.25" customHeight="1">
      <c r="A953" s="416"/>
    </row>
    <row r="954" spans="1:1" ht="14.25" customHeight="1">
      <c r="A954" s="416"/>
    </row>
    <row r="955" spans="1:1" ht="14.25" customHeight="1">
      <c r="A955" s="416"/>
    </row>
    <row r="956" spans="1:1" ht="14.25" customHeight="1">
      <c r="A956" s="416"/>
    </row>
    <row r="957" spans="1:1" ht="14.25" customHeight="1">
      <c r="A957" s="416"/>
    </row>
    <row r="958" spans="1:1" ht="14.25" customHeight="1">
      <c r="A958" s="416"/>
    </row>
    <row r="959" spans="1:1" ht="14.25" customHeight="1">
      <c r="A959" s="416"/>
    </row>
    <row r="960" spans="1:1" ht="14.25" customHeight="1">
      <c r="A960" s="416"/>
    </row>
    <row r="961" spans="1:1" ht="14.25" customHeight="1">
      <c r="A961" s="416"/>
    </row>
    <row r="962" spans="1:1" ht="14.25" customHeight="1">
      <c r="A962" s="416"/>
    </row>
    <row r="963" spans="1:1" ht="14.25" customHeight="1">
      <c r="A963" s="416"/>
    </row>
    <row r="964" spans="1:1" ht="14.25" customHeight="1">
      <c r="A964" s="416"/>
    </row>
    <row r="965" spans="1:1" ht="14.25" customHeight="1">
      <c r="A965" s="416"/>
    </row>
    <row r="966" spans="1:1" ht="14.25" customHeight="1">
      <c r="A966" s="416"/>
    </row>
    <row r="967" spans="1:1" ht="14.25" customHeight="1">
      <c r="A967" s="416"/>
    </row>
    <row r="968" spans="1:1" ht="14.25" customHeight="1">
      <c r="A968" s="416"/>
    </row>
    <row r="969" spans="1:1" ht="14.25" customHeight="1">
      <c r="A969" s="416"/>
    </row>
    <row r="970" spans="1:1" ht="14.25" customHeight="1">
      <c r="A970" s="416"/>
    </row>
    <row r="971" spans="1:1" ht="14.25" customHeight="1">
      <c r="A971" s="416"/>
    </row>
    <row r="972" spans="1:1" ht="14.25" customHeight="1">
      <c r="A972" s="416"/>
    </row>
    <row r="973" spans="1:1" ht="14.25" customHeight="1">
      <c r="A973" s="416"/>
    </row>
    <row r="974" spans="1:1" ht="14.25" customHeight="1">
      <c r="A974" s="416"/>
    </row>
    <row r="975" spans="1:1" ht="14.25" customHeight="1">
      <c r="A975" s="416"/>
    </row>
    <row r="976" spans="1:1" ht="14.25" customHeight="1">
      <c r="A976" s="416"/>
    </row>
    <row r="977" spans="1:1" ht="14.25" customHeight="1">
      <c r="A977" s="416"/>
    </row>
    <row r="978" spans="1:1" ht="14.25" customHeight="1">
      <c r="A978" s="416"/>
    </row>
    <row r="979" spans="1:1" ht="14.25" customHeight="1">
      <c r="A979" s="416"/>
    </row>
    <row r="980" spans="1:1" ht="14.25" customHeight="1">
      <c r="A980" s="416"/>
    </row>
    <row r="981" spans="1:1" ht="14.25" customHeight="1">
      <c r="A981" s="416"/>
    </row>
    <row r="982" spans="1:1" ht="14.25" customHeight="1">
      <c r="A982" s="416"/>
    </row>
    <row r="983" spans="1:1" ht="14.25" customHeight="1">
      <c r="A983" s="416"/>
    </row>
    <row r="984" spans="1:1" ht="14.25" customHeight="1">
      <c r="A984" s="416"/>
    </row>
    <row r="985" spans="1:1" ht="14.25" customHeight="1">
      <c r="A985" s="416"/>
    </row>
    <row r="986" spans="1:1" ht="14.25" customHeight="1">
      <c r="A986" s="416"/>
    </row>
    <row r="987" spans="1:1" ht="14.25" customHeight="1">
      <c r="A987" s="416"/>
    </row>
    <row r="988" spans="1:1" ht="14.25" customHeight="1">
      <c r="A988" s="416"/>
    </row>
    <row r="989" spans="1:1" ht="14.25" customHeight="1">
      <c r="A989" s="416"/>
    </row>
    <row r="990" spans="1:1" ht="14.25" customHeight="1">
      <c r="A990" s="416"/>
    </row>
    <row r="991" spans="1:1" ht="14.25" customHeight="1">
      <c r="A991" s="416"/>
    </row>
    <row r="992" spans="1:1" ht="14.25" customHeight="1">
      <c r="A992" s="416"/>
    </row>
    <row r="993" spans="1:1" ht="14.25" customHeight="1">
      <c r="A993" s="416"/>
    </row>
    <row r="994" spans="1:1" ht="14.25" customHeight="1">
      <c r="A994" s="416"/>
    </row>
    <row r="995" spans="1:1" ht="14.25" customHeight="1">
      <c r="A995" s="416"/>
    </row>
    <row r="996" spans="1:1" ht="14.25" customHeight="1">
      <c r="A996" s="416"/>
    </row>
    <row r="997" spans="1:1" ht="14.25" customHeight="1">
      <c r="A997" s="416"/>
    </row>
    <row r="998" spans="1:1" ht="14.25" customHeight="1">
      <c r="A998" s="416"/>
    </row>
    <row r="999" spans="1:1" ht="14.25" customHeight="1">
      <c r="A999" s="416"/>
    </row>
    <row r="1000" spans="1:1" ht="14.25" customHeight="1">
      <c r="A1000" s="416"/>
    </row>
    <row r="1001" spans="1:1" ht="14.25" customHeight="1">
      <c r="A1001" s="416"/>
    </row>
    <row r="1002" spans="1:1" ht="14.25" customHeight="1">
      <c r="A1002" s="416"/>
    </row>
    <row r="1003" spans="1:1" ht="14.25" customHeight="1">
      <c r="A1003" s="416"/>
    </row>
  </sheetData>
  <mergeCells count="15">
    <mergeCell ref="G2:R2"/>
    <mergeCell ref="A21:A23"/>
    <mergeCell ref="B21:B23"/>
    <mergeCell ref="C21:C23"/>
    <mergeCell ref="D21:D23"/>
    <mergeCell ref="E21:E23"/>
    <mergeCell ref="F21:G21"/>
    <mergeCell ref="H21:I21"/>
    <mergeCell ref="J21:K21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6D79-1BA3-4523-9969-028AEA8513C9}">
  <sheetPr>
    <tabColor theme="9" tint="0.39997558519241921"/>
  </sheetPr>
  <dimension ref="A1:Q1003"/>
  <sheetViews>
    <sheetView topLeftCell="G19" workbookViewId="0">
      <selection activeCell="L34" sqref="L34"/>
    </sheetView>
  </sheetViews>
  <sheetFormatPr defaultColWidth="14.3984375" defaultRowHeight="13.2"/>
  <cols>
    <col min="1" max="1" width="9.09765625" style="228" customWidth="1"/>
    <col min="2" max="2" width="12.796875" style="228" customWidth="1"/>
    <col min="3" max="3" width="23.19921875" style="228" customWidth="1"/>
    <col min="4" max="6" width="7.3984375" style="228" customWidth="1"/>
    <col min="7" max="7" width="35.19921875" style="228" customWidth="1"/>
    <col min="8" max="8" width="12.3984375" style="228" customWidth="1"/>
    <col min="9" max="9" width="17.796875" style="228" customWidth="1"/>
    <col min="10" max="10" width="26.3984375" style="228" customWidth="1"/>
    <col min="11" max="15" width="13.19921875" style="228" customWidth="1"/>
    <col min="16" max="17" width="12.296875" style="228" customWidth="1"/>
    <col min="18" max="28" width="9.09765625" style="228" customWidth="1"/>
    <col min="29" max="16384" width="14.3984375" style="228"/>
  </cols>
  <sheetData>
    <row r="1" spans="1:17" ht="18" customHeight="1">
      <c r="A1" s="1402"/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584"/>
      <c r="M1" s="584"/>
      <c r="N1" s="385"/>
      <c r="O1" s="385"/>
    </row>
    <row r="2" spans="1:17" ht="18.600000000000001" customHeight="1">
      <c r="A2" s="1401" t="s">
        <v>134</v>
      </c>
      <c r="B2" s="1401" t="s">
        <v>629</v>
      </c>
      <c r="C2" s="1401" t="s">
        <v>630</v>
      </c>
      <c r="D2" s="1401" t="s">
        <v>631</v>
      </c>
      <c r="E2" s="1401" t="s">
        <v>632</v>
      </c>
      <c r="F2" s="1401" t="s">
        <v>633</v>
      </c>
      <c r="G2" s="1401" t="s">
        <v>137</v>
      </c>
      <c r="H2" s="1401" t="s">
        <v>2804</v>
      </c>
      <c r="I2" s="1401" t="s">
        <v>634</v>
      </c>
      <c r="J2" s="1401" t="s">
        <v>635</v>
      </c>
      <c r="K2" s="1401" t="s">
        <v>636</v>
      </c>
      <c r="L2" s="1401" t="s">
        <v>637</v>
      </c>
      <c r="M2" s="1403" t="s">
        <v>305</v>
      </c>
      <c r="N2" s="1401" t="s">
        <v>638</v>
      </c>
      <c r="O2" s="1401" t="s">
        <v>639</v>
      </c>
      <c r="P2" s="602" t="s">
        <v>640</v>
      </c>
      <c r="Q2" s="602" t="s">
        <v>641</v>
      </c>
    </row>
    <row r="3" spans="1:17" ht="18.600000000000001" customHeight="1">
      <c r="A3" s="1401"/>
      <c r="B3" s="1401"/>
      <c r="C3" s="1401"/>
      <c r="D3" s="1401"/>
      <c r="E3" s="1401"/>
      <c r="F3" s="1401"/>
      <c r="G3" s="1401"/>
      <c r="H3" s="1401"/>
      <c r="I3" s="1401"/>
      <c r="J3" s="1401"/>
      <c r="K3" s="1401"/>
      <c r="L3" s="1401"/>
      <c r="M3" s="1403"/>
      <c r="N3" s="1401"/>
      <c r="O3" s="1401"/>
      <c r="P3" s="530" t="s">
        <v>296</v>
      </c>
      <c r="Q3" s="530" t="s">
        <v>296</v>
      </c>
    </row>
    <row r="4" spans="1:17" ht="24.6" customHeight="1">
      <c r="A4" s="1401"/>
      <c r="B4" s="1401"/>
      <c r="C4" s="1401"/>
      <c r="D4" s="1401"/>
      <c r="E4" s="1401"/>
      <c r="F4" s="1401"/>
      <c r="G4" s="1401"/>
      <c r="H4" s="1401"/>
      <c r="I4" s="1401"/>
      <c r="J4" s="1401"/>
      <c r="K4" s="1401"/>
      <c r="L4" s="1401"/>
      <c r="M4" s="1403"/>
      <c r="N4" s="1401"/>
      <c r="O4" s="1401"/>
      <c r="P4" s="603">
        <f>SUM(P5:P482)</f>
        <v>83378.238341968929</v>
      </c>
      <c r="Q4" s="603">
        <f>SUM(Q5:Q482)</f>
        <v>93466.5325148228</v>
      </c>
    </row>
    <row r="5" spans="1:17" ht="18" customHeight="1">
      <c r="A5" s="585">
        <v>1</v>
      </c>
      <c r="B5" s="585">
        <v>380003</v>
      </c>
      <c r="C5" s="586" t="s">
        <v>642</v>
      </c>
      <c r="D5" s="586" t="s">
        <v>643</v>
      </c>
      <c r="E5" s="586" t="s">
        <v>644</v>
      </c>
      <c r="F5" s="586" t="s">
        <v>645</v>
      </c>
      <c r="G5" s="587" t="s">
        <v>646</v>
      </c>
      <c r="H5" s="585">
        <v>10</v>
      </c>
      <c r="I5" s="588" t="s">
        <v>647</v>
      </c>
      <c r="J5" s="586" t="s">
        <v>648</v>
      </c>
      <c r="K5" s="589" t="s">
        <v>649</v>
      </c>
      <c r="L5" s="585">
        <v>2</v>
      </c>
      <c r="M5" s="398"/>
      <c r="N5" s="257">
        <f>'[2]1.4 Septic'!$F$16</f>
        <v>298</v>
      </c>
      <c r="O5" s="257">
        <f>$G$487</f>
        <v>14.763</v>
      </c>
      <c r="P5" s="258"/>
      <c r="Q5" s="590">
        <f>H5*2*L5*N5/O5</f>
        <v>807.42396531870213</v>
      </c>
    </row>
    <row r="6" spans="1:17" ht="18" customHeight="1">
      <c r="A6" s="396">
        <f t="shared" ref="A6:A69" si="0">+A5+1</f>
        <v>2</v>
      </c>
      <c r="B6" s="396">
        <v>380005</v>
      </c>
      <c r="C6" s="369" t="s">
        <v>650</v>
      </c>
      <c r="D6" s="369" t="s">
        <v>643</v>
      </c>
      <c r="E6" s="369" t="s">
        <v>644</v>
      </c>
      <c r="F6" s="369" t="s">
        <v>645</v>
      </c>
      <c r="G6" s="591" t="s">
        <v>651</v>
      </c>
      <c r="H6" s="396">
        <v>12</v>
      </c>
      <c r="I6" s="369"/>
      <c r="J6" s="369" t="s">
        <v>1790</v>
      </c>
      <c r="K6" s="410" t="s">
        <v>652</v>
      </c>
      <c r="L6" s="396">
        <v>1</v>
      </c>
      <c r="M6" s="592"/>
      <c r="N6" s="257">
        <f>'[2]1.4 Septic'!$F$16</f>
        <v>298</v>
      </c>
      <c r="O6" s="257">
        <v>6.3689999999999998</v>
      </c>
      <c r="P6" s="590">
        <f>H6*2*L6*N6/O6</f>
        <v>1122.9392369288744</v>
      </c>
      <c r="Q6" s="258"/>
    </row>
    <row r="7" spans="1:17" ht="18" customHeight="1">
      <c r="A7" s="396">
        <f t="shared" si="0"/>
        <v>3</v>
      </c>
      <c r="B7" s="396">
        <v>380006</v>
      </c>
      <c r="C7" s="369" t="s">
        <v>653</v>
      </c>
      <c r="D7" s="369" t="s">
        <v>643</v>
      </c>
      <c r="E7" s="369" t="s">
        <v>644</v>
      </c>
      <c r="F7" s="369" t="s">
        <v>645</v>
      </c>
      <c r="G7" s="591" t="s">
        <v>654</v>
      </c>
      <c r="H7" s="396">
        <v>10</v>
      </c>
      <c r="I7" s="369"/>
      <c r="J7" s="369" t="s">
        <v>648</v>
      </c>
      <c r="K7" s="410" t="s">
        <v>655</v>
      </c>
      <c r="L7" s="396">
        <v>1</v>
      </c>
      <c r="M7" s="592"/>
      <c r="N7" s="257">
        <f>'[2]1.4 Septic'!$F$16</f>
        <v>298</v>
      </c>
      <c r="O7" s="257">
        <f t="shared" ref="O7" si="1">$G$487</f>
        <v>14.763</v>
      </c>
      <c r="P7" s="258"/>
      <c r="Q7" s="590">
        <f>H7*2*L7*N7/O7</f>
        <v>403.71198265935107</v>
      </c>
    </row>
    <row r="8" spans="1:17" ht="18" customHeight="1">
      <c r="A8" s="396">
        <f t="shared" si="0"/>
        <v>4</v>
      </c>
      <c r="B8" s="396">
        <v>380007</v>
      </c>
      <c r="C8" s="369" t="s">
        <v>656</v>
      </c>
      <c r="D8" s="369" t="s">
        <v>643</v>
      </c>
      <c r="E8" s="369" t="s">
        <v>644</v>
      </c>
      <c r="F8" s="369" t="s">
        <v>645</v>
      </c>
      <c r="G8" s="591" t="s">
        <v>657</v>
      </c>
      <c r="H8" s="396">
        <v>8</v>
      </c>
      <c r="I8" s="369"/>
      <c r="J8" s="369" t="s">
        <v>658</v>
      </c>
      <c r="K8" s="410" t="s">
        <v>649</v>
      </c>
      <c r="L8" s="396">
        <v>2</v>
      </c>
      <c r="M8" s="592"/>
      <c r="N8" s="257">
        <f>'[2]1.4 Septic'!$F$16</f>
        <v>298</v>
      </c>
      <c r="O8" s="257">
        <f>$G$492</f>
        <v>37.64</v>
      </c>
      <c r="P8" s="258"/>
      <c r="Q8" s="590">
        <f>H8*2*L8*N8/O8</f>
        <v>253.34750265674813</v>
      </c>
    </row>
    <row r="9" spans="1:17" ht="18" customHeight="1">
      <c r="A9" s="396">
        <f t="shared" si="0"/>
        <v>5</v>
      </c>
      <c r="B9" s="396">
        <v>380010</v>
      </c>
      <c r="C9" s="369" t="s">
        <v>659</v>
      </c>
      <c r="D9" s="369" t="s">
        <v>643</v>
      </c>
      <c r="E9" s="369" t="s">
        <v>644</v>
      </c>
      <c r="F9" s="369" t="s">
        <v>645</v>
      </c>
      <c r="G9" s="591" t="s">
        <v>660</v>
      </c>
      <c r="H9" s="396">
        <v>9</v>
      </c>
      <c r="I9" s="369"/>
      <c r="J9" s="369" t="s">
        <v>1790</v>
      </c>
      <c r="K9" s="410" t="s">
        <v>652</v>
      </c>
      <c r="L9" s="396">
        <v>2</v>
      </c>
      <c r="M9" s="592"/>
      <c r="N9" s="257">
        <f>'[2]1.4 Septic'!$F$16</f>
        <v>298</v>
      </c>
      <c r="O9" s="257">
        <v>6.3689999999999998</v>
      </c>
      <c r="P9" s="590">
        <f>H9*2*L9*N9/O9</f>
        <v>1684.4088553933113</v>
      </c>
      <c r="Q9" s="258"/>
    </row>
    <row r="10" spans="1:17" ht="18" customHeight="1">
      <c r="A10" s="396">
        <f t="shared" si="0"/>
        <v>6</v>
      </c>
      <c r="B10" s="396">
        <v>380017</v>
      </c>
      <c r="C10" s="369" t="s">
        <v>661</v>
      </c>
      <c r="D10" s="369" t="s">
        <v>643</v>
      </c>
      <c r="E10" s="369" t="s">
        <v>644</v>
      </c>
      <c r="F10" s="369" t="s">
        <v>645</v>
      </c>
      <c r="G10" s="591" t="s">
        <v>662</v>
      </c>
      <c r="H10" s="396">
        <v>38</v>
      </c>
      <c r="I10" s="369"/>
      <c r="J10" s="369" t="s">
        <v>663</v>
      </c>
      <c r="K10" s="410" t="s">
        <v>655</v>
      </c>
      <c r="L10" s="396">
        <v>2</v>
      </c>
      <c r="M10" s="592" t="s">
        <v>664</v>
      </c>
      <c r="N10" s="257">
        <f>'[2]1.4 Septic'!$F$34</f>
        <v>247</v>
      </c>
      <c r="O10" s="257">
        <f>$G$495</f>
        <v>12.247999999999999</v>
      </c>
      <c r="P10" s="258"/>
      <c r="Q10" s="590">
        <f>H10*2*L10*N10/O10</f>
        <v>3065.3167864141087</v>
      </c>
    </row>
    <row r="11" spans="1:17" ht="18" customHeight="1">
      <c r="A11" s="396">
        <f t="shared" si="0"/>
        <v>7</v>
      </c>
      <c r="B11" s="396">
        <v>380026</v>
      </c>
      <c r="C11" s="369" t="s">
        <v>665</v>
      </c>
      <c r="D11" s="369" t="s">
        <v>643</v>
      </c>
      <c r="E11" s="369" t="s">
        <v>644</v>
      </c>
      <c r="F11" s="369" t="s">
        <v>645</v>
      </c>
      <c r="G11" s="591" t="s">
        <v>666</v>
      </c>
      <c r="H11" s="396">
        <v>40</v>
      </c>
      <c r="I11" s="369"/>
      <c r="J11" s="369" t="s">
        <v>658</v>
      </c>
      <c r="K11" s="410" t="s">
        <v>649</v>
      </c>
      <c r="L11" s="396">
        <v>1</v>
      </c>
      <c r="M11" s="592" t="s">
        <v>664</v>
      </c>
      <c r="N11" s="257">
        <f>'[2]1.4 Septic'!$F$34</f>
        <v>247</v>
      </c>
      <c r="O11" s="257">
        <f>$G$492</f>
        <v>37.64</v>
      </c>
      <c r="P11" s="258"/>
      <c r="Q11" s="590">
        <f>H11*2*L11*N11/O11</f>
        <v>524.97343251859718</v>
      </c>
    </row>
    <row r="12" spans="1:17" ht="18" customHeight="1">
      <c r="A12" s="396">
        <f t="shared" si="0"/>
        <v>8</v>
      </c>
      <c r="B12" s="396">
        <v>390030</v>
      </c>
      <c r="C12" s="369" t="s">
        <v>667</v>
      </c>
      <c r="D12" s="369" t="s">
        <v>643</v>
      </c>
      <c r="E12" s="369" t="s">
        <v>644</v>
      </c>
      <c r="F12" s="369" t="s">
        <v>645</v>
      </c>
      <c r="G12" s="591" t="s">
        <v>668</v>
      </c>
      <c r="H12" s="396">
        <v>10</v>
      </c>
      <c r="I12" s="369"/>
      <c r="J12" s="369" t="s">
        <v>1790</v>
      </c>
      <c r="K12" s="410" t="s">
        <v>652</v>
      </c>
      <c r="L12" s="396">
        <v>1</v>
      </c>
      <c r="M12" s="592"/>
      <c r="N12" s="257">
        <f>'[2]1.4 Septic'!$F$16</f>
        <v>298</v>
      </c>
      <c r="O12" s="257">
        <v>6.3689999999999998</v>
      </c>
      <c r="P12" s="590">
        <f t="shared" ref="P12:P15" si="2">H12*2*L12*N12/O12</f>
        <v>935.78269744072861</v>
      </c>
      <c r="Q12" s="258"/>
    </row>
    <row r="13" spans="1:17" ht="18" customHeight="1">
      <c r="A13" s="396">
        <f t="shared" si="0"/>
        <v>9</v>
      </c>
      <c r="B13" s="396">
        <v>390031</v>
      </c>
      <c r="C13" s="369" t="s">
        <v>669</v>
      </c>
      <c r="D13" s="369" t="s">
        <v>643</v>
      </c>
      <c r="E13" s="369" t="s">
        <v>644</v>
      </c>
      <c r="F13" s="369" t="s">
        <v>645</v>
      </c>
      <c r="G13" s="591" t="s">
        <v>670</v>
      </c>
      <c r="H13" s="396">
        <v>15</v>
      </c>
      <c r="I13" s="369"/>
      <c r="J13" s="369" t="s">
        <v>1790</v>
      </c>
      <c r="K13" s="410" t="s">
        <v>652</v>
      </c>
      <c r="L13" s="396">
        <v>1</v>
      </c>
      <c r="M13" s="592"/>
      <c r="N13" s="257">
        <f>'[2]1.4 Septic'!$F$16</f>
        <v>298</v>
      </c>
      <c r="O13" s="257">
        <v>6.3689999999999998</v>
      </c>
      <c r="P13" s="590">
        <f t="shared" si="2"/>
        <v>1403.6740461610927</v>
      </c>
      <c r="Q13" s="258"/>
    </row>
    <row r="14" spans="1:17" ht="18" customHeight="1">
      <c r="A14" s="396">
        <f t="shared" si="0"/>
        <v>10</v>
      </c>
      <c r="B14" s="396">
        <v>400040</v>
      </c>
      <c r="C14" s="369" t="s">
        <v>671</v>
      </c>
      <c r="D14" s="369" t="s">
        <v>672</v>
      </c>
      <c r="E14" s="369" t="s">
        <v>644</v>
      </c>
      <c r="F14" s="369" t="s">
        <v>645</v>
      </c>
      <c r="G14" s="591" t="s">
        <v>673</v>
      </c>
      <c r="H14" s="396">
        <v>8.5</v>
      </c>
      <c r="I14" s="369"/>
      <c r="J14" s="369" t="s">
        <v>1790</v>
      </c>
      <c r="K14" s="410" t="s">
        <v>652</v>
      </c>
      <c r="L14" s="396">
        <v>2</v>
      </c>
      <c r="M14" s="592"/>
      <c r="N14" s="257">
        <f>'[2]1.4 Septic'!$F$16</f>
        <v>298</v>
      </c>
      <c r="O14" s="257">
        <v>6.3689999999999998</v>
      </c>
      <c r="P14" s="590">
        <f t="shared" si="2"/>
        <v>1590.8305856492386</v>
      </c>
      <c r="Q14" s="258"/>
    </row>
    <row r="15" spans="1:17" ht="18" customHeight="1">
      <c r="A15" s="396">
        <f t="shared" si="0"/>
        <v>11</v>
      </c>
      <c r="B15" s="396">
        <v>400042</v>
      </c>
      <c r="C15" s="369" t="s">
        <v>674</v>
      </c>
      <c r="D15" s="369" t="s">
        <v>643</v>
      </c>
      <c r="E15" s="369" t="s">
        <v>644</v>
      </c>
      <c r="F15" s="369" t="s">
        <v>645</v>
      </c>
      <c r="G15" s="591" t="s">
        <v>675</v>
      </c>
      <c r="H15" s="396">
        <v>20</v>
      </c>
      <c r="I15" s="369"/>
      <c r="J15" s="369" t="s">
        <v>1790</v>
      </c>
      <c r="K15" s="410" t="s">
        <v>652</v>
      </c>
      <c r="L15" s="396">
        <v>1</v>
      </c>
      <c r="M15" s="592"/>
      <c r="N15" s="257">
        <f>'[2]1.4 Septic'!$F$16</f>
        <v>298</v>
      </c>
      <c r="O15" s="257">
        <v>6.3689999999999998</v>
      </c>
      <c r="P15" s="590">
        <f t="shared" si="2"/>
        <v>1871.5653948814572</v>
      </c>
      <c r="Q15" s="258"/>
    </row>
    <row r="16" spans="1:17" ht="18" customHeight="1">
      <c r="A16" s="396">
        <f t="shared" si="0"/>
        <v>12</v>
      </c>
      <c r="B16" s="396">
        <v>400044</v>
      </c>
      <c r="C16" s="369" t="s">
        <v>676</v>
      </c>
      <c r="D16" s="369" t="s">
        <v>643</v>
      </c>
      <c r="E16" s="369" t="s">
        <v>644</v>
      </c>
      <c r="F16" s="369" t="s">
        <v>645</v>
      </c>
      <c r="G16" s="591" t="s">
        <v>677</v>
      </c>
      <c r="H16" s="396">
        <v>14</v>
      </c>
      <c r="I16" s="369"/>
      <c r="J16" s="369" t="s">
        <v>658</v>
      </c>
      <c r="K16" s="410" t="s">
        <v>649</v>
      </c>
      <c r="L16" s="396">
        <v>1</v>
      </c>
      <c r="M16" s="592"/>
      <c r="N16" s="257">
        <f>'[2]1.4 Septic'!$F$16</f>
        <v>298</v>
      </c>
      <c r="O16" s="257">
        <f>$G$492</f>
        <v>37.64</v>
      </c>
      <c r="P16" s="258"/>
      <c r="Q16" s="590">
        <f>H16*2*L16*N16/O16</f>
        <v>221.67906482465463</v>
      </c>
    </row>
    <row r="17" spans="1:17" ht="18" customHeight="1">
      <c r="A17" s="396">
        <f t="shared" si="0"/>
        <v>13</v>
      </c>
      <c r="B17" s="396">
        <v>410048</v>
      </c>
      <c r="C17" s="369" t="s">
        <v>678</v>
      </c>
      <c r="D17" s="369" t="s">
        <v>643</v>
      </c>
      <c r="E17" s="369" t="s">
        <v>644</v>
      </c>
      <c r="F17" s="369" t="s">
        <v>645</v>
      </c>
      <c r="G17" s="367" t="s">
        <v>679</v>
      </c>
      <c r="H17" s="396">
        <v>5</v>
      </c>
      <c r="I17" s="369"/>
      <c r="J17" s="369" t="s">
        <v>648</v>
      </c>
      <c r="K17" s="410" t="s">
        <v>655</v>
      </c>
      <c r="L17" s="396">
        <v>1</v>
      </c>
      <c r="M17" s="592"/>
      <c r="N17" s="257">
        <f>'[2]1.4 Septic'!$F$16</f>
        <v>298</v>
      </c>
      <c r="O17" s="257">
        <f>$G$487</f>
        <v>14.763</v>
      </c>
      <c r="P17" s="258"/>
      <c r="Q17" s="590">
        <f>H17*2*L17*N17/O17</f>
        <v>201.85599132967553</v>
      </c>
    </row>
    <row r="18" spans="1:17" ht="18" customHeight="1">
      <c r="A18" s="396">
        <f t="shared" si="0"/>
        <v>14</v>
      </c>
      <c r="B18" s="396">
        <v>410049</v>
      </c>
      <c r="C18" s="369" t="s">
        <v>680</v>
      </c>
      <c r="D18" s="369" t="s">
        <v>643</v>
      </c>
      <c r="E18" s="369" t="s">
        <v>644</v>
      </c>
      <c r="F18" s="369" t="s">
        <v>645</v>
      </c>
      <c r="G18" s="591" t="s">
        <v>681</v>
      </c>
      <c r="H18" s="396">
        <v>15</v>
      </c>
      <c r="I18" s="369"/>
      <c r="J18" s="369" t="s">
        <v>658</v>
      </c>
      <c r="K18" s="410" t="s">
        <v>655</v>
      </c>
      <c r="L18" s="396">
        <v>1</v>
      </c>
      <c r="M18" s="592" t="s">
        <v>664</v>
      </c>
      <c r="N18" s="257">
        <f>'[2]1.4 Septic'!$F$34</f>
        <v>247</v>
      </c>
      <c r="O18" s="257">
        <f>$G$492</f>
        <v>37.64</v>
      </c>
      <c r="P18" s="258"/>
      <c r="Q18" s="590">
        <f>H18*2*L18*N18/O18</f>
        <v>196.86503719447396</v>
      </c>
    </row>
    <row r="19" spans="1:17" ht="18" customHeight="1">
      <c r="A19" s="396">
        <f t="shared" si="0"/>
        <v>15</v>
      </c>
      <c r="B19" s="396">
        <v>410050</v>
      </c>
      <c r="C19" s="369" t="s">
        <v>682</v>
      </c>
      <c r="D19" s="369" t="s">
        <v>672</v>
      </c>
      <c r="E19" s="369" t="s">
        <v>644</v>
      </c>
      <c r="F19" s="369" t="s">
        <v>645</v>
      </c>
      <c r="G19" s="593" t="s">
        <v>683</v>
      </c>
      <c r="H19" s="396">
        <v>25</v>
      </c>
      <c r="I19" s="369"/>
      <c r="J19" s="369" t="s">
        <v>684</v>
      </c>
      <c r="K19" s="410" t="s">
        <v>649</v>
      </c>
      <c r="L19" s="396">
        <v>1</v>
      </c>
      <c r="M19" s="592" t="s">
        <v>664</v>
      </c>
      <c r="N19" s="257">
        <f>'[2]1.4 Septic'!$F$34</f>
        <v>247</v>
      </c>
      <c r="O19" s="257">
        <f>$G$498</f>
        <v>17.77</v>
      </c>
      <c r="P19" s="258"/>
      <c r="Q19" s="590">
        <f>H19*2*L19*N19/O19</f>
        <v>694.99155880697811</v>
      </c>
    </row>
    <row r="20" spans="1:17" ht="18" customHeight="1">
      <c r="A20" s="396">
        <f t="shared" si="0"/>
        <v>16</v>
      </c>
      <c r="B20" s="396">
        <v>410053</v>
      </c>
      <c r="C20" s="369" t="s">
        <v>685</v>
      </c>
      <c r="D20" s="369" t="s">
        <v>643</v>
      </c>
      <c r="E20" s="369" t="s">
        <v>644</v>
      </c>
      <c r="F20" s="369" t="s">
        <v>645</v>
      </c>
      <c r="G20" s="591" t="s">
        <v>686</v>
      </c>
      <c r="H20" s="396">
        <v>10</v>
      </c>
      <c r="I20" s="369"/>
      <c r="J20" s="369" t="s">
        <v>1790</v>
      </c>
      <c r="K20" s="410" t="s">
        <v>652</v>
      </c>
      <c r="L20" s="396">
        <v>2</v>
      </c>
      <c r="M20" s="592"/>
      <c r="N20" s="257">
        <f>'[2]1.4 Septic'!$F$16</f>
        <v>298</v>
      </c>
      <c r="O20" s="257">
        <v>6.3689999999999998</v>
      </c>
      <c r="P20" s="590">
        <f>H20*2*L20*N20/O20</f>
        <v>1871.5653948814572</v>
      </c>
      <c r="Q20" s="258"/>
    </row>
    <row r="21" spans="1:17" ht="18" customHeight="1">
      <c r="A21" s="396">
        <f t="shared" si="0"/>
        <v>17</v>
      </c>
      <c r="B21" s="396">
        <v>410054</v>
      </c>
      <c r="C21" s="369" t="s">
        <v>687</v>
      </c>
      <c r="D21" s="369" t="s">
        <v>672</v>
      </c>
      <c r="E21" s="369" t="s">
        <v>644</v>
      </c>
      <c r="F21" s="369" t="s">
        <v>645</v>
      </c>
      <c r="G21" s="591" t="s">
        <v>688</v>
      </c>
      <c r="H21" s="396">
        <v>46</v>
      </c>
      <c r="I21" s="369"/>
      <c r="J21" s="369" t="s">
        <v>689</v>
      </c>
      <c r="K21" s="410" t="s">
        <v>649</v>
      </c>
      <c r="L21" s="396">
        <v>1</v>
      </c>
      <c r="M21" s="592" t="s">
        <v>664</v>
      </c>
      <c r="N21" s="257">
        <f>'[2]1.4 Septic'!$F$34</f>
        <v>247</v>
      </c>
      <c r="O21" s="257">
        <f>$G$496</f>
        <v>13.795999999999999</v>
      </c>
      <c r="P21" s="258"/>
      <c r="Q21" s="590">
        <f>H21*2*L21*N21/O21</f>
        <v>1647.1440997390548</v>
      </c>
    </row>
    <row r="22" spans="1:17" ht="18" customHeight="1">
      <c r="A22" s="396">
        <f t="shared" si="0"/>
        <v>18</v>
      </c>
      <c r="B22" s="396">
        <v>410057</v>
      </c>
      <c r="C22" s="369" t="s">
        <v>690</v>
      </c>
      <c r="D22" s="369" t="s">
        <v>672</v>
      </c>
      <c r="E22" s="369" t="s">
        <v>644</v>
      </c>
      <c r="F22" s="369" t="s">
        <v>645</v>
      </c>
      <c r="G22" s="591" t="s">
        <v>691</v>
      </c>
      <c r="H22" s="396">
        <v>10</v>
      </c>
      <c r="I22" s="369"/>
      <c r="J22" s="369" t="s">
        <v>684</v>
      </c>
      <c r="K22" s="410" t="s">
        <v>692</v>
      </c>
      <c r="L22" s="396">
        <v>1</v>
      </c>
      <c r="M22" s="592"/>
      <c r="N22" s="257">
        <f>'[2]1.4 Septic'!$F$16</f>
        <v>298</v>
      </c>
      <c r="O22" s="257">
        <f>$G$498</f>
        <v>17.77</v>
      </c>
      <c r="P22" s="258"/>
      <c r="Q22" s="590">
        <f>H22*2*L22*N22/O22</f>
        <v>335.3967360720315</v>
      </c>
    </row>
    <row r="23" spans="1:17" ht="18" customHeight="1">
      <c r="A23" s="396">
        <f t="shared" si="0"/>
        <v>19</v>
      </c>
      <c r="B23" s="396">
        <v>410060</v>
      </c>
      <c r="C23" s="369" t="s">
        <v>693</v>
      </c>
      <c r="D23" s="369" t="s">
        <v>672</v>
      </c>
      <c r="E23" s="369" t="s">
        <v>644</v>
      </c>
      <c r="F23" s="369" t="s">
        <v>645</v>
      </c>
      <c r="G23" s="591" t="s">
        <v>694</v>
      </c>
      <c r="H23" s="396">
        <v>10</v>
      </c>
      <c r="I23" s="369"/>
      <c r="J23" s="369" t="s">
        <v>695</v>
      </c>
      <c r="K23" s="410" t="s">
        <v>655</v>
      </c>
      <c r="L23" s="396">
        <v>1</v>
      </c>
      <c r="M23" s="592"/>
      <c r="N23" s="257">
        <f>'[2]1.4 Septic'!$F$16</f>
        <v>298</v>
      </c>
      <c r="O23" s="257">
        <f>$G$492</f>
        <v>37.64</v>
      </c>
      <c r="P23" s="258"/>
      <c r="Q23" s="590">
        <f>H23*2*L23*N23/O23</f>
        <v>158.3421891604676</v>
      </c>
    </row>
    <row r="24" spans="1:17" ht="18" customHeight="1">
      <c r="A24" s="396">
        <f t="shared" si="0"/>
        <v>20</v>
      </c>
      <c r="B24" s="396">
        <v>420068</v>
      </c>
      <c r="C24" s="369" t="s">
        <v>696</v>
      </c>
      <c r="D24" s="369" t="s">
        <v>643</v>
      </c>
      <c r="E24" s="369" t="s">
        <v>644</v>
      </c>
      <c r="F24" s="369" t="s">
        <v>645</v>
      </c>
      <c r="G24" s="369" t="s">
        <v>697</v>
      </c>
      <c r="H24" s="396">
        <v>7</v>
      </c>
      <c r="I24" s="369"/>
      <c r="J24" s="369" t="s">
        <v>1790</v>
      </c>
      <c r="K24" s="410" t="s">
        <v>652</v>
      </c>
      <c r="L24" s="396">
        <v>1</v>
      </c>
      <c r="M24" s="592"/>
      <c r="N24" s="257">
        <f>'[2]1.4 Septic'!$F$16</f>
        <v>298</v>
      </c>
      <c r="O24" s="257">
        <v>6.3689999999999998</v>
      </c>
      <c r="P24" s="590">
        <f>H24*2*L24*N24/O24</f>
        <v>655.04788820851002</v>
      </c>
      <c r="Q24" s="258"/>
    </row>
    <row r="25" spans="1:17" ht="18" customHeight="1">
      <c r="A25" s="396">
        <f t="shared" si="0"/>
        <v>21</v>
      </c>
      <c r="B25" s="396">
        <v>420070</v>
      </c>
      <c r="C25" s="369" t="s">
        <v>698</v>
      </c>
      <c r="D25" s="369" t="s">
        <v>643</v>
      </c>
      <c r="E25" s="369" t="s">
        <v>644</v>
      </c>
      <c r="F25" s="369" t="s">
        <v>645</v>
      </c>
      <c r="G25" s="591" t="s">
        <v>699</v>
      </c>
      <c r="H25" s="396">
        <v>10</v>
      </c>
      <c r="I25" s="369"/>
      <c r="J25" s="369" t="s">
        <v>684</v>
      </c>
      <c r="K25" s="410" t="s">
        <v>692</v>
      </c>
      <c r="L25" s="396">
        <v>1</v>
      </c>
      <c r="M25" s="592"/>
      <c r="N25" s="257">
        <f>'[2]1.4 Septic'!$F$16</f>
        <v>298</v>
      </c>
      <c r="O25" s="257">
        <f>$G$498</f>
        <v>17.77</v>
      </c>
      <c r="P25" s="258"/>
      <c r="Q25" s="590">
        <f>H25*2*L25*N25/O25</f>
        <v>335.3967360720315</v>
      </c>
    </row>
    <row r="26" spans="1:17" ht="18" customHeight="1">
      <c r="A26" s="396">
        <f t="shared" si="0"/>
        <v>22</v>
      </c>
      <c r="B26" s="396">
        <v>430074</v>
      </c>
      <c r="C26" s="369" t="s">
        <v>700</v>
      </c>
      <c r="D26" s="369" t="s">
        <v>643</v>
      </c>
      <c r="E26" s="369" t="s">
        <v>644</v>
      </c>
      <c r="F26" s="369" t="s">
        <v>645</v>
      </c>
      <c r="G26" s="591" t="s">
        <v>701</v>
      </c>
      <c r="H26" s="396">
        <v>14</v>
      </c>
      <c r="I26" s="369"/>
      <c r="J26" s="369" t="s">
        <v>658</v>
      </c>
      <c r="K26" s="410" t="s">
        <v>655</v>
      </c>
      <c r="L26" s="396">
        <v>1</v>
      </c>
      <c r="M26" s="592"/>
      <c r="N26" s="257">
        <f>'[2]1.4 Septic'!$F$16</f>
        <v>298</v>
      </c>
      <c r="O26" s="257">
        <f>$G$492</f>
        <v>37.64</v>
      </c>
      <c r="P26" s="258"/>
      <c r="Q26" s="590">
        <f>H26*2*L26*N26/O26</f>
        <v>221.67906482465463</v>
      </c>
    </row>
    <row r="27" spans="1:17" ht="18" customHeight="1">
      <c r="A27" s="396">
        <f t="shared" si="0"/>
        <v>23</v>
      </c>
      <c r="B27" s="396">
        <v>430076</v>
      </c>
      <c r="C27" s="369" t="s">
        <v>702</v>
      </c>
      <c r="D27" s="369" t="s">
        <v>672</v>
      </c>
      <c r="E27" s="369" t="s">
        <v>644</v>
      </c>
      <c r="F27" s="369" t="s">
        <v>645</v>
      </c>
      <c r="G27" s="369" t="s">
        <v>703</v>
      </c>
      <c r="H27" s="396">
        <v>4</v>
      </c>
      <c r="I27" s="369"/>
      <c r="J27" s="369" t="s">
        <v>663</v>
      </c>
      <c r="K27" s="410" t="s">
        <v>649</v>
      </c>
      <c r="L27" s="396">
        <v>1</v>
      </c>
      <c r="M27" s="592"/>
      <c r="N27" s="257">
        <f>'[2]1.4 Septic'!$F$16</f>
        <v>298</v>
      </c>
      <c r="O27" s="257">
        <f>$G$495</f>
        <v>12.247999999999999</v>
      </c>
      <c r="P27" s="258"/>
      <c r="Q27" s="590">
        <f>H27*2*L27*N27/O27</f>
        <v>194.64402351404311</v>
      </c>
    </row>
    <row r="28" spans="1:17" ht="18" customHeight="1">
      <c r="A28" s="396">
        <f t="shared" si="0"/>
        <v>24</v>
      </c>
      <c r="B28" s="396">
        <v>440089</v>
      </c>
      <c r="C28" s="369" t="s">
        <v>704</v>
      </c>
      <c r="D28" s="369" t="s">
        <v>643</v>
      </c>
      <c r="E28" s="369" t="s">
        <v>644</v>
      </c>
      <c r="F28" s="369" t="s">
        <v>645</v>
      </c>
      <c r="G28" s="591" t="s">
        <v>705</v>
      </c>
      <c r="H28" s="396">
        <v>9</v>
      </c>
      <c r="I28" s="369"/>
      <c r="J28" s="369" t="s">
        <v>658</v>
      </c>
      <c r="K28" s="410" t="s">
        <v>655</v>
      </c>
      <c r="L28" s="396">
        <v>2</v>
      </c>
      <c r="M28" s="592"/>
      <c r="N28" s="257">
        <f>'[2]1.4 Septic'!$F$16</f>
        <v>298</v>
      </c>
      <c r="O28" s="257">
        <f>$G$492</f>
        <v>37.64</v>
      </c>
      <c r="P28" s="258"/>
      <c r="Q28" s="590">
        <f>H28*2*L28*N28/O28</f>
        <v>285.01594048884164</v>
      </c>
    </row>
    <row r="29" spans="1:17" ht="18" customHeight="1">
      <c r="A29" s="396">
        <f t="shared" si="0"/>
        <v>25</v>
      </c>
      <c r="B29" s="396">
        <v>440090</v>
      </c>
      <c r="C29" s="369" t="s">
        <v>706</v>
      </c>
      <c r="D29" s="369" t="s">
        <v>672</v>
      </c>
      <c r="E29" s="369" t="s">
        <v>644</v>
      </c>
      <c r="F29" s="369" t="s">
        <v>645</v>
      </c>
      <c r="G29" s="591" t="s">
        <v>707</v>
      </c>
      <c r="H29" s="396">
        <v>5</v>
      </c>
      <c r="I29" s="369"/>
      <c r="J29" s="369" t="s">
        <v>684</v>
      </c>
      <c r="K29" s="410" t="s">
        <v>708</v>
      </c>
      <c r="L29" s="396">
        <v>1</v>
      </c>
      <c r="M29" s="592"/>
      <c r="N29" s="257">
        <f>'[2]1.4 Septic'!$F$16</f>
        <v>298</v>
      </c>
      <c r="O29" s="257">
        <f t="shared" ref="O29:O30" si="3">$G$498</f>
        <v>17.77</v>
      </c>
      <c r="P29" s="258"/>
      <c r="Q29" s="590">
        <f t="shared" ref="Q29:Q30" si="4">H29*2*L29*N29/O29</f>
        <v>167.69836803601575</v>
      </c>
    </row>
    <row r="30" spans="1:17" ht="18" customHeight="1">
      <c r="A30" s="396">
        <f t="shared" si="0"/>
        <v>26</v>
      </c>
      <c r="B30" s="396">
        <v>440095</v>
      </c>
      <c r="C30" s="369" t="s">
        <v>709</v>
      </c>
      <c r="D30" s="369"/>
      <c r="E30" s="369" t="s">
        <v>644</v>
      </c>
      <c r="F30" s="369"/>
      <c r="G30" s="591" t="s">
        <v>710</v>
      </c>
      <c r="H30" s="396">
        <v>29</v>
      </c>
      <c r="I30" s="369"/>
      <c r="J30" s="369" t="s">
        <v>684</v>
      </c>
      <c r="K30" s="410" t="s">
        <v>655</v>
      </c>
      <c r="L30" s="396">
        <v>1</v>
      </c>
      <c r="M30" s="592" t="s">
        <v>664</v>
      </c>
      <c r="N30" s="257">
        <f>'[2]1.4 Septic'!$F$34</f>
        <v>247</v>
      </c>
      <c r="O30" s="257">
        <f t="shared" si="3"/>
        <v>17.77</v>
      </c>
      <c r="P30" s="258"/>
      <c r="Q30" s="590">
        <f t="shared" si="4"/>
        <v>806.19020821609456</v>
      </c>
    </row>
    <row r="31" spans="1:17" ht="18" customHeight="1">
      <c r="A31" s="396">
        <f t="shared" si="0"/>
        <v>27</v>
      </c>
      <c r="B31" s="396">
        <v>440108</v>
      </c>
      <c r="C31" s="369" t="s">
        <v>711</v>
      </c>
      <c r="D31" s="369" t="s">
        <v>672</v>
      </c>
      <c r="E31" s="369" t="s">
        <v>644</v>
      </c>
      <c r="F31" s="369" t="s">
        <v>645</v>
      </c>
      <c r="G31" s="594" t="s">
        <v>712</v>
      </c>
      <c r="H31" s="396">
        <v>10</v>
      </c>
      <c r="I31" s="369"/>
      <c r="J31" s="369" t="s">
        <v>1790</v>
      </c>
      <c r="K31" s="410" t="s">
        <v>652</v>
      </c>
      <c r="L31" s="396">
        <v>2</v>
      </c>
      <c r="M31" s="592"/>
      <c r="N31" s="257">
        <f>'[2]1.4 Septic'!$F$16</f>
        <v>298</v>
      </c>
      <c r="O31" s="257">
        <v>6.3689999999999998</v>
      </c>
      <c r="P31" s="590">
        <f>H31*2*L31*N31/O31</f>
        <v>1871.5653948814572</v>
      </c>
      <c r="Q31" s="258"/>
    </row>
    <row r="32" spans="1:17" ht="18" customHeight="1">
      <c r="A32" s="396">
        <f t="shared" si="0"/>
        <v>28</v>
      </c>
      <c r="B32" s="396">
        <v>450111</v>
      </c>
      <c r="C32" s="369" t="s">
        <v>713</v>
      </c>
      <c r="D32" s="369" t="s">
        <v>643</v>
      </c>
      <c r="E32" s="369" t="s">
        <v>644</v>
      </c>
      <c r="F32" s="369" t="s">
        <v>645</v>
      </c>
      <c r="G32" s="591" t="s">
        <v>714</v>
      </c>
      <c r="H32" s="396">
        <v>6</v>
      </c>
      <c r="I32" s="369"/>
      <c r="J32" s="369" t="s">
        <v>715</v>
      </c>
      <c r="K32" s="410" t="s">
        <v>655</v>
      </c>
      <c r="L32" s="396">
        <v>1</v>
      </c>
      <c r="M32" s="592"/>
      <c r="N32" s="257">
        <f>'[2]1.4 Septic'!$F$16</f>
        <v>298</v>
      </c>
      <c r="O32" s="595">
        <f>$G$491</f>
        <v>32.435000000000002</v>
      </c>
      <c r="P32" s="258"/>
      <c r="Q32" s="590">
        <f t="shared" ref="Q32:Q35" si="5">H32*2*L32*N32/O32</f>
        <v>110.25127177431786</v>
      </c>
    </row>
    <row r="33" spans="1:17" ht="18" customHeight="1">
      <c r="A33" s="396">
        <f t="shared" si="0"/>
        <v>29</v>
      </c>
      <c r="B33" s="396">
        <v>450114</v>
      </c>
      <c r="C33" s="369" t="s">
        <v>716</v>
      </c>
      <c r="D33" s="369" t="s">
        <v>672</v>
      </c>
      <c r="E33" s="369" t="s">
        <v>644</v>
      </c>
      <c r="F33" s="369" t="s">
        <v>645</v>
      </c>
      <c r="G33" s="591" t="s">
        <v>717</v>
      </c>
      <c r="H33" s="396">
        <v>10</v>
      </c>
      <c r="I33" s="369"/>
      <c r="J33" s="369" t="s">
        <v>718</v>
      </c>
      <c r="K33" s="410" t="s">
        <v>655</v>
      </c>
      <c r="L33" s="396">
        <v>1</v>
      </c>
      <c r="M33" s="592"/>
      <c r="N33" s="257">
        <f>'[2]1.4 Septic'!$F$16</f>
        <v>298</v>
      </c>
      <c r="O33" s="595">
        <f>$G$491</f>
        <v>32.435000000000002</v>
      </c>
      <c r="P33" s="258"/>
      <c r="Q33" s="590">
        <f t="shared" si="5"/>
        <v>183.75211962386311</v>
      </c>
    </row>
    <row r="34" spans="1:17" ht="18" customHeight="1">
      <c r="A34" s="396">
        <f t="shared" si="0"/>
        <v>30</v>
      </c>
      <c r="B34" s="396">
        <v>450116</v>
      </c>
      <c r="C34" s="369" t="s">
        <v>719</v>
      </c>
      <c r="D34" s="369" t="s">
        <v>643</v>
      </c>
      <c r="E34" s="369" t="s">
        <v>644</v>
      </c>
      <c r="F34" s="369" t="s">
        <v>645</v>
      </c>
      <c r="G34" s="369" t="s">
        <v>720</v>
      </c>
      <c r="H34" s="396">
        <v>6</v>
      </c>
      <c r="I34" s="369"/>
      <c r="J34" s="369" t="s">
        <v>1790</v>
      </c>
      <c r="K34" s="410" t="s">
        <v>652</v>
      </c>
      <c r="L34" s="396">
        <v>2</v>
      </c>
      <c r="M34" s="592"/>
      <c r="N34" s="257">
        <f>'[2]1.4 Septic'!$F$16</f>
        <v>298</v>
      </c>
      <c r="O34" s="257">
        <v>6.3689999999999998</v>
      </c>
      <c r="P34" s="590">
        <f>H34*2*L34*N34/O34</f>
        <v>1122.9392369288744</v>
      </c>
      <c r="Q34" s="258"/>
    </row>
    <row r="35" spans="1:17" ht="18" customHeight="1">
      <c r="A35" s="396">
        <f t="shared" si="0"/>
        <v>31</v>
      </c>
      <c r="B35" s="396">
        <v>450119</v>
      </c>
      <c r="C35" s="369" t="s">
        <v>721</v>
      </c>
      <c r="D35" s="369" t="s">
        <v>643</v>
      </c>
      <c r="E35" s="369" t="s">
        <v>644</v>
      </c>
      <c r="F35" s="369" t="s">
        <v>645</v>
      </c>
      <c r="G35" s="369" t="s">
        <v>722</v>
      </c>
      <c r="H35" s="396">
        <v>10</v>
      </c>
      <c r="I35" s="369"/>
      <c r="J35" s="369" t="s">
        <v>658</v>
      </c>
      <c r="K35" s="410" t="s">
        <v>655</v>
      </c>
      <c r="L35" s="396">
        <v>1</v>
      </c>
      <c r="M35" s="592"/>
      <c r="N35" s="257">
        <f>'[2]1.4 Septic'!$F$16</f>
        <v>298</v>
      </c>
      <c r="O35" s="257">
        <f>$G$492</f>
        <v>37.64</v>
      </c>
      <c r="P35" s="258"/>
      <c r="Q35" s="590">
        <f t="shared" si="5"/>
        <v>158.3421891604676</v>
      </c>
    </row>
    <row r="36" spans="1:17" ht="18" customHeight="1">
      <c r="A36" s="396">
        <f t="shared" si="0"/>
        <v>32</v>
      </c>
      <c r="B36" s="396">
        <v>450121</v>
      </c>
      <c r="C36" s="369" t="s">
        <v>723</v>
      </c>
      <c r="D36" s="369" t="s">
        <v>643</v>
      </c>
      <c r="E36" s="369" t="s">
        <v>644</v>
      </c>
      <c r="F36" s="369" t="s">
        <v>645</v>
      </c>
      <c r="G36" s="369" t="s">
        <v>724</v>
      </c>
      <c r="H36" s="396">
        <v>12</v>
      </c>
      <c r="I36" s="369"/>
      <c r="J36" s="369" t="s">
        <v>1790</v>
      </c>
      <c r="K36" s="410" t="s">
        <v>652</v>
      </c>
      <c r="L36" s="396">
        <v>2</v>
      </c>
      <c r="M36" s="592"/>
      <c r="N36" s="257">
        <f>'[2]1.4 Septic'!$F$16</f>
        <v>298</v>
      </c>
      <c r="O36" s="257">
        <v>6.3689999999999998</v>
      </c>
      <c r="P36" s="590">
        <f>H36*2*L36*N36/O36</f>
        <v>2245.8784738577488</v>
      </c>
      <c r="Q36" s="258"/>
    </row>
    <row r="37" spans="1:17" ht="18" customHeight="1">
      <c r="A37" s="396">
        <f t="shared" si="0"/>
        <v>33</v>
      </c>
      <c r="B37" s="396">
        <v>450122</v>
      </c>
      <c r="C37" s="369" t="s">
        <v>725</v>
      </c>
      <c r="D37" s="369" t="s">
        <v>643</v>
      </c>
      <c r="E37" s="369" t="s">
        <v>644</v>
      </c>
      <c r="F37" s="369" t="s">
        <v>645</v>
      </c>
      <c r="G37" s="367" t="s">
        <v>726</v>
      </c>
      <c r="H37" s="396">
        <v>7</v>
      </c>
      <c r="I37" s="369"/>
      <c r="J37" s="369" t="s">
        <v>648</v>
      </c>
      <c r="K37" s="410" t="s">
        <v>649</v>
      </c>
      <c r="L37" s="396">
        <v>1</v>
      </c>
      <c r="M37" s="592"/>
      <c r="N37" s="257">
        <f>'[2]1.4 Septic'!$F$16</f>
        <v>298</v>
      </c>
      <c r="O37" s="257">
        <f t="shared" ref="O37:O38" si="6">$G$487</f>
        <v>14.763</v>
      </c>
      <c r="P37" s="258"/>
      <c r="Q37" s="590">
        <f t="shared" ref="Q37:Q38" si="7">H37*2*L37*N37/O37</f>
        <v>282.59838786154575</v>
      </c>
    </row>
    <row r="38" spans="1:17" ht="18" customHeight="1">
      <c r="A38" s="396">
        <f t="shared" si="0"/>
        <v>34</v>
      </c>
      <c r="B38" s="396">
        <v>460138</v>
      </c>
      <c r="C38" s="369" t="s">
        <v>727</v>
      </c>
      <c r="D38" s="369" t="s">
        <v>672</v>
      </c>
      <c r="E38" s="369" t="s">
        <v>644</v>
      </c>
      <c r="F38" s="369" t="s">
        <v>645</v>
      </c>
      <c r="G38" s="369" t="s">
        <v>728</v>
      </c>
      <c r="H38" s="396">
        <v>14</v>
      </c>
      <c r="I38" s="369"/>
      <c r="J38" s="369" t="s">
        <v>648</v>
      </c>
      <c r="K38" s="410" t="s">
        <v>655</v>
      </c>
      <c r="L38" s="396">
        <v>1</v>
      </c>
      <c r="M38" s="592"/>
      <c r="N38" s="257">
        <f>'[2]1.4 Septic'!$F$16</f>
        <v>298</v>
      </c>
      <c r="O38" s="257">
        <f t="shared" si="6"/>
        <v>14.763</v>
      </c>
      <c r="P38" s="258"/>
      <c r="Q38" s="590">
        <f t="shared" si="7"/>
        <v>565.19677572309149</v>
      </c>
    </row>
    <row r="39" spans="1:17" ht="18" customHeight="1">
      <c r="A39" s="396">
        <f t="shared" si="0"/>
        <v>35</v>
      </c>
      <c r="B39" s="396">
        <v>460139</v>
      </c>
      <c r="C39" s="369" t="s">
        <v>729</v>
      </c>
      <c r="D39" s="369" t="s">
        <v>672</v>
      </c>
      <c r="E39" s="369" t="s">
        <v>644</v>
      </c>
      <c r="F39" s="369" t="s">
        <v>645</v>
      </c>
      <c r="G39" s="369" t="s">
        <v>730</v>
      </c>
      <c r="H39" s="396">
        <v>5</v>
      </c>
      <c r="I39" s="369"/>
      <c r="J39" s="369" t="s">
        <v>1790</v>
      </c>
      <c r="K39" s="410" t="s">
        <v>652</v>
      </c>
      <c r="L39" s="396">
        <v>2</v>
      </c>
      <c r="M39" s="592"/>
      <c r="N39" s="257">
        <f>'[2]1.4 Septic'!$F$16</f>
        <v>298</v>
      </c>
      <c r="O39" s="257">
        <v>6.3689999999999998</v>
      </c>
      <c r="P39" s="590">
        <f>H39*2*L39*N39/O39</f>
        <v>935.78269744072861</v>
      </c>
      <c r="Q39" s="258"/>
    </row>
    <row r="40" spans="1:17" ht="18" customHeight="1">
      <c r="A40" s="396">
        <f t="shared" si="0"/>
        <v>36</v>
      </c>
      <c r="B40" s="396">
        <v>460140</v>
      </c>
      <c r="C40" s="369" t="s">
        <v>731</v>
      </c>
      <c r="D40" s="369" t="s">
        <v>643</v>
      </c>
      <c r="E40" s="369" t="s">
        <v>644</v>
      </c>
      <c r="F40" s="369" t="s">
        <v>645</v>
      </c>
      <c r="G40" s="367" t="s">
        <v>732</v>
      </c>
      <c r="H40" s="396">
        <v>7</v>
      </c>
      <c r="I40" s="369"/>
      <c r="J40" s="369" t="s">
        <v>733</v>
      </c>
      <c r="K40" s="410" t="s">
        <v>655</v>
      </c>
      <c r="L40" s="396">
        <v>1</v>
      </c>
      <c r="M40" s="592"/>
      <c r="N40" s="257">
        <f>'[2]1.4 Septic'!$F$16</f>
        <v>298</v>
      </c>
      <c r="O40" s="595">
        <f>$G$491</f>
        <v>32.435000000000002</v>
      </c>
      <c r="P40" s="258"/>
      <c r="Q40" s="590">
        <f t="shared" ref="Q40" si="8">H40*2*L40*N40/O40</f>
        <v>128.62648373670416</v>
      </c>
    </row>
    <row r="41" spans="1:17" ht="18" customHeight="1">
      <c r="A41" s="396">
        <f t="shared" si="0"/>
        <v>37</v>
      </c>
      <c r="B41" s="396">
        <v>460142</v>
      </c>
      <c r="C41" s="369" t="s">
        <v>734</v>
      </c>
      <c r="D41" s="369" t="s">
        <v>643</v>
      </c>
      <c r="E41" s="369" t="s">
        <v>644</v>
      </c>
      <c r="F41" s="369" t="s">
        <v>645</v>
      </c>
      <c r="G41" s="369" t="s">
        <v>735</v>
      </c>
      <c r="H41" s="396">
        <v>5</v>
      </c>
      <c r="I41" s="369"/>
      <c r="J41" s="369" t="s">
        <v>736</v>
      </c>
      <c r="K41" s="410" t="s">
        <v>655</v>
      </c>
      <c r="L41" s="396">
        <v>1</v>
      </c>
      <c r="M41" s="592"/>
      <c r="N41" s="257">
        <f>'[2]1.4 Septic'!$F$16</f>
        <v>298</v>
      </c>
      <c r="O41" s="257">
        <f>$G$497</f>
        <v>15.238</v>
      </c>
      <c r="P41" s="258"/>
      <c r="Q41" s="590">
        <f>H41*2*L41*N41/O41</f>
        <v>195.5637222732642</v>
      </c>
    </row>
    <row r="42" spans="1:17" ht="18" customHeight="1">
      <c r="A42" s="396">
        <f t="shared" si="0"/>
        <v>38</v>
      </c>
      <c r="B42" s="396">
        <v>460149</v>
      </c>
      <c r="C42" s="369" t="s">
        <v>737</v>
      </c>
      <c r="D42" s="369" t="s">
        <v>643</v>
      </c>
      <c r="E42" s="369" t="s">
        <v>644</v>
      </c>
      <c r="F42" s="369" t="s">
        <v>645</v>
      </c>
      <c r="G42" s="369" t="s">
        <v>738</v>
      </c>
      <c r="H42" s="396">
        <v>9</v>
      </c>
      <c r="I42" s="369"/>
      <c r="J42" s="369" t="s">
        <v>658</v>
      </c>
      <c r="K42" s="410" t="s">
        <v>655</v>
      </c>
      <c r="L42" s="396">
        <v>1</v>
      </c>
      <c r="M42" s="592"/>
      <c r="N42" s="257">
        <f>'[2]1.4 Septic'!$F$16</f>
        <v>298</v>
      </c>
      <c r="O42" s="257">
        <f>$G$492</f>
        <v>37.64</v>
      </c>
      <c r="P42" s="258"/>
      <c r="Q42" s="590">
        <f>H42*2*L42*N42/O42</f>
        <v>142.50797024442082</v>
      </c>
    </row>
    <row r="43" spans="1:17" ht="18" customHeight="1">
      <c r="A43" s="396">
        <f t="shared" si="0"/>
        <v>39</v>
      </c>
      <c r="B43" s="396">
        <v>460154</v>
      </c>
      <c r="C43" s="369" t="s">
        <v>739</v>
      </c>
      <c r="D43" s="369" t="s">
        <v>643</v>
      </c>
      <c r="E43" s="369" t="s">
        <v>644</v>
      </c>
      <c r="F43" s="369" t="s">
        <v>645</v>
      </c>
      <c r="G43" s="369" t="s">
        <v>740</v>
      </c>
      <c r="H43" s="396">
        <v>40</v>
      </c>
      <c r="I43" s="369"/>
      <c r="J43" s="369" t="s">
        <v>689</v>
      </c>
      <c r="K43" s="228" t="s">
        <v>649</v>
      </c>
      <c r="L43" s="396">
        <v>2</v>
      </c>
      <c r="M43" s="592" t="s">
        <v>664</v>
      </c>
      <c r="N43" s="257">
        <f>'[2]1.4 Septic'!$F$34</f>
        <v>247</v>
      </c>
      <c r="O43" s="257">
        <f>$G$496</f>
        <v>13.795999999999999</v>
      </c>
      <c r="P43" s="258"/>
      <c r="Q43" s="590">
        <f>H43*2*L43*N43/O43</f>
        <v>2864.598434328791</v>
      </c>
    </row>
    <row r="44" spans="1:17" ht="18" customHeight="1">
      <c r="A44" s="396">
        <f t="shared" si="0"/>
        <v>40</v>
      </c>
      <c r="B44" s="396">
        <v>460155</v>
      </c>
      <c r="C44" s="369" t="s">
        <v>741</v>
      </c>
      <c r="D44" s="369" t="s">
        <v>672</v>
      </c>
      <c r="E44" s="369" t="s">
        <v>644</v>
      </c>
      <c r="F44" s="369" t="s">
        <v>645</v>
      </c>
      <c r="G44" s="369" t="s">
        <v>722</v>
      </c>
      <c r="H44" s="396">
        <v>9.8000000000000007</v>
      </c>
      <c r="I44" s="369"/>
      <c r="J44" s="369" t="s">
        <v>658</v>
      </c>
      <c r="K44" s="410" t="s">
        <v>655</v>
      </c>
      <c r="L44" s="396">
        <v>1</v>
      </c>
      <c r="M44" s="592"/>
      <c r="N44" s="257">
        <f>'[2]1.4 Septic'!$F$16</f>
        <v>298</v>
      </c>
      <c r="O44" s="257">
        <f t="shared" ref="O44:O46" si="9">$G$492</f>
        <v>37.64</v>
      </c>
      <c r="P44" s="258"/>
      <c r="Q44" s="590">
        <f t="shared" ref="Q44:Q46" si="10">H44*2*L44*N44/O44</f>
        <v>155.17534537725822</v>
      </c>
    </row>
    <row r="45" spans="1:17" ht="18" customHeight="1">
      <c r="A45" s="396">
        <f t="shared" si="0"/>
        <v>41</v>
      </c>
      <c r="B45" s="396">
        <v>460156</v>
      </c>
      <c r="C45" s="369" t="s">
        <v>742</v>
      </c>
      <c r="D45" s="369" t="s">
        <v>672</v>
      </c>
      <c r="E45" s="369" t="s">
        <v>644</v>
      </c>
      <c r="F45" s="369" t="s">
        <v>645</v>
      </c>
      <c r="G45" s="369" t="s">
        <v>743</v>
      </c>
      <c r="H45" s="396">
        <v>10</v>
      </c>
      <c r="I45" s="369"/>
      <c r="J45" s="369" t="s">
        <v>744</v>
      </c>
      <c r="K45" s="410" t="s">
        <v>655</v>
      </c>
      <c r="L45" s="396">
        <v>2</v>
      </c>
      <c r="M45" s="592"/>
      <c r="N45" s="257">
        <f>'[2]1.4 Septic'!$F$16</f>
        <v>298</v>
      </c>
      <c r="O45" s="257">
        <f t="shared" si="9"/>
        <v>37.64</v>
      </c>
      <c r="P45" s="258"/>
      <c r="Q45" s="590">
        <f t="shared" si="10"/>
        <v>316.6843783209352</v>
      </c>
    </row>
    <row r="46" spans="1:17" ht="18" customHeight="1">
      <c r="A46" s="396">
        <f t="shared" si="0"/>
        <v>42</v>
      </c>
      <c r="B46" s="396">
        <v>460157</v>
      </c>
      <c r="C46" s="369" t="s">
        <v>745</v>
      </c>
      <c r="D46" s="369" t="s">
        <v>643</v>
      </c>
      <c r="E46" s="369" t="s">
        <v>644</v>
      </c>
      <c r="F46" s="369" t="s">
        <v>645</v>
      </c>
      <c r="G46" s="367" t="s">
        <v>746</v>
      </c>
      <c r="H46" s="396">
        <v>7</v>
      </c>
      <c r="I46" s="369"/>
      <c r="J46" s="369" t="s">
        <v>658</v>
      </c>
      <c r="K46" s="410" t="s">
        <v>649</v>
      </c>
      <c r="L46" s="396">
        <v>2</v>
      </c>
      <c r="M46" s="592"/>
      <c r="N46" s="257">
        <f>'[2]1.4 Septic'!$F$16</f>
        <v>298</v>
      </c>
      <c r="O46" s="257">
        <f t="shared" si="9"/>
        <v>37.64</v>
      </c>
      <c r="P46" s="258"/>
      <c r="Q46" s="590">
        <f t="shared" si="10"/>
        <v>221.67906482465463</v>
      </c>
    </row>
    <row r="47" spans="1:17" ht="18" customHeight="1">
      <c r="A47" s="396">
        <f t="shared" si="0"/>
        <v>43</v>
      </c>
      <c r="B47" s="396">
        <v>460162</v>
      </c>
      <c r="C47" s="369" t="s">
        <v>747</v>
      </c>
      <c r="D47" s="369" t="s">
        <v>643</v>
      </c>
      <c r="E47" s="369" t="s">
        <v>644</v>
      </c>
      <c r="F47" s="369" t="s">
        <v>645</v>
      </c>
      <c r="G47" s="367" t="s">
        <v>732</v>
      </c>
      <c r="H47" s="396">
        <v>7</v>
      </c>
      <c r="I47" s="369"/>
      <c r="J47" s="369" t="s">
        <v>1790</v>
      </c>
      <c r="K47" s="228" t="s">
        <v>652</v>
      </c>
      <c r="L47" s="396">
        <v>2</v>
      </c>
      <c r="M47" s="592"/>
      <c r="N47" s="257">
        <f>'[2]1.4 Septic'!$F$16</f>
        <v>298</v>
      </c>
      <c r="O47" s="257">
        <v>6.3689999999999998</v>
      </c>
      <c r="P47" s="590">
        <f>H47*2*L47*N47/O47</f>
        <v>1310.09577641702</v>
      </c>
      <c r="Q47" s="590"/>
    </row>
    <row r="48" spans="1:17" ht="18" customHeight="1">
      <c r="A48" s="396">
        <f t="shared" si="0"/>
        <v>44</v>
      </c>
      <c r="B48" s="396">
        <v>470169</v>
      </c>
      <c r="C48" s="369" t="s">
        <v>749</v>
      </c>
      <c r="D48" s="369" t="s">
        <v>643</v>
      </c>
      <c r="E48" s="369" t="s">
        <v>644</v>
      </c>
      <c r="F48" s="369" t="s">
        <v>645</v>
      </c>
      <c r="G48" s="369" t="s">
        <v>750</v>
      </c>
      <c r="H48" s="396">
        <v>7</v>
      </c>
      <c r="I48" s="369"/>
      <c r="J48" s="369" t="s">
        <v>1790</v>
      </c>
      <c r="K48" s="228" t="s">
        <v>652</v>
      </c>
      <c r="L48" s="396">
        <v>1</v>
      </c>
      <c r="M48" s="592"/>
      <c r="N48" s="257">
        <f>'[2]1.4 Septic'!$F$16</f>
        <v>298</v>
      </c>
      <c r="O48" s="257">
        <v>6.3689999999999998</v>
      </c>
      <c r="P48" s="590">
        <f>H48*2*L48*N48/O48</f>
        <v>655.04788820851002</v>
      </c>
      <c r="Q48" s="258"/>
    </row>
    <row r="49" spans="1:17" ht="18.600000000000001" customHeight="1">
      <c r="A49" s="396">
        <f t="shared" si="0"/>
        <v>45</v>
      </c>
      <c r="B49" s="396">
        <v>480202</v>
      </c>
      <c r="C49" s="369" t="s">
        <v>751</v>
      </c>
      <c r="D49" s="369" t="s">
        <v>672</v>
      </c>
      <c r="E49" s="369" t="s">
        <v>644</v>
      </c>
      <c r="F49" s="369" t="s">
        <v>645</v>
      </c>
      <c r="G49" s="369" t="s">
        <v>752</v>
      </c>
      <c r="H49" s="396">
        <v>7</v>
      </c>
      <c r="I49" s="369"/>
      <c r="J49" s="369" t="s">
        <v>658</v>
      </c>
      <c r="K49" s="410" t="s">
        <v>655</v>
      </c>
      <c r="L49" s="396">
        <v>1</v>
      </c>
      <c r="M49" s="592"/>
      <c r="N49" s="257">
        <f>'[2]1.4 Septic'!$F$16</f>
        <v>298</v>
      </c>
      <c r="O49" s="257">
        <f>$G$492</f>
        <v>37.64</v>
      </c>
      <c r="P49" s="258"/>
      <c r="Q49" s="590">
        <f>H49*2*L49*N49/O49</f>
        <v>110.83953241232732</v>
      </c>
    </row>
    <row r="50" spans="1:17" ht="18" customHeight="1">
      <c r="A50" s="396">
        <f t="shared" si="0"/>
        <v>46</v>
      </c>
      <c r="B50" s="396">
        <v>480204</v>
      </c>
      <c r="C50" s="369" t="s">
        <v>753</v>
      </c>
      <c r="D50" s="369" t="s">
        <v>643</v>
      </c>
      <c r="E50" s="369" t="s">
        <v>644</v>
      </c>
      <c r="F50" s="369" t="s">
        <v>645</v>
      </c>
      <c r="G50" s="369" t="s">
        <v>754</v>
      </c>
      <c r="H50" s="396">
        <v>30</v>
      </c>
      <c r="I50" s="369"/>
      <c r="J50" s="369" t="s">
        <v>1790</v>
      </c>
      <c r="K50" s="410" t="s">
        <v>652</v>
      </c>
      <c r="L50" s="396">
        <v>1</v>
      </c>
      <c r="M50" s="592"/>
      <c r="N50" s="257">
        <f>'[2]1.4 Septic'!$F$16</f>
        <v>298</v>
      </c>
      <c r="O50" s="257">
        <v>6.3689999999999998</v>
      </c>
      <c r="P50" s="590">
        <f>H50*2*L50*N50/O50</f>
        <v>2807.3480923221855</v>
      </c>
      <c r="Q50" s="258"/>
    </row>
    <row r="51" spans="1:17" ht="18" customHeight="1">
      <c r="A51" s="396">
        <f t="shared" si="0"/>
        <v>47</v>
      </c>
      <c r="B51" s="396">
        <v>480209</v>
      </c>
      <c r="C51" s="369" t="s">
        <v>755</v>
      </c>
      <c r="D51" s="369" t="s">
        <v>643</v>
      </c>
      <c r="E51" s="369" t="s">
        <v>644</v>
      </c>
      <c r="F51" s="369" t="s">
        <v>645</v>
      </c>
      <c r="G51" s="369" t="s">
        <v>756</v>
      </c>
      <c r="H51" s="396">
        <v>13</v>
      </c>
      <c r="I51" s="369"/>
      <c r="J51" s="369" t="s">
        <v>718</v>
      </c>
      <c r="K51" s="410" t="s">
        <v>649</v>
      </c>
      <c r="L51" s="396">
        <v>1</v>
      </c>
      <c r="M51" s="592" t="s">
        <v>664</v>
      </c>
      <c r="N51" s="257">
        <f>'[2]1.4 Septic'!$F$34</f>
        <v>247</v>
      </c>
      <c r="O51" s="595">
        <f>$G$491</f>
        <v>32.435000000000002</v>
      </c>
      <c r="P51" s="258"/>
      <c r="Q51" s="590">
        <f>H51*2*L51*N51/O51</f>
        <v>197.99599198396791</v>
      </c>
    </row>
    <row r="52" spans="1:17" ht="18" customHeight="1">
      <c r="A52" s="396">
        <f t="shared" si="0"/>
        <v>48</v>
      </c>
      <c r="B52" s="396">
        <v>490210</v>
      </c>
      <c r="C52" s="369" t="s">
        <v>757</v>
      </c>
      <c r="D52" s="369" t="s">
        <v>643</v>
      </c>
      <c r="E52" s="369" t="s">
        <v>644</v>
      </c>
      <c r="F52" s="369" t="s">
        <v>645</v>
      </c>
      <c r="G52" s="369" t="s">
        <v>758</v>
      </c>
      <c r="H52" s="396">
        <v>8</v>
      </c>
      <c r="I52" s="369"/>
      <c r="J52" s="369" t="s">
        <v>1790</v>
      </c>
      <c r="K52" s="410" t="s">
        <v>652</v>
      </c>
      <c r="L52" s="396">
        <v>1</v>
      </c>
      <c r="M52" s="592"/>
      <c r="N52" s="257">
        <f>'[2]1.4 Septic'!$F$16</f>
        <v>298</v>
      </c>
      <c r="O52" s="257">
        <v>6.3689999999999998</v>
      </c>
      <c r="P52" s="590">
        <f t="shared" ref="P52:P53" si="11">H52*2*L52*N52/O52</f>
        <v>748.62615795258284</v>
      </c>
      <c r="Q52" s="258"/>
    </row>
    <row r="53" spans="1:17" ht="18" customHeight="1">
      <c r="A53" s="396">
        <f t="shared" si="0"/>
        <v>49</v>
      </c>
      <c r="B53" s="396">
        <v>490228</v>
      </c>
      <c r="C53" s="369" t="s">
        <v>759</v>
      </c>
      <c r="D53" s="369" t="s">
        <v>672</v>
      </c>
      <c r="E53" s="369" t="s">
        <v>644</v>
      </c>
      <c r="F53" s="369" t="s">
        <v>645</v>
      </c>
      <c r="G53" s="369" t="s">
        <v>760</v>
      </c>
      <c r="H53" s="396">
        <v>7</v>
      </c>
      <c r="I53" s="369"/>
      <c r="J53" s="369" t="s">
        <v>1790</v>
      </c>
      <c r="K53" s="410" t="s">
        <v>652</v>
      </c>
      <c r="L53" s="396">
        <v>2</v>
      </c>
      <c r="M53" s="592"/>
      <c r="N53" s="257">
        <f>'[2]1.4 Septic'!$F$16</f>
        <v>298</v>
      </c>
      <c r="O53" s="257">
        <v>6.3689999999999998</v>
      </c>
      <c r="P53" s="590">
        <f t="shared" si="11"/>
        <v>1310.09577641702</v>
      </c>
      <c r="Q53" s="258"/>
    </row>
    <row r="54" spans="1:17" ht="18" customHeight="1">
      <c r="A54" s="396">
        <f t="shared" si="0"/>
        <v>50</v>
      </c>
      <c r="B54" s="396">
        <v>490243</v>
      </c>
      <c r="C54" s="369" t="s">
        <v>761</v>
      </c>
      <c r="D54" s="369" t="s">
        <v>643</v>
      </c>
      <c r="E54" s="369" t="s">
        <v>644</v>
      </c>
      <c r="F54" s="369" t="s">
        <v>645</v>
      </c>
      <c r="G54" s="369" t="s">
        <v>762</v>
      </c>
      <c r="H54" s="396">
        <v>4</v>
      </c>
      <c r="I54" s="369"/>
      <c r="J54" s="369" t="s">
        <v>718</v>
      </c>
      <c r="K54" s="410" t="s">
        <v>655</v>
      </c>
      <c r="L54" s="396">
        <v>1</v>
      </c>
      <c r="M54" s="592"/>
      <c r="N54" s="257">
        <f>'[2]1.4 Septic'!$F$16</f>
        <v>298</v>
      </c>
      <c r="O54" s="595">
        <f>$G$491</f>
        <v>32.435000000000002</v>
      </c>
      <c r="P54" s="258"/>
      <c r="Q54" s="590">
        <f t="shared" ref="Q54:Q55" si="12">H54*2*L54*N54/O54</f>
        <v>73.500847849545238</v>
      </c>
    </row>
    <row r="55" spans="1:17" ht="18" customHeight="1">
      <c r="A55" s="396">
        <f t="shared" si="0"/>
        <v>51</v>
      </c>
      <c r="B55" s="396">
        <v>490245</v>
      </c>
      <c r="C55" s="369" t="s">
        <v>763</v>
      </c>
      <c r="D55" s="369" t="s">
        <v>672</v>
      </c>
      <c r="E55" s="369" t="s">
        <v>644</v>
      </c>
      <c r="F55" s="369" t="s">
        <v>645</v>
      </c>
      <c r="G55" s="369" t="s">
        <v>717</v>
      </c>
      <c r="H55" s="396">
        <v>3</v>
      </c>
      <c r="I55" s="369"/>
      <c r="J55" s="369" t="s">
        <v>658</v>
      </c>
      <c r="K55" s="410" t="s">
        <v>655</v>
      </c>
      <c r="L55" s="396">
        <v>1</v>
      </c>
      <c r="M55" s="592"/>
      <c r="N55" s="257">
        <f>'[2]1.4 Septic'!$F$16</f>
        <v>298</v>
      </c>
      <c r="O55" s="257">
        <f>$G$492</f>
        <v>37.64</v>
      </c>
      <c r="P55" s="258"/>
      <c r="Q55" s="590">
        <f t="shared" si="12"/>
        <v>47.502656748140275</v>
      </c>
    </row>
    <row r="56" spans="1:17" ht="18" customHeight="1">
      <c r="A56" s="396">
        <f t="shared" si="0"/>
        <v>52</v>
      </c>
      <c r="B56" s="396">
        <v>490247</v>
      </c>
      <c r="C56" s="369" t="s">
        <v>764</v>
      </c>
      <c r="D56" s="369" t="s">
        <v>643</v>
      </c>
      <c r="E56" s="369" t="s">
        <v>644</v>
      </c>
      <c r="F56" s="369" t="s">
        <v>645</v>
      </c>
      <c r="G56" s="369" t="s">
        <v>765</v>
      </c>
      <c r="H56" s="396">
        <v>5</v>
      </c>
      <c r="I56" s="369"/>
      <c r="J56" s="369" t="s">
        <v>648</v>
      </c>
      <c r="K56" s="410" t="s">
        <v>692</v>
      </c>
      <c r="L56" s="396">
        <v>1</v>
      </c>
      <c r="M56" s="592"/>
      <c r="N56" s="257">
        <f>'[2]1.4 Septic'!$F$16</f>
        <v>298</v>
      </c>
      <c r="O56" s="257">
        <f>$G$487</f>
        <v>14.763</v>
      </c>
      <c r="P56" s="258"/>
      <c r="Q56" s="590">
        <f>H56*2*L56*N56/O56</f>
        <v>201.85599132967553</v>
      </c>
    </row>
    <row r="57" spans="1:17" ht="18" customHeight="1">
      <c r="A57" s="396">
        <f t="shared" si="0"/>
        <v>53</v>
      </c>
      <c r="B57" s="396">
        <v>490248</v>
      </c>
      <c r="C57" s="369" t="s">
        <v>766</v>
      </c>
      <c r="D57" s="369" t="s">
        <v>643</v>
      </c>
      <c r="E57" s="369" t="s">
        <v>644</v>
      </c>
      <c r="F57" s="369" t="s">
        <v>645</v>
      </c>
      <c r="G57" s="369" t="s">
        <v>767</v>
      </c>
      <c r="H57" s="396">
        <v>18</v>
      </c>
      <c r="I57" s="369"/>
      <c r="J57" s="369" t="s">
        <v>658</v>
      </c>
      <c r="K57" s="410" t="s">
        <v>655</v>
      </c>
      <c r="L57" s="396">
        <v>1</v>
      </c>
      <c r="M57" s="592"/>
      <c r="N57" s="257">
        <f>'[2]1.4 Septic'!$F$16</f>
        <v>298</v>
      </c>
      <c r="O57" s="257">
        <f t="shared" ref="O57:O58" si="13">$G$492</f>
        <v>37.64</v>
      </c>
      <c r="P57" s="258"/>
      <c r="Q57" s="590">
        <f t="shared" ref="Q57:Q58" si="14">H57*2*L57*N57/O57</f>
        <v>285.01594048884164</v>
      </c>
    </row>
    <row r="58" spans="1:17" ht="18" customHeight="1">
      <c r="A58" s="396">
        <f t="shared" si="0"/>
        <v>54</v>
      </c>
      <c r="B58" s="396">
        <v>490251</v>
      </c>
      <c r="C58" s="369" t="s">
        <v>768</v>
      </c>
      <c r="D58" s="369" t="s">
        <v>672</v>
      </c>
      <c r="E58" s="369" t="s">
        <v>644</v>
      </c>
      <c r="F58" s="369" t="s">
        <v>645</v>
      </c>
      <c r="G58" s="367" t="s">
        <v>769</v>
      </c>
      <c r="H58" s="396">
        <v>3</v>
      </c>
      <c r="I58" s="369"/>
      <c r="J58" s="369" t="s">
        <v>658</v>
      </c>
      <c r="K58" s="410" t="s">
        <v>655</v>
      </c>
      <c r="L58" s="396">
        <v>1</v>
      </c>
      <c r="M58" s="592"/>
      <c r="N58" s="257">
        <f>'[2]1.4 Septic'!$F$16</f>
        <v>298</v>
      </c>
      <c r="O58" s="257">
        <f t="shared" si="13"/>
        <v>37.64</v>
      </c>
      <c r="P58" s="258"/>
      <c r="Q58" s="590">
        <f t="shared" si="14"/>
        <v>47.502656748140275</v>
      </c>
    </row>
    <row r="59" spans="1:17" ht="18" customHeight="1">
      <c r="A59" s="396">
        <f t="shared" si="0"/>
        <v>55</v>
      </c>
      <c r="B59" s="396">
        <v>500257</v>
      </c>
      <c r="C59" s="369" t="s">
        <v>770</v>
      </c>
      <c r="D59" s="369" t="s">
        <v>643</v>
      </c>
      <c r="E59" s="369" t="s">
        <v>644</v>
      </c>
      <c r="F59" s="369" t="s">
        <v>645</v>
      </c>
      <c r="G59" s="591" t="s">
        <v>771</v>
      </c>
      <c r="H59" s="396">
        <v>8</v>
      </c>
      <c r="I59" s="369"/>
      <c r="J59" s="369" t="s">
        <v>1790</v>
      </c>
      <c r="K59" s="410" t="s">
        <v>652</v>
      </c>
      <c r="L59" s="396">
        <v>1</v>
      </c>
      <c r="M59" s="592"/>
      <c r="N59" s="257">
        <f>'[2]1.4 Septic'!$F$16</f>
        <v>298</v>
      </c>
      <c r="O59" s="257">
        <v>6.3689999999999998</v>
      </c>
      <c r="P59" s="590">
        <f>H59*2*L59*N59/O59</f>
        <v>748.62615795258284</v>
      </c>
      <c r="Q59" s="258"/>
    </row>
    <row r="60" spans="1:17" ht="18" customHeight="1">
      <c r="A60" s="396">
        <f t="shared" si="0"/>
        <v>56</v>
      </c>
      <c r="B60" s="396">
        <v>500278</v>
      </c>
      <c r="C60" s="369" t="s">
        <v>772</v>
      </c>
      <c r="D60" s="369" t="s">
        <v>672</v>
      </c>
      <c r="E60" s="369" t="s">
        <v>644</v>
      </c>
      <c r="F60" s="369" t="s">
        <v>645</v>
      </c>
      <c r="G60" s="369" t="s">
        <v>773</v>
      </c>
      <c r="H60" s="396">
        <v>5</v>
      </c>
      <c r="I60" s="369"/>
      <c r="J60" s="369" t="s">
        <v>658</v>
      </c>
      <c r="K60" s="410" t="s">
        <v>649</v>
      </c>
      <c r="L60" s="396">
        <v>1</v>
      </c>
      <c r="M60" s="592"/>
      <c r="N60" s="257">
        <f>'[2]1.4 Septic'!$F$16</f>
        <v>298</v>
      </c>
      <c r="O60" s="257">
        <f>$G$492</f>
        <v>37.64</v>
      </c>
      <c r="P60" s="258"/>
      <c r="Q60" s="590">
        <f t="shared" ref="Q60:Q65" si="15">H60*2*L60*N60/O60</f>
        <v>79.171094580233799</v>
      </c>
    </row>
    <row r="61" spans="1:17" ht="18" customHeight="1">
      <c r="A61" s="396">
        <f t="shared" si="0"/>
        <v>57</v>
      </c>
      <c r="B61" s="396">
        <v>500283</v>
      </c>
      <c r="C61" s="369" t="s">
        <v>774</v>
      </c>
      <c r="D61" s="369" t="s">
        <v>672</v>
      </c>
      <c r="E61" s="369" t="s">
        <v>644</v>
      </c>
      <c r="F61" s="369" t="s">
        <v>645</v>
      </c>
      <c r="G61" s="369" t="s">
        <v>775</v>
      </c>
      <c r="H61" s="396">
        <v>27</v>
      </c>
      <c r="I61" s="369"/>
      <c r="J61" s="369" t="s">
        <v>689</v>
      </c>
      <c r="K61" s="410" t="s">
        <v>776</v>
      </c>
      <c r="L61" s="396">
        <v>1</v>
      </c>
      <c r="M61" s="592"/>
      <c r="N61" s="257">
        <f>'[2]1.4 Septic'!$F$16</f>
        <v>298</v>
      </c>
      <c r="O61" s="257">
        <f>$G$496</f>
        <v>13.795999999999999</v>
      </c>
      <c r="P61" s="258"/>
      <c r="Q61" s="590">
        <f t="shared" si="15"/>
        <v>1166.4250507393449</v>
      </c>
    </row>
    <row r="62" spans="1:17" ht="18" customHeight="1">
      <c r="A62" s="396">
        <f t="shared" si="0"/>
        <v>58</v>
      </c>
      <c r="B62" s="396">
        <v>500290</v>
      </c>
      <c r="C62" s="369" t="s">
        <v>777</v>
      </c>
      <c r="D62" s="369" t="s">
        <v>643</v>
      </c>
      <c r="E62" s="369" t="s">
        <v>644</v>
      </c>
      <c r="F62" s="369" t="s">
        <v>645</v>
      </c>
      <c r="G62" s="369" t="s">
        <v>778</v>
      </c>
      <c r="H62" s="396">
        <v>7</v>
      </c>
      <c r="I62" s="369"/>
      <c r="J62" s="369" t="s">
        <v>658</v>
      </c>
      <c r="K62" s="410" t="s">
        <v>649</v>
      </c>
      <c r="L62" s="396">
        <v>2</v>
      </c>
      <c r="M62" s="592"/>
      <c r="N62" s="257">
        <f>'[2]1.4 Septic'!$F$16</f>
        <v>298</v>
      </c>
      <c r="O62" s="257">
        <f>$G$492</f>
        <v>37.64</v>
      </c>
      <c r="P62" s="258"/>
      <c r="Q62" s="590">
        <f t="shared" si="15"/>
        <v>221.67906482465463</v>
      </c>
    </row>
    <row r="63" spans="1:17" ht="18" customHeight="1">
      <c r="A63" s="396">
        <f t="shared" si="0"/>
        <v>59</v>
      </c>
      <c r="B63" s="396">
        <v>500300</v>
      </c>
      <c r="C63" s="369" t="s">
        <v>779</v>
      </c>
      <c r="D63" s="369" t="s">
        <v>672</v>
      </c>
      <c r="E63" s="369" t="s">
        <v>644</v>
      </c>
      <c r="F63" s="369" t="s">
        <v>645</v>
      </c>
      <c r="G63" s="369" t="s">
        <v>780</v>
      </c>
      <c r="H63" s="396">
        <v>50</v>
      </c>
      <c r="I63" s="369"/>
      <c r="J63" s="369" t="s">
        <v>663</v>
      </c>
      <c r="K63" s="410" t="s">
        <v>655</v>
      </c>
      <c r="L63" s="396">
        <v>1</v>
      </c>
      <c r="M63" s="592"/>
      <c r="N63" s="257">
        <f>'[2]1.4 Septic'!$F$16</f>
        <v>298</v>
      </c>
      <c r="O63" s="257">
        <f>$G$495</f>
        <v>12.247999999999999</v>
      </c>
      <c r="P63" s="258"/>
      <c r="Q63" s="590">
        <f t="shared" si="15"/>
        <v>2433.0502939255389</v>
      </c>
    </row>
    <row r="64" spans="1:17" ht="18" customHeight="1">
      <c r="A64" s="396">
        <f t="shared" si="0"/>
        <v>60</v>
      </c>
      <c r="B64" s="396">
        <v>510315</v>
      </c>
      <c r="C64" s="369" t="s">
        <v>781</v>
      </c>
      <c r="D64" s="369" t="s">
        <v>643</v>
      </c>
      <c r="E64" s="369" t="s">
        <v>644</v>
      </c>
      <c r="F64" s="369" t="s">
        <v>645</v>
      </c>
      <c r="G64" s="369" t="s">
        <v>782</v>
      </c>
      <c r="H64" s="396">
        <v>10</v>
      </c>
      <c r="I64" s="369"/>
      <c r="J64" s="369" t="s">
        <v>648</v>
      </c>
      <c r="K64" s="410" t="s">
        <v>776</v>
      </c>
      <c r="L64" s="396">
        <v>1</v>
      </c>
      <c r="M64" s="592"/>
      <c r="N64" s="257">
        <f>'[2]1.4 Septic'!$F$16</f>
        <v>298</v>
      </c>
      <c r="O64" s="257">
        <f>$G$487</f>
        <v>14.763</v>
      </c>
      <c r="P64" s="258"/>
      <c r="Q64" s="590">
        <f t="shared" si="15"/>
        <v>403.71198265935107</v>
      </c>
    </row>
    <row r="65" spans="1:17" ht="18" customHeight="1">
      <c r="A65" s="396">
        <f t="shared" si="0"/>
        <v>61</v>
      </c>
      <c r="B65" s="396">
        <v>510320</v>
      </c>
      <c r="C65" s="369" t="s">
        <v>783</v>
      </c>
      <c r="D65" s="369" t="s">
        <v>643</v>
      </c>
      <c r="E65" s="369" t="s">
        <v>644</v>
      </c>
      <c r="F65" s="369" t="s">
        <v>645</v>
      </c>
      <c r="G65" s="367" t="s">
        <v>784</v>
      </c>
      <c r="H65" s="396">
        <v>10</v>
      </c>
      <c r="I65" s="369"/>
      <c r="J65" s="369" t="s">
        <v>658</v>
      </c>
      <c r="K65" s="410" t="s">
        <v>655</v>
      </c>
      <c r="L65" s="396">
        <v>1</v>
      </c>
      <c r="M65" s="592"/>
      <c r="N65" s="257">
        <f>'[2]1.4 Septic'!$F$16</f>
        <v>298</v>
      </c>
      <c r="O65" s="257">
        <f>$G$492</f>
        <v>37.64</v>
      </c>
      <c r="P65" s="258"/>
      <c r="Q65" s="590">
        <f t="shared" si="15"/>
        <v>158.3421891604676</v>
      </c>
    </row>
    <row r="66" spans="1:17" ht="18" customHeight="1">
      <c r="A66" s="396">
        <f t="shared" si="0"/>
        <v>62</v>
      </c>
      <c r="B66" s="396">
        <v>510321</v>
      </c>
      <c r="C66" s="369" t="s">
        <v>785</v>
      </c>
      <c r="D66" s="369" t="s">
        <v>672</v>
      </c>
      <c r="E66" s="369" t="s">
        <v>644</v>
      </c>
      <c r="F66" s="369" t="s">
        <v>645</v>
      </c>
      <c r="G66" s="367" t="s">
        <v>784</v>
      </c>
      <c r="H66" s="396">
        <v>10</v>
      </c>
      <c r="I66" s="369"/>
      <c r="J66" s="369" t="s">
        <v>1790</v>
      </c>
      <c r="K66" s="410" t="s">
        <v>652</v>
      </c>
      <c r="L66" s="396">
        <v>1</v>
      </c>
      <c r="M66" s="592"/>
      <c r="N66" s="257">
        <f>'[2]1.4 Septic'!$F$16</f>
        <v>298</v>
      </c>
      <c r="O66" s="257">
        <v>6.3689999999999998</v>
      </c>
      <c r="P66" s="590">
        <f>H66*2*L66*N66/O66</f>
        <v>935.78269744072861</v>
      </c>
      <c r="Q66" s="258"/>
    </row>
    <row r="67" spans="1:17" ht="18" customHeight="1">
      <c r="A67" s="396">
        <f t="shared" si="0"/>
        <v>63</v>
      </c>
      <c r="B67" s="396">
        <v>510323</v>
      </c>
      <c r="C67" s="369" t="s">
        <v>786</v>
      </c>
      <c r="D67" s="369" t="s">
        <v>643</v>
      </c>
      <c r="E67" s="369" t="s">
        <v>644</v>
      </c>
      <c r="F67" s="369" t="s">
        <v>645</v>
      </c>
      <c r="G67" s="596" t="s">
        <v>787</v>
      </c>
      <c r="H67" s="396">
        <v>6</v>
      </c>
      <c r="I67" s="369"/>
      <c r="J67" s="369" t="s">
        <v>658</v>
      </c>
      <c r="K67" s="410" t="s">
        <v>655</v>
      </c>
      <c r="L67" s="396">
        <v>2</v>
      </c>
      <c r="M67" s="592"/>
      <c r="N67" s="257">
        <f>'[2]1.4 Septic'!$F$16</f>
        <v>298</v>
      </c>
      <c r="O67" s="257">
        <f>$G$492</f>
        <v>37.64</v>
      </c>
      <c r="P67" s="258"/>
      <c r="Q67" s="590">
        <f>H67*2*L67*N67/O67</f>
        <v>190.0106269925611</v>
      </c>
    </row>
    <row r="68" spans="1:17" ht="18" customHeight="1">
      <c r="A68" s="396">
        <f t="shared" si="0"/>
        <v>64</v>
      </c>
      <c r="B68" s="396">
        <v>510328</v>
      </c>
      <c r="C68" s="369" t="s">
        <v>788</v>
      </c>
      <c r="D68" s="369" t="s">
        <v>643</v>
      </c>
      <c r="E68" s="369" t="s">
        <v>644</v>
      </c>
      <c r="F68" s="369" t="s">
        <v>645</v>
      </c>
      <c r="G68" s="596" t="s">
        <v>789</v>
      </c>
      <c r="H68" s="396">
        <v>10</v>
      </c>
      <c r="I68" s="369"/>
      <c r="J68" s="369" t="s">
        <v>1790</v>
      </c>
      <c r="K68" s="410" t="s">
        <v>652</v>
      </c>
      <c r="L68" s="396">
        <v>2</v>
      </c>
      <c r="M68" s="592"/>
      <c r="N68" s="257">
        <f>'[2]1.4 Septic'!$F$16</f>
        <v>298</v>
      </c>
      <c r="O68" s="257">
        <v>6.3689999999999998</v>
      </c>
      <c r="P68" s="590">
        <f>H68*2*L68*N68/O68</f>
        <v>1871.5653948814572</v>
      </c>
      <c r="Q68" s="258"/>
    </row>
    <row r="69" spans="1:17" ht="18" customHeight="1">
      <c r="A69" s="396">
        <f t="shared" si="0"/>
        <v>65</v>
      </c>
      <c r="B69" s="396">
        <v>510357</v>
      </c>
      <c r="C69" s="369" t="s">
        <v>790</v>
      </c>
      <c r="D69" s="369" t="s">
        <v>643</v>
      </c>
      <c r="E69" s="369" t="s">
        <v>644</v>
      </c>
      <c r="F69" s="369" t="s">
        <v>645</v>
      </c>
      <c r="G69" s="369" t="s">
        <v>791</v>
      </c>
      <c r="H69" s="396">
        <v>4</v>
      </c>
      <c r="I69" s="369"/>
      <c r="J69" s="369" t="s">
        <v>658</v>
      </c>
      <c r="K69" s="410" t="s">
        <v>655</v>
      </c>
      <c r="L69" s="396">
        <v>1</v>
      </c>
      <c r="M69" s="592"/>
      <c r="N69" s="257">
        <f>'[2]1.4 Septic'!$F$16</f>
        <v>298</v>
      </c>
      <c r="O69" s="257">
        <f>$G$492</f>
        <v>37.64</v>
      </c>
      <c r="P69" s="258"/>
      <c r="Q69" s="590">
        <f>H69*2*L69*N69/O69</f>
        <v>63.336875664187033</v>
      </c>
    </row>
    <row r="70" spans="1:17" ht="18" customHeight="1">
      <c r="A70" s="396">
        <f t="shared" ref="A70:A133" si="16">+A69+1</f>
        <v>66</v>
      </c>
      <c r="B70" s="396">
        <v>510364</v>
      </c>
      <c r="C70" s="369" t="s">
        <v>792</v>
      </c>
      <c r="D70" s="369"/>
      <c r="E70" s="369" t="s">
        <v>644</v>
      </c>
      <c r="F70" s="369"/>
      <c r="G70" s="591" t="s">
        <v>793</v>
      </c>
      <c r="H70" s="396">
        <v>40</v>
      </c>
      <c r="I70" s="369"/>
      <c r="J70" s="369" t="s">
        <v>684</v>
      </c>
      <c r="K70" s="410" t="s">
        <v>649</v>
      </c>
      <c r="L70" s="396">
        <v>1</v>
      </c>
      <c r="M70" s="592" t="s">
        <v>664</v>
      </c>
      <c r="N70" s="257">
        <f>'[2]1.4 Septic'!$F$34</f>
        <v>247</v>
      </c>
      <c r="O70" s="257">
        <f>$G$498</f>
        <v>17.77</v>
      </c>
      <c r="P70" s="258"/>
      <c r="Q70" s="590">
        <f t="shared" ref="Q70" si="17">H70*2*L70*N70/O70</f>
        <v>1111.986494091165</v>
      </c>
    </row>
    <row r="71" spans="1:17" ht="18" customHeight="1">
      <c r="A71" s="396">
        <f t="shared" si="16"/>
        <v>67</v>
      </c>
      <c r="B71" s="396">
        <v>520378</v>
      </c>
      <c r="C71" s="369" t="s">
        <v>794</v>
      </c>
      <c r="D71" s="369" t="s">
        <v>672</v>
      </c>
      <c r="E71" s="369" t="s">
        <v>644</v>
      </c>
      <c r="F71" s="369" t="s">
        <v>645</v>
      </c>
      <c r="G71" s="369" t="s">
        <v>795</v>
      </c>
      <c r="H71" s="396">
        <v>8</v>
      </c>
      <c r="I71" s="369"/>
      <c r="J71" s="369" t="s">
        <v>733</v>
      </c>
      <c r="K71" s="410" t="s">
        <v>655</v>
      </c>
      <c r="L71" s="396">
        <v>1</v>
      </c>
      <c r="M71" s="592"/>
      <c r="N71" s="257">
        <f>'[2]1.4 Septic'!$F$16</f>
        <v>298</v>
      </c>
      <c r="O71" s="595">
        <f>$G$491</f>
        <v>32.435000000000002</v>
      </c>
      <c r="P71" s="258"/>
      <c r="Q71" s="590">
        <f>H71*2*L71*N71/O71</f>
        <v>147.00169569909048</v>
      </c>
    </row>
    <row r="72" spans="1:17" ht="18" customHeight="1">
      <c r="A72" s="396">
        <f t="shared" si="16"/>
        <v>68</v>
      </c>
      <c r="B72" s="396">
        <v>520379</v>
      </c>
      <c r="C72" s="369" t="s">
        <v>796</v>
      </c>
      <c r="D72" s="369" t="s">
        <v>672</v>
      </c>
      <c r="E72" s="369" t="s">
        <v>644</v>
      </c>
      <c r="F72" s="369" t="s">
        <v>645</v>
      </c>
      <c r="G72" s="596" t="s">
        <v>797</v>
      </c>
      <c r="H72" s="396">
        <v>6</v>
      </c>
      <c r="I72" s="369"/>
      <c r="J72" s="369" t="s">
        <v>1790</v>
      </c>
      <c r="K72" s="410" t="s">
        <v>652</v>
      </c>
      <c r="L72" s="396">
        <v>1</v>
      </c>
      <c r="M72" s="592"/>
      <c r="N72" s="257">
        <f>'[2]1.4 Septic'!$F$16</f>
        <v>298</v>
      </c>
      <c r="O72" s="257">
        <v>6.3689999999999998</v>
      </c>
      <c r="P72" s="590">
        <f>H72*2*L72*N72/O72</f>
        <v>561.46961846443719</v>
      </c>
      <c r="Q72" s="258"/>
    </row>
    <row r="73" spans="1:17" ht="18" customHeight="1">
      <c r="A73" s="396">
        <f t="shared" si="16"/>
        <v>69</v>
      </c>
      <c r="B73" s="396">
        <v>520382</v>
      </c>
      <c r="C73" s="369" t="s">
        <v>798</v>
      </c>
      <c r="D73" s="369" t="s">
        <v>672</v>
      </c>
      <c r="E73" s="369" t="s">
        <v>644</v>
      </c>
      <c r="F73" s="369" t="s">
        <v>645</v>
      </c>
      <c r="G73" s="369" t="s">
        <v>799</v>
      </c>
      <c r="H73" s="396">
        <v>6</v>
      </c>
      <c r="I73" s="369"/>
      <c r="J73" s="369" t="s">
        <v>733</v>
      </c>
      <c r="K73" s="410" t="s">
        <v>655</v>
      </c>
      <c r="L73" s="396">
        <v>1</v>
      </c>
      <c r="M73" s="592"/>
      <c r="N73" s="257">
        <f>'[2]1.4 Septic'!$F$16</f>
        <v>298</v>
      </c>
      <c r="O73" s="595">
        <f>$G$491</f>
        <v>32.435000000000002</v>
      </c>
      <c r="P73" s="258"/>
      <c r="Q73" s="590">
        <f t="shared" ref="Q73:Q74" si="18">H73*2*L73*N73/O73</f>
        <v>110.25127177431786</v>
      </c>
    </row>
    <row r="74" spans="1:17" ht="18" customHeight="1">
      <c r="A74" s="396">
        <f t="shared" si="16"/>
        <v>70</v>
      </c>
      <c r="B74" s="396">
        <v>520384</v>
      </c>
      <c r="C74" s="369" t="s">
        <v>800</v>
      </c>
      <c r="D74" s="369" t="s">
        <v>672</v>
      </c>
      <c r="E74" s="369" t="s">
        <v>644</v>
      </c>
      <c r="F74" s="369" t="s">
        <v>645</v>
      </c>
      <c r="G74" s="369" t="s">
        <v>801</v>
      </c>
      <c r="H74" s="396">
        <v>6</v>
      </c>
      <c r="I74" s="369"/>
      <c r="J74" s="369" t="s">
        <v>658</v>
      </c>
      <c r="K74" s="410" t="s">
        <v>655</v>
      </c>
      <c r="L74" s="396">
        <v>1</v>
      </c>
      <c r="M74" s="592"/>
      <c r="N74" s="257">
        <f>'[2]1.4 Septic'!$F$16</f>
        <v>298</v>
      </c>
      <c r="O74" s="257">
        <f>$G$492</f>
        <v>37.64</v>
      </c>
      <c r="P74" s="258"/>
      <c r="Q74" s="590">
        <f t="shared" si="18"/>
        <v>95.00531349628055</v>
      </c>
    </row>
    <row r="75" spans="1:17" ht="18" customHeight="1">
      <c r="A75" s="396">
        <f t="shared" si="16"/>
        <v>71</v>
      </c>
      <c r="B75" s="396">
        <v>520389</v>
      </c>
      <c r="C75" s="369" t="s">
        <v>802</v>
      </c>
      <c r="D75" s="369" t="s">
        <v>643</v>
      </c>
      <c r="E75" s="369" t="s">
        <v>644</v>
      </c>
      <c r="F75" s="369" t="s">
        <v>645</v>
      </c>
      <c r="G75" s="367" t="s">
        <v>803</v>
      </c>
      <c r="H75" s="396">
        <v>7</v>
      </c>
      <c r="I75" s="369"/>
      <c r="J75" s="369" t="s">
        <v>1790</v>
      </c>
      <c r="K75" s="410" t="s">
        <v>652</v>
      </c>
      <c r="L75" s="396">
        <v>1</v>
      </c>
      <c r="M75" s="592"/>
      <c r="N75" s="257">
        <f>'[2]1.4 Septic'!$F$16</f>
        <v>298</v>
      </c>
      <c r="O75" s="257">
        <v>6.3689999999999998</v>
      </c>
      <c r="P75" s="590">
        <f t="shared" ref="P75:P76" si="19">H75*2*L75*N75/O75</f>
        <v>655.04788820851002</v>
      </c>
      <c r="Q75" s="258"/>
    </row>
    <row r="76" spans="1:17" ht="18" customHeight="1">
      <c r="A76" s="396">
        <f t="shared" si="16"/>
        <v>72</v>
      </c>
      <c r="B76" s="396">
        <v>520394</v>
      </c>
      <c r="C76" s="369" t="s">
        <v>804</v>
      </c>
      <c r="D76" s="369" t="s">
        <v>672</v>
      </c>
      <c r="E76" s="369" t="s">
        <v>644</v>
      </c>
      <c r="F76" s="369" t="s">
        <v>645</v>
      </c>
      <c r="G76" s="369" t="s">
        <v>724</v>
      </c>
      <c r="H76" s="396">
        <v>6</v>
      </c>
      <c r="I76" s="369"/>
      <c r="J76" s="369" t="s">
        <v>1790</v>
      </c>
      <c r="K76" s="410" t="s">
        <v>652</v>
      </c>
      <c r="L76" s="396">
        <v>2</v>
      </c>
      <c r="M76" s="592"/>
      <c r="N76" s="257">
        <f>'[2]1.4 Septic'!$F$16</f>
        <v>298</v>
      </c>
      <c r="O76" s="257">
        <v>6.3689999999999998</v>
      </c>
      <c r="P76" s="590">
        <f t="shared" si="19"/>
        <v>1122.9392369288744</v>
      </c>
      <c r="Q76" s="258"/>
    </row>
    <row r="77" spans="1:17" ht="18" customHeight="1">
      <c r="A77" s="396">
        <f t="shared" si="16"/>
        <v>73</v>
      </c>
      <c r="B77" s="396">
        <v>520396</v>
      </c>
      <c r="C77" s="369" t="s">
        <v>805</v>
      </c>
      <c r="D77" s="369" t="s">
        <v>643</v>
      </c>
      <c r="E77" s="369" t="s">
        <v>644</v>
      </c>
      <c r="F77" s="369" t="s">
        <v>645</v>
      </c>
      <c r="G77" s="369" t="s">
        <v>806</v>
      </c>
      <c r="H77" s="396">
        <v>10</v>
      </c>
      <c r="I77" s="369"/>
      <c r="J77" s="369" t="s">
        <v>695</v>
      </c>
      <c r="K77" s="410" t="s">
        <v>649</v>
      </c>
      <c r="L77" s="396">
        <v>1</v>
      </c>
      <c r="M77" s="592"/>
      <c r="N77" s="257">
        <f>'[2]1.4 Septic'!$F$16</f>
        <v>298</v>
      </c>
      <c r="O77" s="257">
        <f t="shared" ref="O77:O79" si="20">$G$492</f>
        <v>37.64</v>
      </c>
      <c r="P77" s="258"/>
      <c r="Q77" s="590">
        <f t="shared" ref="Q77:Q84" si="21">H77*2*L77*N77/O77</f>
        <v>158.3421891604676</v>
      </c>
    </row>
    <row r="78" spans="1:17" ht="18" customHeight="1">
      <c r="A78" s="396">
        <f t="shared" si="16"/>
        <v>74</v>
      </c>
      <c r="B78" s="396">
        <v>520399</v>
      </c>
      <c r="C78" s="369" t="s">
        <v>807</v>
      </c>
      <c r="D78" s="369" t="s">
        <v>672</v>
      </c>
      <c r="E78" s="369" t="s">
        <v>644</v>
      </c>
      <c r="F78" s="369" t="s">
        <v>645</v>
      </c>
      <c r="G78" s="367" t="s">
        <v>746</v>
      </c>
      <c r="H78" s="396">
        <v>7</v>
      </c>
      <c r="I78" s="369"/>
      <c r="J78" s="369" t="s">
        <v>658</v>
      </c>
      <c r="K78" s="410" t="s">
        <v>655</v>
      </c>
      <c r="L78" s="396">
        <v>1</v>
      </c>
      <c r="M78" s="592"/>
      <c r="N78" s="257">
        <f>'[2]1.4 Septic'!$F$16</f>
        <v>298</v>
      </c>
      <c r="O78" s="257">
        <f t="shared" si="20"/>
        <v>37.64</v>
      </c>
      <c r="P78" s="258"/>
      <c r="Q78" s="590">
        <f t="shared" si="21"/>
        <v>110.83953241232732</v>
      </c>
    </row>
    <row r="79" spans="1:17" ht="18" customHeight="1">
      <c r="A79" s="396">
        <f t="shared" si="16"/>
        <v>75</v>
      </c>
      <c r="B79" s="396">
        <v>520402</v>
      </c>
      <c r="C79" s="369" t="s">
        <v>808</v>
      </c>
      <c r="D79" s="369" t="s">
        <v>672</v>
      </c>
      <c r="E79" s="369" t="s">
        <v>644</v>
      </c>
      <c r="F79" s="369" t="s">
        <v>645</v>
      </c>
      <c r="G79" s="369" t="s">
        <v>758</v>
      </c>
      <c r="H79" s="396">
        <v>8</v>
      </c>
      <c r="I79" s="369"/>
      <c r="J79" s="369" t="s">
        <v>658</v>
      </c>
      <c r="K79" s="410" t="s">
        <v>655</v>
      </c>
      <c r="L79" s="396">
        <v>1</v>
      </c>
      <c r="M79" s="592"/>
      <c r="N79" s="257">
        <f>'[2]1.4 Septic'!$F$16</f>
        <v>298</v>
      </c>
      <c r="O79" s="257">
        <f t="shared" si="20"/>
        <v>37.64</v>
      </c>
      <c r="P79" s="258"/>
      <c r="Q79" s="590">
        <f t="shared" si="21"/>
        <v>126.67375132837407</v>
      </c>
    </row>
    <row r="80" spans="1:17" ht="18" customHeight="1">
      <c r="A80" s="396">
        <f t="shared" si="16"/>
        <v>76</v>
      </c>
      <c r="B80" s="396">
        <v>520405</v>
      </c>
      <c r="C80" s="369" t="s">
        <v>809</v>
      </c>
      <c r="D80" s="369" t="s">
        <v>672</v>
      </c>
      <c r="E80" s="369" t="s">
        <v>644</v>
      </c>
      <c r="F80" s="369" t="s">
        <v>645</v>
      </c>
      <c r="G80" s="369" t="s">
        <v>810</v>
      </c>
      <c r="H80" s="396">
        <v>8</v>
      </c>
      <c r="I80" s="369"/>
      <c r="J80" s="369" t="s">
        <v>718</v>
      </c>
      <c r="K80" s="410" t="s">
        <v>649</v>
      </c>
      <c r="L80" s="396">
        <v>2</v>
      </c>
      <c r="M80" s="592"/>
      <c r="N80" s="257">
        <f>'[2]1.4 Septic'!$F$16</f>
        <v>298</v>
      </c>
      <c r="O80" s="595">
        <f>$G$491</f>
        <v>32.435000000000002</v>
      </c>
      <c r="P80" s="258"/>
      <c r="Q80" s="590">
        <f t="shared" si="21"/>
        <v>294.00339139818095</v>
      </c>
    </row>
    <row r="81" spans="1:17" ht="18" customHeight="1">
      <c r="A81" s="396">
        <f t="shared" si="16"/>
        <v>77</v>
      </c>
      <c r="B81" s="396">
        <v>520406</v>
      </c>
      <c r="C81" s="369" t="s">
        <v>811</v>
      </c>
      <c r="D81" s="369" t="s">
        <v>643</v>
      </c>
      <c r="E81" s="369" t="s">
        <v>644</v>
      </c>
      <c r="F81" s="369" t="s">
        <v>645</v>
      </c>
      <c r="G81" s="369" t="s">
        <v>812</v>
      </c>
      <c r="H81" s="396">
        <v>10</v>
      </c>
      <c r="I81" s="369"/>
      <c r="J81" s="369" t="s">
        <v>658</v>
      </c>
      <c r="K81" s="410" t="s">
        <v>649</v>
      </c>
      <c r="L81" s="396">
        <v>1</v>
      </c>
      <c r="M81" s="592"/>
      <c r="N81" s="257">
        <f>'[2]1.4 Septic'!$F$16</f>
        <v>298</v>
      </c>
      <c r="O81" s="257">
        <f t="shared" ref="O81:O84" si="22">$G$492</f>
        <v>37.64</v>
      </c>
      <c r="P81" s="258"/>
      <c r="Q81" s="590">
        <f t="shared" si="21"/>
        <v>158.3421891604676</v>
      </c>
    </row>
    <row r="82" spans="1:17" ht="18" customHeight="1">
      <c r="A82" s="396">
        <f t="shared" si="16"/>
        <v>78</v>
      </c>
      <c r="B82" s="396">
        <v>520407</v>
      </c>
      <c r="C82" s="369" t="s">
        <v>813</v>
      </c>
      <c r="D82" s="369" t="s">
        <v>643</v>
      </c>
      <c r="E82" s="369" t="s">
        <v>644</v>
      </c>
      <c r="F82" s="369" t="s">
        <v>645</v>
      </c>
      <c r="G82" s="367" t="s">
        <v>814</v>
      </c>
      <c r="H82" s="396">
        <v>10</v>
      </c>
      <c r="I82" s="369"/>
      <c r="J82" s="369" t="s">
        <v>658</v>
      </c>
      <c r="K82" s="410" t="s">
        <v>649</v>
      </c>
      <c r="L82" s="396">
        <v>1</v>
      </c>
      <c r="M82" s="592"/>
      <c r="N82" s="257">
        <f>'[2]1.4 Septic'!$F$16</f>
        <v>298</v>
      </c>
      <c r="O82" s="257">
        <f t="shared" si="22"/>
        <v>37.64</v>
      </c>
      <c r="P82" s="258"/>
      <c r="Q82" s="590">
        <f t="shared" si="21"/>
        <v>158.3421891604676</v>
      </c>
    </row>
    <row r="83" spans="1:17" ht="18" customHeight="1">
      <c r="A83" s="396">
        <f t="shared" si="16"/>
        <v>79</v>
      </c>
      <c r="B83" s="396">
        <v>520416</v>
      </c>
      <c r="C83" s="369" t="s">
        <v>815</v>
      </c>
      <c r="D83" s="369" t="s">
        <v>672</v>
      </c>
      <c r="E83" s="369" t="s">
        <v>644</v>
      </c>
      <c r="F83" s="369" t="s">
        <v>645</v>
      </c>
      <c r="G83" s="369" t="s">
        <v>816</v>
      </c>
      <c r="H83" s="396">
        <v>3</v>
      </c>
      <c r="I83" s="369"/>
      <c r="J83" s="369" t="s">
        <v>695</v>
      </c>
      <c r="K83" s="410" t="s">
        <v>649</v>
      </c>
      <c r="L83" s="396">
        <v>1</v>
      </c>
      <c r="M83" s="592"/>
      <c r="N83" s="257">
        <f>'[2]1.4 Septic'!$F$16</f>
        <v>298</v>
      </c>
      <c r="O83" s="257">
        <f t="shared" si="22"/>
        <v>37.64</v>
      </c>
      <c r="P83" s="258"/>
      <c r="Q83" s="590">
        <f t="shared" si="21"/>
        <v>47.502656748140275</v>
      </c>
    </row>
    <row r="84" spans="1:17" ht="18" customHeight="1">
      <c r="A84" s="396">
        <f t="shared" si="16"/>
        <v>80</v>
      </c>
      <c r="B84" s="396">
        <v>520425</v>
      </c>
      <c r="C84" s="369" t="s">
        <v>817</v>
      </c>
      <c r="D84" s="369" t="s">
        <v>672</v>
      </c>
      <c r="E84" s="369" t="s">
        <v>644</v>
      </c>
      <c r="F84" s="369" t="s">
        <v>645</v>
      </c>
      <c r="G84" s="369" t="s">
        <v>818</v>
      </c>
      <c r="H84" s="396">
        <v>10</v>
      </c>
      <c r="I84" s="369"/>
      <c r="J84" s="369" t="s">
        <v>695</v>
      </c>
      <c r="K84" s="410" t="s">
        <v>655</v>
      </c>
      <c r="L84" s="396">
        <v>1</v>
      </c>
      <c r="M84" s="592"/>
      <c r="N84" s="257">
        <f>'[2]1.4 Septic'!$F$16</f>
        <v>298</v>
      </c>
      <c r="O84" s="257">
        <f t="shared" si="22"/>
        <v>37.64</v>
      </c>
      <c r="P84" s="258"/>
      <c r="Q84" s="590">
        <f t="shared" si="21"/>
        <v>158.3421891604676</v>
      </c>
    </row>
    <row r="85" spans="1:17" ht="18" customHeight="1">
      <c r="A85" s="396">
        <f t="shared" si="16"/>
        <v>81</v>
      </c>
      <c r="B85" s="396">
        <v>520428</v>
      </c>
      <c r="C85" s="369" t="s">
        <v>819</v>
      </c>
      <c r="D85" s="369" t="s">
        <v>643</v>
      </c>
      <c r="E85" s="369" t="s">
        <v>644</v>
      </c>
      <c r="F85" s="369" t="s">
        <v>645</v>
      </c>
      <c r="G85" s="369" t="s">
        <v>820</v>
      </c>
      <c r="H85" s="396">
        <v>10</v>
      </c>
      <c r="I85" s="369"/>
      <c r="J85" s="369" t="s">
        <v>1790</v>
      </c>
      <c r="K85" s="410" t="s">
        <v>652</v>
      </c>
      <c r="L85" s="396">
        <v>2</v>
      </c>
      <c r="M85" s="592"/>
      <c r="N85" s="257">
        <f>'[2]1.4 Septic'!$F$16</f>
        <v>298</v>
      </c>
      <c r="O85" s="257">
        <v>6.3689999999999998</v>
      </c>
      <c r="P85" s="590">
        <f>H85*2*L85*N85/O85</f>
        <v>1871.5653948814572</v>
      </c>
      <c r="Q85" s="258"/>
    </row>
    <row r="86" spans="1:17" ht="18" customHeight="1">
      <c r="A86" s="396">
        <f t="shared" si="16"/>
        <v>82</v>
      </c>
      <c r="B86" s="396">
        <v>520431</v>
      </c>
      <c r="C86" s="369" t="s">
        <v>821</v>
      </c>
      <c r="D86" s="369" t="s">
        <v>643</v>
      </c>
      <c r="E86" s="369" t="s">
        <v>644</v>
      </c>
      <c r="F86" s="369" t="s">
        <v>645</v>
      </c>
      <c r="G86" s="369" t="s">
        <v>822</v>
      </c>
      <c r="H86" s="396">
        <v>5</v>
      </c>
      <c r="I86" s="369"/>
      <c r="J86" s="369" t="s">
        <v>658</v>
      </c>
      <c r="K86" s="410" t="s">
        <v>649</v>
      </c>
      <c r="L86" s="396">
        <v>1</v>
      </c>
      <c r="M86" s="592"/>
      <c r="N86" s="257">
        <f>'[2]1.4 Septic'!$F$16</f>
        <v>298</v>
      </c>
      <c r="O86" s="257">
        <f>$G$492</f>
        <v>37.64</v>
      </c>
      <c r="P86" s="258"/>
      <c r="Q86" s="590">
        <f>H86*2*L86*N86/O86</f>
        <v>79.171094580233799</v>
      </c>
    </row>
    <row r="87" spans="1:17" ht="18" customHeight="1">
      <c r="A87" s="396">
        <f t="shared" si="16"/>
        <v>83</v>
      </c>
      <c r="B87" s="396">
        <v>520432</v>
      </c>
      <c r="C87" s="369" t="s">
        <v>823</v>
      </c>
      <c r="D87" s="369" t="s">
        <v>643</v>
      </c>
      <c r="E87" s="369" t="s">
        <v>644</v>
      </c>
      <c r="F87" s="369" t="s">
        <v>645</v>
      </c>
      <c r="G87" s="367" t="s">
        <v>746</v>
      </c>
      <c r="H87" s="396">
        <v>10</v>
      </c>
      <c r="I87" s="369"/>
      <c r="J87" s="369" t="s">
        <v>1790</v>
      </c>
      <c r="K87" s="410" t="s">
        <v>652</v>
      </c>
      <c r="L87" s="396">
        <v>2</v>
      </c>
      <c r="M87" s="592"/>
      <c r="N87" s="257">
        <f>'[2]1.4 Septic'!$F$16</f>
        <v>298</v>
      </c>
      <c r="O87" s="257">
        <v>6.3689999999999998</v>
      </c>
      <c r="P87" s="590">
        <f>H87*2*L87*N87/O87</f>
        <v>1871.5653948814572</v>
      </c>
      <c r="Q87" s="258"/>
    </row>
    <row r="88" spans="1:17" ht="18" customHeight="1">
      <c r="A88" s="396">
        <f t="shared" si="16"/>
        <v>84</v>
      </c>
      <c r="B88" s="396">
        <v>520433</v>
      </c>
      <c r="C88" s="369" t="s">
        <v>824</v>
      </c>
      <c r="D88" s="369" t="s">
        <v>643</v>
      </c>
      <c r="E88" s="369" t="s">
        <v>644</v>
      </c>
      <c r="F88" s="369" t="s">
        <v>645</v>
      </c>
      <c r="G88" s="596" t="s">
        <v>825</v>
      </c>
      <c r="H88" s="396">
        <v>7</v>
      </c>
      <c r="I88" s="369"/>
      <c r="J88" s="369" t="s">
        <v>658</v>
      </c>
      <c r="K88" s="410" t="s">
        <v>655</v>
      </c>
      <c r="L88" s="396">
        <v>1</v>
      </c>
      <c r="M88" s="592"/>
      <c r="N88" s="257">
        <f>'[2]1.4 Septic'!$F$16</f>
        <v>298</v>
      </c>
      <c r="O88" s="257">
        <f>$G$492</f>
        <v>37.64</v>
      </c>
      <c r="P88" s="258"/>
      <c r="Q88" s="590">
        <f t="shared" ref="Q88:Q91" si="23">H88*2*L88*N88/O88</f>
        <v>110.83953241232732</v>
      </c>
    </row>
    <row r="89" spans="1:17" ht="18" customHeight="1">
      <c r="A89" s="396">
        <f t="shared" si="16"/>
        <v>85</v>
      </c>
      <c r="B89" s="396">
        <v>520435</v>
      </c>
      <c r="C89" s="369" t="s">
        <v>826</v>
      </c>
      <c r="D89" s="369" t="s">
        <v>672</v>
      </c>
      <c r="E89" s="369" t="s">
        <v>644</v>
      </c>
      <c r="F89" s="369" t="s">
        <v>645</v>
      </c>
      <c r="G89" s="369" t="s">
        <v>827</v>
      </c>
      <c r="H89" s="396">
        <v>6</v>
      </c>
      <c r="I89" s="369"/>
      <c r="J89" s="369" t="s">
        <v>695</v>
      </c>
      <c r="K89" s="410" t="s">
        <v>655</v>
      </c>
      <c r="L89" s="396">
        <v>1</v>
      </c>
      <c r="M89" s="592"/>
      <c r="N89" s="257">
        <f>'[2]1.4 Septic'!$F$16</f>
        <v>298</v>
      </c>
      <c r="O89" s="257">
        <f t="shared" ref="O89:O90" si="24">$G$492</f>
        <v>37.64</v>
      </c>
      <c r="P89" s="258"/>
      <c r="Q89" s="590">
        <f t="shared" si="23"/>
        <v>95.00531349628055</v>
      </c>
    </row>
    <row r="90" spans="1:17" ht="18" customHeight="1">
      <c r="A90" s="396">
        <f t="shared" si="16"/>
        <v>86</v>
      </c>
      <c r="B90" s="396">
        <v>520446</v>
      </c>
      <c r="C90" s="369" t="s">
        <v>828</v>
      </c>
      <c r="D90" s="369" t="s">
        <v>643</v>
      </c>
      <c r="E90" s="369" t="s">
        <v>644</v>
      </c>
      <c r="F90" s="369" t="s">
        <v>645</v>
      </c>
      <c r="G90" s="369" t="s">
        <v>829</v>
      </c>
      <c r="H90" s="396">
        <v>6</v>
      </c>
      <c r="I90" s="369"/>
      <c r="J90" s="369" t="s">
        <v>695</v>
      </c>
      <c r="K90" s="410" t="s">
        <v>655</v>
      </c>
      <c r="L90" s="396">
        <v>2</v>
      </c>
      <c r="M90" s="592"/>
      <c r="N90" s="257">
        <f>'[2]1.4 Septic'!$F$16</f>
        <v>298</v>
      </c>
      <c r="O90" s="257">
        <f t="shared" si="24"/>
        <v>37.64</v>
      </c>
      <c r="P90" s="258"/>
      <c r="Q90" s="590">
        <f t="shared" si="23"/>
        <v>190.0106269925611</v>
      </c>
    </row>
    <row r="91" spans="1:17" ht="18" customHeight="1">
      <c r="A91" s="396">
        <f t="shared" si="16"/>
        <v>87</v>
      </c>
      <c r="B91" s="396">
        <v>520451</v>
      </c>
      <c r="C91" s="369" t="s">
        <v>830</v>
      </c>
      <c r="D91" s="369" t="s">
        <v>672</v>
      </c>
      <c r="E91" s="369" t="s">
        <v>644</v>
      </c>
      <c r="F91" s="369" t="s">
        <v>645</v>
      </c>
      <c r="G91" s="369" t="s">
        <v>831</v>
      </c>
      <c r="H91" s="396">
        <v>5</v>
      </c>
      <c r="I91" s="369"/>
      <c r="J91" s="369" t="s">
        <v>684</v>
      </c>
      <c r="K91" s="410" t="s">
        <v>649</v>
      </c>
      <c r="L91" s="396">
        <v>1</v>
      </c>
      <c r="M91" s="592"/>
      <c r="N91" s="257">
        <f>'[2]1.4 Septic'!$F$16</f>
        <v>298</v>
      </c>
      <c r="O91" s="257">
        <f>$G$498</f>
        <v>17.77</v>
      </c>
      <c r="P91" s="258"/>
      <c r="Q91" s="590">
        <f t="shared" si="23"/>
        <v>167.69836803601575</v>
      </c>
    </row>
    <row r="92" spans="1:17" ht="18" customHeight="1">
      <c r="A92" s="396">
        <f t="shared" si="16"/>
        <v>88</v>
      </c>
      <c r="B92" s="396">
        <v>520460</v>
      </c>
      <c r="C92" s="369" t="s">
        <v>832</v>
      </c>
      <c r="D92" s="369" t="s">
        <v>643</v>
      </c>
      <c r="E92" s="369" t="s">
        <v>644</v>
      </c>
      <c r="F92" s="369" t="s">
        <v>645</v>
      </c>
      <c r="G92" s="369" t="s">
        <v>833</v>
      </c>
      <c r="H92" s="396">
        <v>9</v>
      </c>
      <c r="I92" s="369"/>
      <c r="J92" s="369" t="s">
        <v>1790</v>
      </c>
      <c r="K92" s="410" t="s">
        <v>652</v>
      </c>
      <c r="L92" s="396">
        <v>2</v>
      </c>
      <c r="M92" s="592"/>
      <c r="N92" s="257">
        <f>'[2]1.4 Septic'!$F$16</f>
        <v>298</v>
      </c>
      <c r="O92" s="257">
        <f>$G$488</f>
        <v>6.3689999999999998</v>
      </c>
      <c r="P92" s="590">
        <f>H92*2*L92*N92/O92</f>
        <v>1684.4088553933113</v>
      </c>
      <c r="Q92" s="258"/>
    </row>
    <row r="93" spans="1:17" ht="18" customHeight="1">
      <c r="A93" s="396">
        <f t="shared" si="16"/>
        <v>89</v>
      </c>
      <c r="B93" s="396">
        <v>520464</v>
      </c>
      <c r="C93" s="369" t="s">
        <v>834</v>
      </c>
      <c r="D93" s="369" t="s">
        <v>672</v>
      </c>
      <c r="E93" s="369" t="s">
        <v>644</v>
      </c>
      <c r="F93" s="369" t="s">
        <v>645</v>
      </c>
      <c r="G93" s="369" t="s">
        <v>835</v>
      </c>
      <c r="H93" s="396">
        <v>12</v>
      </c>
      <c r="I93" s="369"/>
      <c r="J93" s="369" t="s">
        <v>1790</v>
      </c>
      <c r="K93" s="410" t="s">
        <v>652</v>
      </c>
      <c r="L93" s="396">
        <v>1</v>
      </c>
      <c r="M93" s="592"/>
      <c r="N93" s="257">
        <f>'[2]1.4 Septic'!$F$16</f>
        <v>298</v>
      </c>
      <c r="O93" s="257">
        <v>6.3689999999999998</v>
      </c>
      <c r="P93" s="590">
        <f>H93*2*L93*N93/O93</f>
        <v>1122.9392369288744</v>
      </c>
      <c r="Q93" s="258"/>
    </row>
    <row r="94" spans="1:17" ht="18" customHeight="1">
      <c r="A94" s="396">
        <f t="shared" si="16"/>
        <v>90</v>
      </c>
      <c r="B94" s="396">
        <v>520467</v>
      </c>
      <c r="C94" s="369" t="s">
        <v>836</v>
      </c>
      <c r="D94" s="369" t="s">
        <v>643</v>
      </c>
      <c r="E94" s="369" t="s">
        <v>644</v>
      </c>
      <c r="F94" s="369" t="s">
        <v>645</v>
      </c>
      <c r="G94" s="369" t="s">
        <v>837</v>
      </c>
      <c r="H94" s="396">
        <v>7</v>
      </c>
      <c r="I94" s="369"/>
      <c r="J94" s="369" t="s">
        <v>718</v>
      </c>
      <c r="K94" s="410" t="s">
        <v>649</v>
      </c>
      <c r="L94" s="396">
        <v>2</v>
      </c>
      <c r="M94" s="592"/>
      <c r="N94" s="257">
        <f>'[2]1.4 Septic'!$F$16</f>
        <v>298</v>
      </c>
      <c r="O94" s="595">
        <f>$G$491</f>
        <v>32.435000000000002</v>
      </c>
      <c r="P94" s="258"/>
      <c r="Q94" s="590">
        <f t="shared" ref="Q94" si="25">H94*2*L94*N94/O94</f>
        <v>257.25296747340832</v>
      </c>
    </row>
    <row r="95" spans="1:17" ht="18" customHeight="1">
      <c r="A95" s="396">
        <f t="shared" si="16"/>
        <v>91</v>
      </c>
      <c r="B95" s="396">
        <v>520471</v>
      </c>
      <c r="C95" s="369" t="s">
        <v>838</v>
      </c>
      <c r="D95" s="369" t="s">
        <v>672</v>
      </c>
      <c r="E95" s="369" t="s">
        <v>644</v>
      </c>
      <c r="F95" s="369" t="s">
        <v>645</v>
      </c>
      <c r="G95" s="369" t="s">
        <v>839</v>
      </c>
      <c r="H95" s="396">
        <v>8</v>
      </c>
      <c r="I95" s="369"/>
      <c r="J95" s="369" t="s">
        <v>663</v>
      </c>
      <c r="K95" s="410" t="s">
        <v>649</v>
      </c>
      <c r="L95" s="396">
        <v>1</v>
      </c>
      <c r="M95" s="592"/>
      <c r="N95" s="257">
        <f>'[2]1.4 Septic'!$F$16</f>
        <v>298</v>
      </c>
      <c r="O95" s="257">
        <f>$G$495</f>
        <v>12.247999999999999</v>
      </c>
      <c r="P95" s="258"/>
      <c r="Q95" s="590">
        <f>H95*2*L95*N95/O95</f>
        <v>389.28804702808623</v>
      </c>
    </row>
    <row r="96" spans="1:17" ht="18" customHeight="1">
      <c r="A96" s="396">
        <f t="shared" si="16"/>
        <v>92</v>
      </c>
      <c r="B96" s="396">
        <v>520527</v>
      </c>
      <c r="C96" s="369" t="s">
        <v>840</v>
      </c>
      <c r="D96" s="369" t="s">
        <v>672</v>
      </c>
      <c r="E96" s="369" t="s">
        <v>644</v>
      </c>
      <c r="F96" s="369" t="s">
        <v>645</v>
      </c>
      <c r="G96" s="591" t="s">
        <v>841</v>
      </c>
      <c r="H96" s="396">
        <v>17</v>
      </c>
      <c r="I96" s="369"/>
      <c r="J96" s="369" t="s">
        <v>684</v>
      </c>
      <c r="K96" s="410" t="s">
        <v>655</v>
      </c>
      <c r="L96" s="396">
        <v>1</v>
      </c>
      <c r="M96" s="592" t="s">
        <v>664</v>
      </c>
      <c r="N96" s="257">
        <f>'[2]1.4 Septic'!$F$34</f>
        <v>247</v>
      </c>
      <c r="O96" s="257">
        <f>$G$498</f>
        <v>17.77</v>
      </c>
      <c r="P96" s="258"/>
      <c r="Q96" s="590">
        <f t="shared" ref="Q96" si="26">H96*2*L96*N96/O96</f>
        <v>472.59425998874508</v>
      </c>
    </row>
    <row r="97" spans="1:17" ht="18" customHeight="1">
      <c r="A97" s="396">
        <f t="shared" si="16"/>
        <v>93</v>
      </c>
      <c r="B97" s="396">
        <v>520541</v>
      </c>
      <c r="C97" s="369" t="s">
        <v>842</v>
      </c>
      <c r="D97" s="369" t="s">
        <v>672</v>
      </c>
      <c r="E97" s="369" t="s">
        <v>644</v>
      </c>
      <c r="F97" s="369" t="s">
        <v>645</v>
      </c>
      <c r="G97" s="369" t="s">
        <v>843</v>
      </c>
      <c r="H97" s="396">
        <v>15</v>
      </c>
      <c r="I97" s="369"/>
      <c r="J97" s="369" t="s">
        <v>1790</v>
      </c>
      <c r="K97" s="410" t="s">
        <v>652</v>
      </c>
      <c r="L97" s="396">
        <v>1</v>
      </c>
      <c r="M97" s="592"/>
      <c r="N97" s="257">
        <f>'[2]1.4 Septic'!$F$16</f>
        <v>298</v>
      </c>
      <c r="O97" s="257">
        <v>6.3689999999999998</v>
      </c>
      <c r="P97" s="590">
        <f>H97*2*L97*N97/O97</f>
        <v>1403.6740461610927</v>
      </c>
      <c r="Q97" s="258"/>
    </row>
    <row r="98" spans="1:17" ht="18" customHeight="1">
      <c r="A98" s="396">
        <f t="shared" si="16"/>
        <v>94</v>
      </c>
      <c r="B98" s="396">
        <v>520542</v>
      </c>
      <c r="C98" s="369" t="s">
        <v>844</v>
      </c>
      <c r="D98" s="369" t="s">
        <v>643</v>
      </c>
      <c r="E98" s="369" t="s">
        <v>644</v>
      </c>
      <c r="F98" s="369" t="s">
        <v>645</v>
      </c>
      <c r="G98" s="369" t="s">
        <v>845</v>
      </c>
      <c r="H98" s="396">
        <v>10</v>
      </c>
      <c r="I98" s="369"/>
      <c r="J98" s="369" t="s">
        <v>658</v>
      </c>
      <c r="K98" s="410" t="s">
        <v>649</v>
      </c>
      <c r="L98" s="396">
        <v>1</v>
      </c>
      <c r="M98" s="592"/>
      <c r="N98" s="257">
        <f>'[2]1.4 Septic'!$F$16</f>
        <v>298</v>
      </c>
      <c r="O98" s="257">
        <f t="shared" ref="O98:O99" si="27">$G$492</f>
        <v>37.64</v>
      </c>
      <c r="P98" s="258"/>
      <c r="Q98" s="590">
        <f t="shared" ref="Q98:Q99" si="28">H98*2*L98*N98/O98</f>
        <v>158.3421891604676</v>
      </c>
    </row>
    <row r="99" spans="1:17" ht="18" customHeight="1">
      <c r="A99" s="396">
        <f t="shared" si="16"/>
        <v>95</v>
      </c>
      <c r="B99" s="396">
        <v>520546</v>
      </c>
      <c r="C99" s="369" t="s">
        <v>846</v>
      </c>
      <c r="D99" s="369" t="s">
        <v>672</v>
      </c>
      <c r="E99" s="369" t="s">
        <v>644</v>
      </c>
      <c r="F99" s="369" t="s">
        <v>645</v>
      </c>
      <c r="G99" s="369" t="s">
        <v>847</v>
      </c>
      <c r="H99" s="396">
        <v>5</v>
      </c>
      <c r="I99" s="369"/>
      <c r="J99" s="369" t="s">
        <v>695</v>
      </c>
      <c r="K99" s="410" t="s">
        <v>655</v>
      </c>
      <c r="L99" s="396">
        <v>1</v>
      </c>
      <c r="M99" s="592"/>
      <c r="N99" s="257">
        <f>'[2]1.4 Septic'!$F$16</f>
        <v>298</v>
      </c>
      <c r="O99" s="257">
        <f t="shared" si="27"/>
        <v>37.64</v>
      </c>
      <c r="P99" s="258"/>
      <c r="Q99" s="590">
        <f t="shared" si="28"/>
        <v>79.171094580233799</v>
      </c>
    </row>
    <row r="100" spans="1:17" ht="18" customHeight="1">
      <c r="A100" s="396">
        <f t="shared" si="16"/>
        <v>96</v>
      </c>
      <c r="B100" s="396">
        <v>520548</v>
      </c>
      <c r="C100" s="369" t="s">
        <v>848</v>
      </c>
      <c r="D100" s="369" t="s">
        <v>643</v>
      </c>
      <c r="E100" s="369" t="s">
        <v>644</v>
      </c>
      <c r="F100" s="369" t="s">
        <v>645</v>
      </c>
      <c r="G100" s="369" t="s">
        <v>849</v>
      </c>
      <c r="H100" s="396">
        <v>8</v>
      </c>
      <c r="I100" s="369"/>
      <c r="J100" s="369" t="s">
        <v>1790</v>
      </c>
      <c r="K100" s="410" t="s">
        <v>652</v>
      </c>
      <c r="L100" s="396">
        <v>2</v>
      </c>
      <c r="M100" s="592"/>
      <c r="N100" s="257">
        <f>'[2]1.4 Septic'!$F$16</f>
        <v>298</v>
      </c>
      <c r="O100" s="257">
        <v>6.3689999999999998</v>
      </c>
      <c r="P100" s="590">
        <f>H100*2*L100*N100/O100</f>
        <v>1497.2523159051657</v>
      </c>
      <c r="Q100" s="258"/>
    </row>
    <row r="101" spans="1:17" ht="18" customHeight="1">
      <c r="A101" s="396">
        <f t="shared" si="16"/>
        <v>97</v>
      </c>
      <c r="B101" s="396">
        <v>520552</v>
      </c>
      <c r="C101" s="369" t="s">
        <v>850</v>
      </c>
      <c r="D101" s="369" t="s">
        <v>672</v>
      </c>
      <c r="E101" s="369" t="s">
        <v>644</v>
      </c>
      <c r="F101" s="369" t="s">
        <v>645</v>
      </c>
      <c r="G101" s="596" t="s">
        <v>851</v>
      </c>
      <c r="H101" s="396">
        <v>5</v>
      </c>
      <c r="I101" s="369"/>
      <c r="J101" s="369" t="s">
        <v>658</v>
      </c>
      <c r="K101" s="410" t="s">
        <v>655</v>
      </c>
      <c r="L101" s="396">
        <v>1</v>
      </c>
      <c r="M101" s="592"/>
      <c r="N101" s="257">
        <f>'[2]1.4 Septic'!$F$16</f>
        <v>298</v>
      </c>
      <c r="O101" s="257">
        <f t="shared" ref="O101:O102" si="29">$G$492</f>
        <v>37.64</v>
      </c>
      <c r="P101" s="258"/>
      <c r="Q101" s="590">
        <f t="shared" ref="Q101:Q102" si="30">H101*2*L101*N101/O101</f>
        <v>79.171094580233799</v>
      </c>
    </row>
    <row r="102" spans="1:17" ht="18" customHeight="1">
      <c r="A102" s="396">
        <f t="shared" si="16"/>
        <v>98</v>
      </c>
      <c r="B102" s="396">
        <v>520555</v>
      </c>
      <c r="C102" s="369" t="s">
        <v>852</v>
      </c>
      <c r="D102" s="369" t="s">
        <v>672</v>
      </c>
      <c r="E102" s="369" t="s">
        <v>644</v>
      </c>
      <c r="F102" s="369" t="s">
        <v>645</v>
      </c>
      <c r="G102" s="369" t="s">
        <v>853</v>
      </c>
      <c r="H102" s="396">
        <v>30</v>
      </c>
      <c r="I102" s="369"/>
      <c r="J102" s="369" t="s">
        <v>658</v>
      </c>
      <c r="K102" s="410" t="s">
        <v>649</v>
      </c>
      <c r="L102" s="396">
        <v>1</v>
      </c>
      <c r="M102" s="592"/>
      <c r="N102" s="257">
        <f>'[2]1.4 Septic'!$F$16</f>
        <v>298</v>
      </c>
      <c r="O102" s="257">
        <f t="shared" si="29"/>
        <v>37.64</v>
      </c>
      <c r="P102" s="258"/>
      <c r="Q102" s="590">
        <f t="shared" si="30"/>
        <v>475.02656748140276</v>
      </c>
    </row>
    <row r="103" spans="1:17" ht="18" customHeight="1">
      <c r="A103" s="396">
        <f t="shared" si="16"/>
        <v>99</v>
      </c>
      <c r="B103" s="396">
        <v>520562</v>
      </c>
      <c r="C103" s="369" t="s">
        <v>854</v>
      </c>
      <c r="D103" s="369" t="s">
        <v>643</v>
      </c>
      <c r="E103" s="369" t="s">
        <v>644</v>
      </c>
      <c r="F103" s="369" t="s">
        <v>645</v>
      </c>
      <c r="G103" s="369" t="s">
        <v>855</v>
      </c>
      <c r="H103" s="396">
        <v>8</v>
      </c>
      <c r="I103" s="369"/>
      <c r="J103" s="369" t="s">
        <v>1790</v>
      </c>
      <c r="K103" s="410" t="s">
        <v>652</v>
      </c>
      <c r="L103" s="396">
        <v>2</v>
      </c>
      <c r="M103" s="592"/>
      <c r="N103" s="257">
        <f>'[2]1.4 Septic'!$F$16</f>
        <v>298</v>
      </c>
      <c r="O103" s="257">
        <v>6.3689999999999998</v>
      </c>
      <c r="P103" s="590">
        <f>H103*2*L103*N103/O103</f>
        <v>1497.2523159051657</v>
      </c>
      <c r="Q103" s="258"/>
    </row>
    <row r="104" spans="1:17" ht="18" customHeight="1">
      <c r="A104" s="396">
        <f t="shared" si="16"/>
        <v>100</v>
      </c>
      <c r="B104" s="396">
        <v>520563</v>
      </c>
      <c r="C104" s="369" t="s">
        <v>856</v>
      </c>
      <c r="D104" s="369" t="s">
        <v>643</v>
      </c>
      <c r="E104" s="369" t="s">
        <v>644</v>
      </c>
      <c r="F104" s="369" t="s">
        <v>645</v>
      </c>
      <c r="G104" s="369" t="s">
        <v>857</v>
      </c>
      <c r="H104" s="396">
        <v>10</v>
      </c>
      <c r="I104" s="369"/>
      <c r="J104" s="369" t="s">
        <v>695</v>
      </c>
      <c r="K104" s="410" t="s">
        <v>655</v>
      </c>
      <c r="L104" s="396">
        <v>2</v>
      </c>
      <c r="M104" s="592"/>
      <c r="N104" s="257">
        <f>'[2]1.4 Septic'!$F$16</f>
        <v>298</v>
      </c>
      <c r="O104" s="257">
        <f>$G$492</f>
        <v>37.64</v>
      </c>
      <c r="P104" s="258"/>
      <c r="Q104" s="590">
        <f>H104*2*L104*N104/O104</f>
        <v>316.6843783209352</v>
      </c>
    </row>
    <row r="105" spans="1:17" ht="18" customHeight="1">
      <c r="A105" s="396">
        <f t="shared" si="16"/>
        <v>101</v>
      </c>
      <c r="B105" s="396">
        <v>520566</v>
      </c>
      <c r="C105" s="369" t="s">
        <v>858</v>
      </c>
      <c r="D105" s="369" t="s">
        <v>643</v>
      </c>
      <c r="E105" s="369" t="s">
        <v>644</v>
      </c>
      <c r="F105" s="369" t="s">
        <v>645</v>
      </c>
      <c r="G105" s="369" t="s">
        <v>859</v>
      </c>
      <c r="H105" s="396">
        <v>13</v>
      </c>
      <c r="I105" s="369"/>
      <c r="J105" s="369" t="s">
        <v>1790</v>
      </c>
      <c r="K105" s="410" t="s">
        <v>652</v>
      </c>
      <c r="L105" s="396">
        <v>2</v>
      </c>
      <c r="M105" s="592"/>
      <c r="N105" s="257">
        <f>'[2]1.4 Septic'!$F$16</f>
        <v>298</v>
      </c>
      <c r="O105" s="257">
        <v>6.3689999999999998</v>
      </c>
      <c r="P105" s="590">
        <f t="shared" ref="P105:P106" si="31">H105*2*L105*N105/O105</f>
        <v>2433.0350133458942</v>
      </c>
      <c r="Q105" s="258"/>
    </row>
    <row r="106" spans="1:17" ht="18" customHeight="1">
      <c r="A106" s="396">
        <f t="shared" si="16"/>
        <v>102</v>
      </c>
      <c r="B106" s="396">
        <v>520567</v>
      </c>
      <c r="C106" s="369" t="s">
        <v>860</v>
      </c>
      <c r="D106" s="369" t="s">
        <v>643</v>
      </c>
      <c r="E106" s="369" t="s">
        <v>644</v>
      </c>
      <c r="F106" s="369" t="s">
        <v>645</v>
      </c>
      <c r="G106" s="369" t="s">
        <v>861</v>
      </c>
      <c r="H106" s="396">
        <v>5</v>
      </c>
      <c r="I106" s="369"/>
      <c r="J106" s="369" t="s">
        <v>1790</v>
      </c>
      <c r="K106" s="410" t="s">
        <v>652</v>
      </c>
      <c r="L106" s="396">
        <v>2</v>
      </c>
      <c r="M106" s="592"/>
      <c r="N106" s="257">
        <f>'[2]1.4 Septic'!$F$16</f>
        <v>298</v>
      </c>
      <c r="O106" s="257">
        <v>6.3689999999999998</v>
      </c>
      <c r="P106" s="590">
        <f t="shared" si="31"/>
        <v>935.78269744072861</v>
      </c>
      <c r="Q106" s="258"/>
    </row>
    <row r="107" spans="1:17" ht="18" customHeight="1">
      <c r="A107" s="396">
        <f t="shared" si="16"/>
        <v>103</v>
      </c>
      <c r="B107" s="396">
        <v>520568</v>
      </c>
      <c r="C107" s="369" t="s">
        <v>862</v>
      </c>
      <c r="D107" s="369" t="s">
        <v>643</v>
      </c>
      <c r="E107" s="369" t="s">
        <v>644</v>
      </c>
      <c r="F107" s="369" t="s">
        <v>645</v>
      </c>
      <c r="G107" s="369" t="s">
        <v>812</v>
      </c>
      <c r="H107" s="396">
        <v>7</v>
      </c>
      <c r="I107" s="369"/>
      <c r="J107" s="369" t="s">
        <v>718</v>
      </c>
      <c r="K107" s="410" t="s">
        <v>649</v>
      </c>
      <c r="L107" s="396">
        <v>1</v>
      </c>
      <c r="M107" s="592"/>
      <c r="N107" s="257">
        <f>'[2]1.4 Septic'!$F$16</f>
        <v>298</v>
      </c>
      <c r="O107" s="595">
        <f>$G$491</f>
        <v>32.435000000000002</v>
      </c>
      <c r="P107" s="258"/>
      <c r="Q107" s="590">
        <f t="shared" ref="Q107:Q109" si="32">H107*2*L107*N107/O107</f>
        <v>128.62648373670416</v>
      </c>
    </row>
    <row r="108" spans="1:17" ht="18" customHeight="1">
      <c r="A108" s="396">
        <f t="shared" si="16"/>
        <v>104</v>
      </c>
      <c r="B108" s="396">
        <v>520569</v>
      </c>
      <c r="C108" s="369" t="s">
        <v>863</v>
      </c>
      <c r="D108" s="369" t="s">
        <v>643</v>
      </c>
      <c r="E108" s="369" t="s">
        <v>644</v>
      </c>
      <c r="F108" s="369" t="s">
        <v>645</v>
      </c>
      <c r="G108" s="369" t="s">
        <v>864</v>
      </c>
      <c r="H108" s="396">
        <v>7</v>
      </c>
      <c r="I108" s="369"/>
      <c r="J108" s="369" t="s">
        <v>658</v>
      </c>
      <c r="K108" s="410" t="s">
        <v>649</v>
      </c>
      <c r="L108" s="396">
        <v>1</v>
      </c>
      <c r="M108" s="592"/>
      <c r="N108" s="257">
        <f>'[2]1.4 Septic'!$F$16</f>
        <v>298</v>
      </c>
      <c r="O108" s="257">
        <f>$G$492</f>
        <v>37.64</v>
      </c>
      <c r="P108" s="258"/>
      <c r="Q108" s="590">
        <f t="shared" si="32"/>
        <v>110.83953241232732</v>
      </c>
    </row>
    <row r="109" spans="1:17" ht="18" customHeight="1">
      <c r="A109" s="396">
        <f t="shared" si="16"/>
        <v>105</v>
      </c>
      <c r="B109" s="396">
        <v>520585</v>
      </c>
      <c r="C109" s="369" t="s">
        <v>865</v>
      </c>
      <c r="D109" s="369" t="s">
        <v>672</v>
      </c>
      <c r="E109" s="369" t="s">
        <v>644</v>
      </c>
      <c r="F109" s="369" t="s">
        <v>645</v>
      </c>
      <c r="G109" s="369" t="s">
        <v>866</v>
      </c>
      <c r="H109" s="396">
        <v>12</v>
      </c>
      <c r="I109" s="369"/>
      <c r="J109" s="369" t="s">
        <v>684</v>
      </c>
      <c r="K109" s="410" t="s">
        <v>649</v>
      </c>
      <c r="L109" s="396">
        <v>1</v>
      </c>
      <c r="M109" s="592"/>
      <c r="N109" s="257">
        <f>'[2]1.4 Septic'!$F$16</f>
        <v>298</v>
      </c>
      <c r="O109" s="257">
        <f>$G$498</f>
        <v>17.77</v>
      </c>
      <c r="P109" s="258"/>
      <c r="Q109" s="590">
        <f t="shared" si="32"/>
        <v>402.47608328643781</v>
      </c>
    </row>
    <row r="110" spans="1:17" ht="18" customHeight="1">
      <c r="A110" s="396">
        <f t="shared" si="16"/>
        <v>106</v>
      </c>
      <c r="B110" s="396">
        <v>530594</v>
      </c>
      <c r="C110" s="369" t="s">
        <v>867</v>
      </c>
      <c r="D110" s="369" t="s">
        <v>672</v>
      </c>
      <c r="E110" s="369" t="s">
        <v>644</v>
      </c>
      <c r="F110" s="369" t="s">
        <v>645</v>
      </c>
      <c r="G110" s="369" t="s">
        <v>868</v>
      </c>
      <c r="H110" s="396">
        <v>5</v>
      </c>
      <c r="I110" s="369"/>
      <c r="J110" s="369" t="s">
        <v>718</v>
      </c>
      <c r="K110" s="410" t="s">
        <v>655</v>
      </c>
      <c r="L110" s="396">
        <v>2</v>
      </c>
      <c r="M110" s="592"/>
      <c r="N110" s="257">
        <f>'[2]1.4 Septic'!$F$16</f>
        <v>298</v>
      </c>
      <c r="O110" s="595">
        <f>$G$491</f>
        <v>32.435000000000002</v>
      </c>
      <c r="P110" s="258"/>
      <c r="Q110" s="590">
        <f>H110*2*L110*N110/O110</f>
        <v>183.75211962386311</v>
      </c>
    </row>
    <row r="111" spans="1:17" ht="18" customHeight="1">
      <c r="A111" s="396">
        <f t="shared" si="16"/>
        <v>107</v>
      </c>
      <c r="B111" s="396">
        <v>530606</v>
      </c>
      <c r="C111" s="369" t="s">
        <v>869</v>
      </c>
      <c r="D111" s="369" t="s">
        <v>672</v>
      </c>
      <c r="E111" s="369" t="s">
        <v>644</v>
      </c>
      <c r="F111" s="369" t="s">
        <v>645</v>
      </c>
      <c r="G111" s="367" t="s">
        <v>870</v>
      </c>
      <c r="H111" s="396">
        <v>4.0999999999999996</v>
      </c>
      <c r="I111" s="369"/>
      <c r="J111" s="369" t="s">
        <v>648</v>
      </c>
      <c r="K111" s="410" t="s">
        <v>692</v>
      </c>
      <c r="L111" s="396">
        <v>1</v>
      </c>
      <c r="M111" s="592"/>
      <c r="N111" s="257">
        <f>'[2]1.4 Septic'!$F$16</f>
        <v>298</v>
      </c>
      <c r="O111" s="257">
        <f>$G$487</f>
        <v>14.763</v>
      </c>
      <c r="P111" s="258"/>
      <c r="Q111" s="590">
        <f>H111*2*L111*N111/O111</f>
        <v>165.52191289033394</v>
      </c>
    </row>
    <row r="112" spans="1:17" ht="18" customHeight="1">
      <c r="A112" s="396">
        <f t="shared" si="16"/>
        <v>108</v>
      </c>
      <c r="B112" s="396">
        <v>530616</v>
      </c>
      <c r="C112" s="369" t="s">
        <v>871</v>
      </c>
      <c r="D112" s="369" t="s">
        <v>672</v>
      </c>
      <c r="E112" s="369" t="s">
        <v>644</v>
      </c>
      <c r="F112" s="369" t="s">
        <v>645</v>
      </c>
      <c r="G112" s="367" t="s">
        <v>872</v>
      </c>
      <c r="H112" s="396">
        <v>8</v>
      </c>
      <c r="I112" s="369"/>
      <c r="J112" s="369" t="s">
        <v>658</v>
      </c>
      <c r="K112" s="410" t="s">
        <v>776</v>
      </c>
      <c r="L112" s="396">
        <v>1</v>
      </c>
      <c r="M112" s="592"/>
      <c r="N112" s="257">
        <f>'[2]1.4 Septic'!$F$16</f>
        <v>298</v>
      </c>
      <c r="O112" s="257">
        <f>$G$492</f>
        <v>37.64</v>
      </c>
      <c r="P112" s="258"/>
      <c r="Q112" s="590">
        <f t="shared" ref="Q112:Q116" si="33">H112*2*L112*N112/O112</f>
        <v>126.67375132837407</v>
      </c>
    </row>
    <row r="113" spans="1:17" ht="18" customHeight="1">
      <c r="A113" s="396">
        <f t="shared" si="16"/>
        <v>109</v>
      </c>
      <c r="B113" s="396">
        <v>530633</v>
      </c>
      <c r="C113" s="369" t="s">
        <v>873</v>
      </c>
      <c r="D113" s="369" t="s">
        <v>643</v>
      </c>
      <c r="E113" s="369" t="s">
        <v>644</v>
      </c>
      <c r="F113" s="369" t="s">
        <v>645</v>
      </c>
      <c r="G113" s="369" t="s">
        <v>874</v>
      </c>
      <c r="H113" s="396">
        <v>7</v>
      </c>
      <c r="I113" s="369"/>
      <c r="J113" s="369" t="s">
        <v>715</v>
      </c>
      <c r="K113" s="410" t="s">
        <v>649</v>
      </c>
      <c r="L113" s="396">
        <v>1</v>
      </c>
      <c r="M113" s="592"/>
      <c r="N113" s="257">
        <f>'[2]1.4 Septic'!$F$16</f>
        <v>298</v>
      </c>
      <c r="O113" s="595">
        <f>$G$491</f>
        <v>32.435000000000002</v>
      </c>
      <c r="P113" s="258"/>
      <c r="Q113" s="590">
        <f t="shared" si="33"/>
        <v>128.62648373670416</v>
      </c>
    </row>
    <row r="114" spans="1:17" ht="18" customHeight="1">
      <c r="A114" s="396">
        <f t="shared" si="16"/>
        <v>110</v>
      </c>
      <c r="B114" s="396">
        <v>530644</v>
      </c>
      <c r="C114" s="369" t="s">
        <v>875</v>
      </c>
      <c r="D114" s="369" t="s">
        <v>672</v>
      </c>
      <c r="E114" s="369" t="s">
        <v>644</v>
      </c>
      <c r="F114" s="369" t="s">
        <v>645</v>
      </c>
      <c r="G114" s="369" t="s">
        <v>876</v>
      </c>
      <c r="H114" s="396">
        <v>8</v>
      </c>
      <c r="I114" s="369"/>
      <c r="J114" s="369" t="s">
        <v>658</v>
      </c>
      <c r="K114" s="410" t="s">
        <v>655</v>
      </c>
      <c r="L114" s="396">
        <v>1</v>
      </c>
      <c r="M114" s="592"/>
      <c r="N114" s="257">
        <f>'[2]1.4 Septic'!$F$16</f>
        <v>298</v>
      </c>
      <c r="O114" s="257">
        <f t="shared" ref="O114:O116" si="34">$G$492</f>
        <v>37.64</v>
      </c>
      <c r="P114" s="258"/>
      <c r="Q114" s="590">
        <f t="shared" si="33"/>
        <v>126.67375132837407</v>
      </c>
    </row>
    <row r="115" spans="1:17" ht="18" customHeight="1">
      <c r="A115" s="396">
        <f t="shared" si="16"/>
        <v>111</v>
      </c>
      <c r="B115" s="396">
        <v>530651</v>
      </c>
      <c r="C115" s="369" t="s">
        <v>877</v>
      </c>
      <c r="D115" s="369" t="s">
        <v>643</v>
      </c>
      <c r="E115" s="369" t="s">
        <v>644</v>
      </c>
      <c r="F115" s="369" t="s">
        <v>645</v>
      </c>
      <c r="G115" s="367" t="s">
        <v>746</v>
      </c>
      <c r="H115" s="396">
        <v>7</v>
      </c>
      <c r="I115" s="369"/>
      <c r="J115" s="369" t="s">
        <v>695</v>
      </c>
      <c r="K115" s="410" t="s">
        <v>649</v>
      </c>
      <c r="L115" s="396">
        <v>2</v>
      </c>
      <c r="M115" s="592"/>
      <c r="N115" s="257">
        <f>'[2]1.4 Septic'!$F$16</f>
        <v>298</v>
      </c>
      <c r="O115" s="257">
        <f t="shared" si="34"/>
        <v>37.64</v>
      </c>
      <c r="P115" s="258"/>
      <c r="Q115" s="590">
        <f t="shared" si="33"/>
        <v>221.67906482465463</v>
      </c>
    </row>
    <row r="116" spans="1:17" ht="18" customHeight="1">
      <c r="A116" s="396">
        <f t="shared" si="16"/>
        <v>112</v>
      </c>
      <c r="B116" s="396">
        <v>530663</v>
      </c>
      <c r="C116" s="369" t="s">
        <v>878</v>
      </c>
      <c r="D116" s="369" t="s">
        <v>643</v>
      </c>
      <c r="E116" s="369" t="s">
        <v>644</v>
      </c>
      <c r="F116" s="369" t="s">
        <v>645</v>
      </c>
      <c r="G116" s="369" t="s">
        <v>879</v>
      </c>
      <c r="H116" s="396">
        <v>4</v>
      </c>
      <c r="I116" s="369"/>
      <c r="J116" s="369" t="s">
        <v>658</v>
      </c>
      <c r="K116" s="410" t="s">
        <v>649</v>
      </c>
      <c r="L116" s="396">
        <v>1</v>
      </c>
      <c r="M116" s="592"/>
      <c r="N116" s="257">
        <f>'[2]1.4 Septic'!$F$16</f>
        <v>298</v>
      </c>
      <c r="O116" s="257">
        <f t="shared" si="34"/>
        <v>37.64</v>
      </c>
      <c r="P116" s="258"/>
      <c r="Q116" s="590">
        <f t="shared" si="33"/>
        <v>63.336875664187033</v>
      </c>
    </row>
    <row r="117" spans="1:17" ht="18" customHeight="1">
      <c r="A117" s="396">
        <f t="shared" si="16"/>
        <v>113</v>
      </c>
      <c r="B117" s="396">
        <v>530682</v>
      </c>
      <c r="C117" s="369" t="s">
        <v>880</v>
      </c>
      <c r="D117" s="369" t="s">
        <v>643</v>
      </c>
      <c r="E117" s="369" t="s">
        <v>644</v>
      </c>
      <c r="F117" s="369" t="s">
        <v>645</v>
      </c>
      <c r="G117" s="369" t="s">
        <v>881</v>
      </c>
      <c r="H117" s="396">
        <v>10</v>
      </c>
      <c r="I117" s="369"/>
      <c r="J117" s="369" t="s">
        <v>1790</v>
      </c>
      <c r="K117" s="410" t="s">
        <v>652</v>
      </c>
      <c r="L117" s="396">
        <v>1</v>
      </c>
      <c r="M117" s="592"/>
      <c r="N117" s="257">
        <f>'[2]1.4 Septic'!$F$16</f>
        <v>298</v>
      </c>
      <c r="O117" s="257">
        <v>6.3689999999999998</v>
      </c>
      <c r="P117" s="590">
        <f>H117*2*L117*N117/O117</f>
        <v>935.78269744072861</v>
      </c>
      <c r="Q117" s="258"/>
    </row>
    <row r="118" spans="1:17" ht="18" customHeight="1">
      <c r="A118" s="396">
        <f t="shared" si="16"/>
        <v>114</v>
      </c>
      <c r="B118" s="396">
        <v>530687</v>
      </c>
      <c r="C118" s="369" t="s">
        <v>882</v>
      </c>
      <c r="D118" s="369" t="s">
        <v>643</v>
      </c>
      <c r="E118" s="369" t="s">
        <v>644</v>
      </c>
      <c r="F118" s="369" t="s">
        <v>645</v>
      </c>
      <c r="G118" s="369" t="s">
        <v>883</v>
      </c>
      <c r="H118" s="396">
        <v>9</v>
      </c>
      <c r="I118" s="369"/>
      <c r="J118" s="369" t="s">
        <v>695</v>
      </c>
      <c r="K118" s="410" t="s">
        <v>655</v>
      </c>
      <c r="L118" s="396">
        <v>2</v>
      </c>
      <c r="M118" s="592"/>
      <c r="N118" s="257">
        <f>'[2]1.4 Septic'!$F$16</f>
        <v>298</v>
      </c>
      <c r="O118" s="257">
        <f>$G$492</f>
        <v>37.64</v>
      </c>
      <c r="P118" s="258"/>
      <c r="Q118" s="590">
        <f t="shared" ref="Q118:Q121" si="35">H118*2*L118*N118/O118</f>
        <v>285.01594048884164</v>
      </c>
    </row>
    <row r="119" spans="1:17" ht="18" customHeight="1">
      <c r="A119" s="396">
        <f t="shared" si="16"/>
        <v>115</v>
      </c>
      <c r="B119" s="396">
        <v>530713</v>
      </c>
      <c r="C119" s="369" t="s">
        <v>884</v>
      </c>
      <c r="D119" s="369" t="s">
        <v>672</v>
      </c>
      <c r="E119" s="369" t="s">
        <v>644</v>
      </c>
      <c r="F119" s="369" t="s">
        <v>645</v>
      </c>
      <c r="G119" s="369" t="s">
        <v>885</v>
      </c>
      <c r="H119" s="396">
        <v>3</v>
      </c>
      <c r="I119" s="369"/>
      <c r="J119" s="369" t="s">
        <v>695</v>
      </c>
      <c r="K119" s="410" t="s">
        <v>655</v>
      </c>
      <c r="L119" s="396">
        <v>2</v>
      </c>
      <c r="M119" s="592"/>
      <c r="N119" s="257">
        <f>'[2]1.4 Septic'!$F$16</f>
        <v>298</v>
      </c>
      <c r="O119" s="257">
        <f t="shared" ref="O119:O120" si="36">$G$492</f>
        <v>37.64</v>
      </c>
      <c r="P119" s="258"/>
      <c r="Q119" s="590">
        <f t="shared" si="35"/>
        <v>95.00531349628055</v>
      </c>
    </row>
    <row r="120" spans="1:17" ht="18" customHeight="1">
      <c r="A120" s="396">
        <f t="shared" si="16"/>
        <v>116</v>
      </c>
      <c r="B120" s="396">
        <v>530724</v>
      </c>
      <c r="C120" s="369" t="s">
        <v>886</v>
      </c>
      <c r="D120" s="369" t="s">
        <v>672</v>
      </c>
      <c r="E120" s="369" t="s">
        <v>644</v>
      </c>
      <c r="F120" s="369" t="s">
        <v>645</v>
      </c>
      <c r="G120" s="369" t="s">
        <v>887</v>
      </c>
      <c r="H120" s="396">
        <v>10</v>
      </c>
      <c r="I120" s="369"/>
      <c r="J120" s="369" t="s">
        <v>695</v>
      </c>
      <c r="K120" s="410" t="s">
        <v>649</v>
      </c>
      <c r="L120" s="396">
        <v>1</v>
      </c>
      <c r="M120" s="592"/>
      <c r="N120" s="257">
        <f>'[2]1.4 Septic'!$F$16</f>
        <v>298</v>
      </c>
      <c r="O120" s="257">
        <f t="shared" si="36"/>
        <v>37.64</v>
      </c>
      <c r="P120" s="258"/>
      <c r="Q120" s="590">
        <f t="shared" si="35"/>
        <v>158.3421891604676</v>
      </c>
    </row>
    <row r="121" spans="1:17" ht="18" customHeight="1">
      <c r="A121" s="396">
        <f t="shared" si="16"/>
        <v>117</v>
      </c>
      <c r="B121" s="396">
        <v>530726</v>
      </c>
      <c r="C121" s="369" t="s">
        <v>888</v>
      </c>
      <c r="D121" s="369" t="s">
        <v>643</v>
      </c>
      <c r="E121" s="369" t="s">
        <v>644</v>
      </c>
      <c r="F121" s="369" t="s">
        <v>645</v>
      </c>
      <c r="G121" s="369" t="s">
        <v>889</v>
      </c>
      <c r="H121" s="396">
        <v>25</v>
      </c>
      <c r="I121" s="369"/>
      <c r="J121" s="369" t="s">
        <v>684</v>
      </c>
      <c r="K121" s="410" t="s">
        <v>649</v>
      </c>
      <c r="L121" s="396">
        <v>1</v>
      </c>
      <c r="M121" s="592"/>
      <c r="N121" s="257">
        <f>'[2]1.4 Septic'!$F$16</f>
        <v>298</v>
      </c>
      <c r="O121" s="257">
        <f>$G$498</f>
        <v>17.77</v>
      </c>
      <c r="P121" s="258"/>
      <c r="Q121" s="590">
        <f t="shared" si="35"/>
        <v>838.49184018007884</v>
      </c>
    </row>
    <row r="122" spans="1:17" ht="18" customHeight="1">
      <c r="A122" s="396">
        <f t="shared" si="16"/>
        <v>118</v>
      </c>
      <c r="B122" s="396">
        <v>530737</v>
      </c>
      <c r="C122" s="369" t="s">
        <v>890</v>
      </c>
      <c r="D122" s="369" t="s">
        <v>672</v>
      </c>
      <c r="E122" s="369" t="s">
        <v>644</v>
      </c>
      <c r="F122" s="369" t="s">
        <v>645</v>
      </c>
      <c r="G122" s="369" t="s">
        <v>724</v>
      </c>
      <c r="H122" s="396">
        <v>12</v>
      </c>
      <c r="I122" s="369"/>
      <c r="J122" s="369" t="s">
        <v>1790</v>
      </c>
      <c r="K122" s="410" t="s">
        <v>652</v>
      </c>
      <c r="L122" s="396">
        <v>2</v>
      </c>
      <c r="M122" s="592"/>
      <c r="N122" s="257">
        <f>'[2]1.4 Septic'!$F$16</f>
        <v>298</v>
      </c>
      <c r="O122" s="257">
        <v>6.3689999999999998</v>
      </c>
      <c r="P122" s="590">
        <f>H122*2*L122*N122/O122</f>
        <v>2245.8784738577488</v>
      </c>
      <c r="Q122" s="258"/>
    </row>
    <row r="123" spans="1:17" ht="18" customHeight="1">
      <c r="A123" s="396">
        <f t="shared" si="16"/>
        <v>119</v>
      </c>
      <c r="B123" s="396">
        <v>530744</v>
      </c>
      <c r="C123" s="369" t="s">
        <v>891</v>
      </c>
      <c r="D123" s="369" t="s">
        <v>643</v>
      </c>
      <c r="E123" s="369" t="s">
        <v>644</v>
      </c>
      <c r="F123" s="369" t="s">
        <v>645</v>
      </c>
      <c r="G123" s="369" t="s">
        <v>892</v>
      </c>
      <c r="H123" s="396">
        <v>7</v>
      </c>
      <c r="I123" s="369"/>
      <c r="J123" s="369" t="s">
        <v>658</v>
      </c>
      <c r="K123" s="410" t="s">
        <v>649</v>
      </c>
      <c r="L123" s="396">
        <v>1</v>
      </c>
      <c r="M123" s="592"/>
      <c r="N123" s="257">
        <f>'[2]1.4 Septic'!$F$16</f>
        <v>298</v>
      </c>
      <c r="O123" s="257">
        <f t="shared" ref="O123:O126" si="37">$G$492</f>
        <v>37.64</v>
      </c>
      <c r="P123" s="258"/>
      <c r="Q123" s="590">
        <f t="shared" ref="Q123:Q126" si="38">H123*2*L123*N123/O123</f>
        <v>110.83953241232732</v>
      </c>
    </row>
    <row r="124" spans="1:17" ht="18" customHeight="1">
      <c r="A124" s="396">
        <f t="shared" si="16"/>
        <v>120</v>
      </c>
      <c r="B124" s="396">
        <v>530745</v>
      </c>
      <c r="C124" s="369" t="s">
        <v>893</v>
      </c>
      <c r="D124" s="369" t="s">
        <v>672</v>
      </c>
      <c r="E124" s="369" t="s">
        <v>644</v>
      </c>
      <c r="F124" s="369" t="s">
        <v>645</v>
      </c>
      <c r="G124" s="369" t="s">
        <v>894</v>
      </c>
      <c r="H124" s="396">
        <v>4</v>
      </c>
      <c r="I124" s="369"/>
      <c r="J124" s="369" t="s">
        <v>695</v>
      </c>
      <c r="K124" s="410" t="s">
        <v>649</v>
      </c>
      <c r="L124" s="396">
        <v>1</v>
      </c>
      <c r="M124" s="592"/>
      <c r="N124" s="257">
        <f>'[2]1.4 Septic'!$F$16</f>
        <v>298</v>
      </c>
      <c r="O124" s="257">
        <f t="shared" si="37"/>
        <v>37.64</v>
      </c>
      <c r="P124" s="258"/>
      <c r="Q124" s="590">
        <f t="shared" si="38"/>
        <v>63.336875664187033</v>
      </c>
    </row>
    <row r="125" spans="1:17" ht="18" customHeight="1">
      <c r="A125" s="396">
        <f t="shared" si="16"/>
        <v>121</v>
      </c>
      <c r="B125" s="396">
        <v>530749</v>
      </c>
      <c r="C125" s="369" t="s">
        <v>895</v>
      </c>
      <c r="D125" s="369" t="s">
        <v>643</v>
      </c>
      <c r="E125" s="369" t="s">
        <v>644</v>
      </c>
      <c r="F125" s="369" t="s">
        <v>645</v>
      </c>
      <c r="G125" s="367" t="s">
        <v>746</v>
      </c>
      <c r="H125" s="396">
        <v>14</v>
      </c>
      <c r="I125" s="369"/>
      <c r="J125" s="369" t="s">
        <v>658</v>
      </c>
      <c r="K125" s="410" t="s">
        <v>655</v>
      </c>
      <c r="L125" s="396">
        <v>1</v>
      </c>
      <c r="M125" s="592"/>
      <c r="N125" s="257">
        <f>'[2]1.4 Septic'!$F$16</f>
        <v>298</v>
      </c>
      <c r="O125" s="257">
        <f t="shared" si="37"/>
        <v>37.64</v>
      </c>
      <c r="P125" s="258"/>
      <c r="Q125" s="590">
        <f t="shared" si="38"/>
        <v>221.67906482465463</v>
      </c>
    </row>
    <row r="126" spans="1:17" ht="18" customHeight="1">
      <c r="A126" s="396">
        <f t="shared" si="16"/>
        <v>122</v>
      </c>
      <c r="B126" s="396">
        <v>530769</v>
      </c>
      <c r="C126" s="369" t="s">
        <v>896</v>
      </c>
      <c r="D126" s="369" t="s">
        <v>643</v>
      </c>
      <c r="E126" s="369" t="s">
        <v>644</v>
      </c>
      <c r="F126" s="369" t="s">
        <v>645</v>
      </c>
      <c r="G126" s="367" t="s">
        <v>746</v>
      </c>
      <c r="H126" s="396">
        <v>13</v>
      </c>
      <c r="I126" s="369"/>
      <c r="J126" s="369" t="s">
        <v>658</v>
      </c>
      <c r="K126" s="410" t="s">
        <v>649</v>
      </c>
      <c r="L126" s="396">
        <v>2</v>
      </c>
      <c r="M126" s="592"/>
      <c r="N126" s="257">
        <f>'[2]1.4 Septic'!$F$16</f>
        <v>298</v>
      </c>
      <c r="O126" s="257">
        <f t="shared" si="37"/>
        <v>37.64</v>
      </c>
      <c r="P126" s="258"/>
      <c r="Q126" s="590">
        <f t="shared" si="38"/>
        <v>411.6896918172157</v>
      </c>
    </row>
    <row r="127" spans="1:17" ht="18" customHeight="1">
      <c r="A127" s="396">
        <f t="shared" si="16"/>
        <v>123</v>
      </c>
      <c r="B127" s="396">
        <v>530776</v>
      </c>
      <c r="C127" s="369" t="s">
        <v>897</v>
      </c>
      <c r="D127" s="369" t="s">
        <v>643</v>
      </c>
      <c r="E127" s="369" t="s">
        <v>644</v>
      </c>
      <c r="F127" s="369" t="s">
        <v>645</v>
      </c>
      <c r="G127" s="369" t="s">
        <v>898</v>
      </c>
      <c r="H127" s="396">
        <v>5</v>
      </c>
      <c r="I127" s="369"/>
      <c r="J127" s="369" t="s">
        <v>689</v>
      </c>
      <c r="K127" s="410" t="s">
        <v>776</v>
      </c>
      <c r="L127" s="396">
        <v>2</v>
      </c>
      <c r="M127" s="592"/>
      <c r="N127" s="257">
        <f>'[2]1.4 Septic'!$F$16</f>
        <v>298</v>
      </c>
      <c r="O127" s="257">
        <f>$G$496</f>
        <v>13.795999999999999</v>
      </c>
      <c r="P127" s="258"/>
      <c r="Q127" s="590">
        <f>H127*2*L127*N127/O127</f>
        <v>432.00927805160916</v>
      </c>
    </row>
    <row r="128" spans="1:17" ht="18" customHeight="1">
      <c r="A128" s="396">
        <f t="shared" si="16"/>
        <v>124</v>
      </c>
      <c r="B128" s="396">
        <v>530777</v>
      </c>
      <c r="C128" s="369" t="s">
        <v>899</v>
      </c>
      <c r="D128" s="369" t="s">
        <v>672</v>
      </c>
      <c r="E128" s="369" t="s">
        <v>644</v>
      </c>
      <c r="F128" s="369" t="s">
        <v>645</v>
      </c>
      <c r="G128" s="369" t="s">
        <v>900</v>
      </c>
      <c r="H128" s="396">
        <v>3</v>
      </c>
      <c r="I128" s="369"/>
      <c r="J128" s="369" t="s">
        <v>658</v>
      </c>
      <c r="K128" s="410" t="s">
        <v>655</v>
      </c>
      <c r="L128" s="396">
        <v>2</v>
      </c>
      <c r="M128" s="592"/>
      <c r="N128" s="257">
        <f>'[2]1.4 Septic'!$F$16</f>
        <v>298</v>
      </c>
      <c r="O128" s="257">
        <f>$G$492</f>
        <v>37.64</v>
      </c>
      <c r="P128" s="258"/>
      <c r="Q128" s="590">
        <f>H128*2*L128*N128/O128</f>
        <v>95.00531349628055</v>
      </c>
    </row>
    <row r="129" spans="1:17" ht="18" customHeight="1">
      <c r="A129" s="396">
        <f t="shared" si="16"/>
        <v>125</v>
      </c>
      <c r="B129" s="396">
        <v>530784</v>
      </c>
      <c r="C129" s="369" t="s">
        <v>901</v>
      </c>
      <c r="D129" s="369" t="s">
        <v>643</v>
      </c>
      <c r="E129" s="369" t="s">
        <v>644</v>
      </c>
      <c r="F129" s="369" t="s">
        <v>645</v>
      </c>
      <c r="G129" s="369" t="s">
        <v>902</v>
      </c>
      <c r="H129" s="396">
        <v>8</v>
      </c>
      <c r="I129" s="369"/>
      <c r="J129" s="369" t="s">
        <v>1790</v>
      </c>
      <c r="K129" s="410" t="s">
        <v>652</v>
      </c>
      <c r="L129" s="396">
        <v>2</v>
      </c>
      <c r="M129" s="592"/>
      <c r="N129" s="257">
        <f>'[2]1.4 Septic'!$F$16</f>
        <v>298</v>
      </c>
      <c r="O129" s="257">
        <v>6.3689999999999998</v>
      </c>
      <c r="P129" s="590">
        <f>H129*2*L129*N129/O129</f>
        <v>1497.2523159051657</v>
      </c>
      <c r="Q129" s="258"/>
    </row>
    <row r="130" spans="1:17" ht="18" customHeight="1">
      <c r="A130" s="396">
        <f t="shared" si="16"/>
        <v>126</v>
      </c>
      <c r="B130" s="396">
        <v>530787</v>
      </c>
      <c r="C130" s="369" t="s">
        <v>903</v>
      </c>
      <c r="D130" s="369" t="s">
        <v>672</v>
      </c>
      <c r="E130" s="369" t="s">
        <v>644</v>
      </c>
      <c r="F130" s="369" t="s">
        <v>645</v>
      </c>
      <c r="G130" s="596" t="s">
        <v>904</v>
      </c>
      <c r="H130" s="396">
        <v>5</v>
      </c>
      <c r="I130" s="369"/>
      <c r="J130" s="369" t="s">
        <v>695</v>
      </c>
      <c r="K130" s="410" t="s">
        <v>655</v>
      </c>
      <c r="L130" s="396">
        <v>1</v>
      </c>
      <c r="M130" s="592"/>
      <c r="N130" s="257">
        <f>'[2]1.4 Septic'!$F$16</f>
        <v>298</v>
      </c>
      <c r="O130" s="257">
        <f>$G$492</f>
        <v>37.64</v>
      </c>
      <c r="P130" s="258"/>
      <c r="Q130" s="590">
        <f>H130*2*L130*N130/O130</f>
        <v>79.171094580233799</v>
      </c>
    </row>
    <row r="131" spans="1:17" ht="18" customHeight="1">
      <c r="A131" s="396">
        <f t="shared" si="16"/>
        <v>127</v>
      </c>
      <c r="B131" s="396">
        <v>530808</v>
      </c>
      <c r="C131" s="369" t="s">
        <v>905</v>
      </c>
      <c r="D131" s="369" t="s">
        <v>672</v>
      </c>
      <c r="E131" s="369" t="s">
        <v>644</v>
      </c>
      <c r="F131" s="369" t="s">
        <v>645</v>
      </c>
      <c r="G131" s="369" t="s">
        <v>906</v>
      </c>
      <c r="H131" s="396">
        <v>20</v>
      </c>
      <c r="I131" s="369"/>
      <c r="J131" s="369" t="s">
        <v>733</v>
      </c>
      <c r="K131" s="410" t="s">
        <v>655</v>
      </c>
      <c r="L131" s="396">
        <v>1</v>
      </c>
      <c r="M131" s="592"/>
      <c r="N131" s="257">
        <f>'[2]1.4 Septic'!$F$16</f>
        <v>298</v>
      </c>
      <c r="O131" s="595">
        <f>$G$491</f>
        <v>32.435000000000002</v>
      </c>
      <c r="P131" s="258"/>
      <c r="Q131" s="590">
        <f>H131*2*L131*N131/O131</f>
        <v>367.50423924772622</v>
      </c>
    </row>
    <row r="132" spans="1:17" ht="18" customHeight="1">
      <c r="A132" s="396">
        <f t="shared" si="16"/>
        <v>128</v>
      </c>
      <c r="B132" s="396">
        <v>530817</v>
      </c>
      <c r="C132" s="369" t="s">
        <v>907</v>
      </c>
      <c r="D132" s="369" t="s">
        <v>672</v>
      </c>
      <c r="E132" s="369" t="s">
        <v>644</v>
      </c>
      <c r="F132" s="369" t="s">
        <v>645</v>
      </c>
      <c r="G132" s="369" t="s">
        <v>908</v>
      </c>
      <c r="H132" s="396">
        <v>4</v>
      </c>
      <c r="I132" s="369"/>
      <c r="J132" s="369" t="s">
        <v>695</v>
      </c>
      <c r="K132" s="410" t="s">
        <v>649</v>
      </c>
      <c r="L132" s="396">
        <v>1</v>
      </c>
      <c r="M132" s="592"/>
      <c r="N132" s="257">
        <f>'[2]1.4 Septic'!$F$16</f>
        <v>298</v>
      </c>
      <c r="O132" s="257">
        <f t="shared" ref="O132:O133" si="39">$G$492</f>
        <v>37.64</v>
      </c>
      <c r="P132" s="258"/>
      <c r="Q132" s="590">
        <f t="shared" ref="Q132:Q133" si="40">H132*2*L132*N132/O132</f>
        <v>63.336875664187033</v>
      </c>
    </row>
    <row r="133" spans="1:17" ht="18" customHeight="1">
      <c r="A133" s="396">
        <f t="shared" si="16"/>
        <v>129</v>
      </c>
      <c r="B133" s="396">
        <v>530821</v>
      </c>
      <c r="C133" s="369" t="s">
        <v>909</v>
      </c>
      <c r="D133" s="369" t="s">
        <v>672</v>
      </c>
      <c r="E133" s="369" t="s">
        <v>644</v>
      </c>
      <c r="F133" s="369" t="s">
        <v>645</v>
      </c>
      <c r="G133" s="369" t="s">
        <v>910</v>
      </c>
      <c r="H133" s="396">
        <v>6.9</v>
      </c>
      <c r="I133" s="369"/>
      <c r="J133" s="369" t="s">
        <v>658</v>
      </c>
      <c r="K133" s="410" t="s">
        <v>655</v>
      </c>
      <c r="L133" s="396">
        <v>1</v>
      </c>
      <c r="M133" s="592"/>
      <c r="N133" s="257">
        <f>'[2]1.4 Septic'!$F$16</f>
        <v>298</v>
      </c>
      <c r="O133" s="257">
        <f t="shared" si="39"/>
        <v>37.64</v>
      </c>
      <c r="P133" s="258"/>
      <c r="Q133" s="590">
        <f t="shared" si="40"/>
        <v>109.25611052072264</v>
      </c>
    </row>
    <row r="134" spans="1:17" ht="18" customHeight="1">
      <c r="A134" s="396">
        <f t="shared" ref="A134:A197" si="41">+A133+1</f>
        <v>130</v>
      </c>
      <c r="B134" s="396">
        <v>530839</v>
      </c>
      <c r="C134" s="369" t="s">
        <v>911</v>
      </c>
      <c r="D134" s="369" t="s">
        <v>672</v>
      </c>
      <c r="E134" s="369" t="s">
        <v>644</v>
      </c>
      <c r="F134" s="369" t="s">
        <v>645</v>
      </c>
      <c r="G134" s="369" t="s">
        <v>912</v>
      </c>
      <c r="H134" s="396">
        <v>10</v>
      </c>
      <c r="I134" s="369"/>
      <c r="J134" s="369" t="s">
        <v>1790</v>
      </c>
      <c r="K134" s="410" t="s">
        <v>652</v>
      </c>
      <c r="L134" s="396">
        <v>2</v>
      </c>
      <c r="M134" s="592"/>
      <c r="N134" s="257">
        <f>'[2]1.4 Septic'!$F$16</f>
        <v>298</v>
      </c>
      <c r="O134" s="257">
        <v>6.3689999999999998</v>
      </c>
      <c r="P134" s="590">
        <f t="shared" ref="P134:P135" si="42">H134*2*L134*N134/O134</f>
        <v>1871.5653948814572</v>
      </c>
      <c r="Q134" s="258"/>
    </row>
    <row r="135" spans="1:17" ht="18" customHeight="1">
      <c r="A135" s="396">
        <f t="shared" si="41"/>
        <v>131</v>
      </c>
      <c r="B135" s="396">
        <v>530841</v>
      </c>
      <c r="C135" s="369" t="s">
        <v>913</v>
      </c>
      <c r="D135" s="369" t="s">
        <v>672</v>
      </c>
      <c r="E135" s="369" t="s">
        <v>644</v>
      </c>
      <c r="F135" s="369" t="s">
        <v>645</v>
      </c>
      <c r="G135" s="369" t="s">
        <v>914</v>
      </c>
      <c r="H135" s="396">
        <v>5</v>
      </c>
      <c r="I135" s="369"/>
      <c r="J135" s="369" t="s">
        <v>1790</v>
      </c>
      <c r="K135" s="410" t="s">
        <v>652</v>
      </c>
      <c r="L135" s="396">
        <v>1</v>
      </c>
      <c r="M135" s="592"/>
      <c r="N135" s="257">
        <f>'[2]1.4 Septic'!$F$16</f>
        <v>298</v>
      </c>
      <c r="O135" s="257">
        <v>6.3689999999999998</v>
      </c>
      <c r="P135" s="590">
        <f t="shared" si="42"/>
        <v>467.89134872036431</v>
      </c>
      <c r="Q135" s="258"/>
    </row>
    <row r="136" spans="1:17" ht="18" customHeight="1">
      <c r="A136" s="396">
        <f t="shared" si="41"/>
        <v>132</v>
      </c>
      <c r="B136" s="396">
        <v>530858</v>
      </c>
      <c r="C136" s="369" t="s">
        <v>915</v>
      </c>
      <c r="D136" s="369" t="s">
        <v>643</v>
      </c>
      <c r="E136" s="369" t="s">
        <v>644</v>
      </c>
      <c r="F136" s="369" t="s">
        <v>645</v>
      </c>
      <c r="G136" s="367" t="s">
        <v>746</v>
      </c>
      <c r="H136" s="396">
        <v>7</v>
      </c>
      <c r="I136" s="369"/>
      <c r="J136" s="369" t="s">
        <v>658</v>
      </c>
      <c r="K136" s="410" t="s">
        <v>776</v>
      </c>
      <c r="L136" s="396">
        <v>1</v>
      </c>
      <c r="M136" s="592"/>
      <c r="N136" s="257">
        <f>'[2]1.4 Septic'!$F$16</f>
        <v>298</v>
      </c>
      <c r="O136" s="257">
        <f t="shared" ref="O136:O137" si="43">$G$492</f>
        <v>37.64</v>
      </c>
      <c r="P136" s="258"/>
      <c r="Q136" s="590">
        <f t="shared" ref="Q136:Q143" si="44">H136*2*L136*N136/O136</f>
        <v>110.83953241232732</v>
      </c>
    </row>
    <row r="137" spans="1:17" ht="18" customHeight="1">
      <c r="A137" s="396">
        <f t="shared" si="41"/>
        <v>133</v>
      </c>
      <c r="B137" s="396">
        <v>530860</v>
      </c>
      <c r="C137" s="369" t="s">
        <v>916</v>
      </c>
      <c r="D137" s="369" t="s">
        <v>672</v>
      </c>
      <c r="E137" s="369" t="s">
        <v>644</v>
      </c>
      <c r="F137" s="369" t="s">
        <v>645</v>
      </c>
      <c r="G137" s="369" t="s">
        <v>917</v>
      </c>
      <c r="H137" s="396">
        <v>3.4</v>
      </c>
      <c r="I137" s="369"/>
      <c r="J137" s="369" t="s">
        <v>695</v>
      </c>
      <c r="K137" s="410" t="s">
        <v>655</v>
      </c>
      <c r="L137" s="396">
        <v>1</v>
      </c>
      <c r="M137" s="592"/>
      <c r="N137" s="257">
        <f>'[2]1.4 Septic'!$F$16</f>
        <v>298</v>
      </c>
      <c r="O137" s="257">
        <f t="shared" si="43"/>
        <v>37.64</v>
      </c>
      <c r="P137" s="258"/>
      <c r="Q137" s="590">
        <f t="shared" si="44"/>
        <v>53.836344314558978</v>
      </c>
    </row>
    <row r="138" spans="1:17" ht="18" customHeight="1">
      <c r="A138" s="396">
        <f t="shared" si="41"/>
        <v>134</v>
      </c>
      <c r="B138" s="396">
        <v>530863</v>
      </c>
      <c r="C138" s="369" t="s">
        <v>918</v>
      </c>
      <c r="D138" s="369" t="s">
        <v>672</v>
      </c>
      <c r="E138" s="369" t="s">
        <v>644</v>
      </c>
      <c r="F138" s="369" t="s">
        <v>645</v>
      </c>
      <c r="G138" s="369" t="s">
        <v>919</v>
      </c>
      <c r="H138" s="396">
        <v>3</v>
      </c>
      <c r="I138" s="369"/>
      <c r="J138" s="369" t="s">
        <v>715</v>
      </c>
      <c r="K138" s="410" t="s">
        <v>649</v>
      </c>
      <c r="L138" s="396">
        <v>1</v>
      </c>
      <c r="M138" s="592"/>
      <c r="N138" s="257">
        <f>'[2]1.4 Septic'!$F$16</f>
        <v>298</v>
      </c>
      <c r="O138" s="595">
        <f>$G$491</f>
        <v>32.435000000000002</v>
      </c>
      <c r="P138" s="258"/>
      <c r="Q138" s="590">
        <f t="shared" si="44"/>
        <v>55.125635887158928</v>
      </c>
    </row>
    <row r="139" spans="1:17" ht="18" customHeight="1">
      <c r="A139" s="396">
        <f t="shared" si="41"/>
        <v>135</v>
      </c>
      <c r="B139" s="396">
        <v>530864</v>
      </c>
      <c r="C139" s="369" t="s">
        <v>920</v>
      </c>
      <c r="D139" s="369" t="s">
        <v>672</v>
      </c>
      <c r="E139" s="369" t="s">
        <v>644</v>
      </c>
      <c r="F139" s="369" t="s">
        <v>645</v>
      </c>
      <c r="G139" s="369" t="s">
        <v>921</v>
      </c>
      <c r="H139" s="396">
        <v>5</v>
      </c>
      <c r="I139" s="369"/>
      <c r="J139" s="369" t="s">
        <v>658</v>
      </c>
      <c r="K139" s="410" t="s">
        <v>649</v>
      </c>
      <c r="L139" s="396">
        <v>1</v>
      </c>
      <c r="M139" s="592"/>
      <c r="N139" s="257">
        <f>'[2]1.4 Septic'!$F$16</f>
        <v>298</v>
      </c>
      <c r="O139" s="257">
        <f>$G$492</f>
        <v>37.64</v>
      </c>
      <c r="P139" s="258"/>
      <c r="Q139" s="590">
        <f t="shared" si="44"/>
        <v>79.171094580233799</v>
      </c>
    </row>
    <row r="140" spans="1:17" ht="18" customHeight="1">
      <c r="A140" s="396">
        <f t="shared" si="41"/>
        <v>136</v>
      </c>
      <c r="B140" s="396">
        <v>530865</v>
      </c>
      <c r="C140" s="369" t="s">
        <v>922</v>
      </c>
      <c r="D140" s="369" t="s">
        <v>672</v>
      </c>
      <c r="E140" s="369" t="s">
        <v>644</v>
      </c>
      <c r="F140" s="369" t="s">
        <v>645</v>
      </c>
      <c r="G140" s="369" t="s">
        <v>923</v>
      </c>
      <c r="H140" s="396">
        <v>8</v>
      </c>
      <c r="I140" s="369"/>
      <c r="J140" s="369" t="s">
        <v>658</v>
      </c>
      <c r="K140" s="410" t="s">
        <v>655</v>
      </c>
      <c r="L140" s="396">
        <v>1</v>
      </c>
      <c r="M140" s="592"/>
      <c r="N140" s="257">
        <f>'[2]1.4 Septic'!$F$16</f>
        <v>298</v>
      </c>
      <c r="O140" s="257">
        <f t="shared" ref="O140:O143" si="45">$G$492</f>
        <v>37.64</v>
      </c>
      <c r="P140" s="258"/>
      <c r="Q140" s="590">
        <f t="shared" si="44"/>
        <v>126.67375132837407</v>
      </c>
    </row>
    <row r="141" spans="1:17" ht="18" customHeight="1">
      <c r="A141" s="396">
        <f t="shared" si="41"/>
        <v>137</v>
      </c>
      <c r="B141" s="396">
        <v>530867</v>
      </c>
      <c r="C141" s="369" t="s">
        <v>924</v>
      </c>
      <c r="D141" s="369" t="s">
        <v>672</v>
      </c>
      <c r="E141" s="369" t="s">
        <v>644</v>
      </c>
      <c r="F141" s="369" t="s">
        <v>645</v>
      </c>
      <c r="G141" s="369" t="s">
        <v>925</v>
      </c>
      <c r="H141" s="396">
        <v>5</v>
      </c>
      <c r="I141" s="369"/>
      <c r="J141" s="369" t="s">
        <v>695</v>
      </c>
      <c r="K141" s="410" t="s">
        <v>655</v>
      </c>
      <c r="L141" s="396">
        <v>1</v>
      </c>
      <c r="M141" s="592"/>
      <c r="N141" s="257">
        <f>'[2]1.4 Septic'!$F$16</f>
        <v>298</v>
      </c>
      <c r="O141" s="257">
        <f t="shared" si="45"/>
        <v>37.64</v>
      </c>
      <c r="P141" s="258"/>
      <c r="Q141" s="590">
        <f t="shared" si="44"/>
        <v>79.171094580233799</v>
      </c>
    </row>
    <row r="142" spans="1:17" ht="18" customHeight="1">
      <c r="A142" s="396">
        <f t="shared" si="41"/>
        <v>138</v>
      </c>
      <c r="B142" s="396">
        <v>530871</v>
      </c>
      <c r="C142" s="369" t="s">
        <v>926</v>
      </c>
      <c r="D142" s="369" t="s">
        <v>672</v>
      </c>
      <c r="E142" s="369" t="s">
        <v>644</v>
      </c>
      <c r="F142" s="369" t="s">
        <v>645</v>
      </c>
      <c r="G142" s="369" t="s">
        <v>927</v>
      </c>
      <c r="H142" s="396">
        <v>10</v>
      </c>
      <c r="I142" s="369"/>
      <c r="J142" s="369" t="s">
        <v>695</v>
      </c>
      <c r="K142" s="410" t="s">
        <v>649</v>
      </c>
      <c r="L142" s="396">
        <v>1</v>
      </c>
      <c r="M142" s="592"/>
      <c r="N142" s="257">
        <f>'[2]1.4 Septic'!$F$16</f>
        <v>298</v>
      </c>
      <c r="O142" s="257">
        <f t="shared" si="45"/>
        <v>37.64</v>
      </c>
      <c r="P142" s="258"/>
      <c r="Q142" s="590">
        <f t="shared" si="44"/>
        <v>158.3421891604676</v>
      </c>
    </row>
    <row r="143" spans="1:17" ht="18" customHeight="1">
      <c r="A143" s="396">
        <f t="shared" si="41"/>
        <v>139</v>
      </c>
      <c r="B143" s="396">
        <v>530876</v>
      </c>
      <c r="C143" s="369" t="s">
        <v>928</v>
      </c>
      <c r="D143" s="369" t="s">
        <v>672</v>
      </c>
      <c r="E143" s="369" t="s">
        <v>644</v>
      </c>
      <c r="F143" s="369" t="s">
        <v>645</v>
      </c>
      <c r="G143" s="369" t="s">
        <v>929</v>
      </c>
      <c r="H143" s="396">
        <v>2</v>
      </c>
      <c r="I143" s="369"/>
      <c r="J143" s="369" t="s">
        <v>658</v>
      </c>
      <c r="K143" s="410" t="s">
        <v>655</v>
      </c>
      <c r="L143" s="396">
        <v>1</v>
      </c>
      <c r="M143" s="592"/>
      <c r="N143" s="257">
        <f>'[2]1.4 Septic'!$F$16</f>
        <v>298</v>
      </c>
      <c r="O143" s="257">
        <f t="shared" si="45"/>
        <v>37.64</v>
      </c>
      <c r="P143" s="258"/>
      <c r="Q143" s="590">
        <f t="shared" si="44"/>
        <v>31.668437832093517</v>
      </c>
    </row>
    <row r="144" spans="1:17" ht="18" customHeight="1">
      <c r="A144" s="396">
        <f t="shared" si="41"/>
        <v>140</v>
      </c>
      <c r="B144" s="396">
        <v>530880</v>
      </c>
      <c r="C144" s="369" t="s">
        <v>930</v>
      </c>
      <c r="D144" s="369" t="s">
        <v>672</v>
      </c>
      <c r="E144" s="369" t="s">
        <v>644</v>
      </c>
      <c r="F144" s="369" t="s">
        <v>645</v>
      </c>
      <c r="G144" s="596" t="s">
        <v>931</v>
      </c>
      <c r="H144" s="396">
        <v>6</v>
      </c>
      <c r="I144" s="369"/>
      <c r="J144" s="369" t="s">
        <v>1790</v>
      </c>
      <c r="K144" s="410" t="s">
        <v>652</v>
      </c>
      <c r="L144" s="396">
        <v>2</v>
      </c>
      <c r="M144" s="592"/>
      <c r="N144" s="257">
        <f>'[2]1.4 Septic'!$F$16</f>
        <v>298</v>
      </c>
      <c r="O144" s="257">
        <v>6.3689999999999998</v>
      </c>
      <c r="P144" s="590">
        <f>H144*2*L144*N144/O144</f>
        <v>1122.9392369288744</v>
      </c>
      <c r="Q144" s="258"/>
    </row>
    <row r="145" spans="1:17" ht="18" customHeight="1">
      <c r="A145" s="396">
        <f t="shared" si="41"/>
        <v>141</v>
      </c>
      <c r="B145" s="396">
        <v>530881</v>
      </c>
      <c r="C145" s="369" t="s">
        <v>932</v>
      </c>
      <c r="D145" s="369" t="s">
        <v>643</v>
      </c>
      <c r="E145" s="369" t="s">
        <v>644</v>
      </c>
      <c r="F145" s="369" t="s">
        <v>645</v>
      </c>
      <c r="G145" s="367" t="s">
        <v>746</v>
      </c>
      <c r="H145" s="396">
        <v>6</v>
      </c>
      <c r="I145" s="369"/>
      <c r="J145" s="369" t="s">
        <v>648</v>
      </c>
      <c r="K145" s="410" t="s">
        <v>655</v>
      </c>
      <c r="L145" s="396">
        <v>2</v>
      </c>
      <c r="M145" s="592"/>
      <c r="N145" s="257">
        <f>'[2]1.4 Septic'!$F$16</f>
        <v>298</v>
      </c>
      <c r="O145" s="257">
        <f t="shared" ref="O145" si="46">$G$487</f>
        <v>14.763</v>
      </c>
      <c r="P145" s="258"/>
      <c r="Q145" s="590">
        <f>H145*2*L145*N145/O145</f>
        <v>484.45437919122128</v>
      </c>
    </row>
    <row r="146" spans="1:17" ht="18" customHeight="1">
      <c r="A146" s="396">
        <f t="shared" si="41"/>
        <v>142</v>
      </c>
      <c r="B146" s="396">
        <v>530883</v>
      </c>
      <c r="C146" s="369" t="s">
        <v>933</v>
      </c>
      <c r="D146" s="369" t="s">
        <v>643</v>
      </c>
      <c r="E146" s="369" t="s">
        <v>644</v>
      </c>
      <c r="F146" s="369" t="s">
        <v>645</v>
      </c>
      <c r="G146" s="369" t="s">
        <v>934</v>
      </c>
      <c r="H146" s="396">
        <v>7</v>
      </c>
      <c r="I146" s="369"/>
      <c r="J146" s="369" t="s">
        <v>658</v>
      </c>
      <c r="K146" s="410" t="s">
        <v>655</v>
      </c>
      <c r="L146" s="396">
        <v>1</v>
      </c>
      <c r="M146" s="592"/>
      <c r="N146" s="257">
        <f>'[2]1.4 Septic'!$F$16</f>
        <v>298</v>
      </c>
      <c r="O146" s="257">
        <f t="shared" ref="O146:O148" si="47">$G$492</f>
        <v>37.64</v>
      </c>
      <c r="P146" s="258"/>
      <c r="Q146" s="590">
        <f t="shared" ref="Q146:Q152" si="48">H146*2*L146*N146/O146</f>
        <v>110.83953241232732</v>
      </c>
    </row>
    <row r="147" spans="1:17" ht="18" customHeight="1">
      <c r="A147" s="396">
        <f t="shared" si="41"/>
        <v>143</v>
      </c>
      <c r="B147" s="396">
        <v>530887</v>
      </c>
      <c r="C147" s="369" t="s">
        <v>935</v>
      </c>
      <c r="D147" s="369" t="s">
        <v>672</v>
      </c>
      <c r="E147" s="369" t="s">
        <v>644</v>
      </c>
      <c r="F147" s="369" t="s">
        <v>645</v>
      </c>
      <c r="G147" s="596" t="s">
        <v>936</v>
      </c>
      <c r="H147" s="396">
        <v>6</v>
      </c>
      <c r="I147" s="369"/>
      <c r="J147" s="369" t="s">
        <v>695</v>
      </c>
      <c r="K147" s="410" t="s">
        <v>655</v>
      </c>
      <c r="L147" s="396">
        <v>1</v>
      </c>
      <c r="M147" s="592"/>
      <c r="N147" s="257">
        <f>'[2]1.4 Septic'!$F$16</f>
        <v>298</v>
      </c>
      <c r="O147" s="257">
        <f t="shared" si="47"/>
        <v>37.64</v>
      </c>
      <c r="P147" s="258"/>
      <c r="Q147" s="590">
        <f t="shared" si="48"/>
        <v>95.00531349628055</v>
      </c>
    </row>
    <row r="148" spans="1:17" ht="18" customHeight="1">
      <c r="A148" s="396">
        <f t="shared" si="41"/>
        <v>144</v>
      </c>
      <c r="B148" s="396">
        <v>530890</v>
      </c>
      <c r="C148" s="369" t="s">
        <v>937</v>
      </c>
      <c r="D148" s="369" t="s">
        <v>672</v>
      </c>
      <c r="E148" s="369" t="s">
        <v>644</v>
      </c>
      <c r="F148" s="369" t="s">
        <v>645</v>
      </c>
      <c r="G148" s="369" t="s">
        <v>938</v>
      </c>
      <c r="H148" s="396">
        <v>12</v>
      </c>
      <c r="I148" s="369"/>
      <c r="J148" s="369" t="s">
        <v>658</v>
      </c>
      <c r="K148" s="410" t="s">
        <v>655</v>
      </c>
      <c r="L148" s="396">
        <v>1</v>
      </c>
      <c r="M148" s="592"/>
      <c r="N148" s="257">
        <f>'[2]1.4 Septic'!$F$16</f>
        <v>298</v>
      </c>
      <c r="O148" s="257">
        <f t="shared" si="47"/>
        <v>37.64</v>
      </c>
      <c r="P148" s="258"/>
      <c r="Q148" s="590">
        <f t="shared" si="48"/>
        <v>190.0106269925611</v>
      </c>
    </row>
    <row r="149" spans="1:17" ht="18" customHeight="1">
      <c r="A149" s="396">
        <f t="shared" si="41"/>
        <v>145</v>
      </c>
      <c r="B149" s="396">
        <v>530894</v>
      </c>
      <c r="C149" s="369" t="s">
        <v>939</v>
      </c>
      <c r="D149" s="369" t="s">
        <v>672</v>
      </c>
      <c r="E149" s="369" t="s">
        <v>644</v>
      </c>
      <c r="F149" s="369" t="s">
        <v>645</v>
      </c>
      <c r="G149" s="369" t="s">
        <v>940</v>
      </c>
      <c r="H149" s="396">
        <v>10</v>
      </c>
      <c r="I149" s="369"/>
      <c r="J149" s="369" t="s">
        <v>684</v>
      </c>
      <c r="K149" s="410" t="s">
        <v>655</v>
      </c>
      <c r="L149" s="396">
        <v>1</v>
      </c>
      <c r="M149" s="592"/>
      <c r="N149" s="257">
        <f>'[2]1.4 Septic'!$F$16</f>
        <v>298</v>
      </c>
      <c r="O149" s="257">
        <f t="shared" ref="O149:O152" si="49">$G$498</f>
        <v>17.77</v>
      </c>
      <c r="P149" s="258"/>
      <c r="Q149" s="590">
        <f t="shared" si="48"/>
        <v>335.3967360720315</v>
      </c>
    </row>
    <row r="150" spans="1:17" ht="18" customHeight="1">
      <c r="A150" s="396">
        <f t="shared" si="41"/>
        <v>146</v>
      </c>
      <c r="B150" s="396">
        <v>540939</v>
      </c>
      <c r="C150" s="369" t="s">
        <v>941</v>
      </c>
      <c r="D150" s="369"/>
      <c r="E150" s="369" t="s">
        <v>644</v>
      </c>
      <c r="F150" s="369"/>
      <c r="G150" s="591" t="s">
        <v>942</v>
      </c>
      <c r="H150" s="396">
        <v>3</v>
      </c>
      <c r="I150" s="369"/>
      <c r="J150" s="369" t="s">
        <v>684</v>
      </c>
      <c r="K150" s="410" t="s">
        <v>692</v>
      </c>
      <c r="L150" s="396">
        <v>1</v>
      </c>
      <c r="M150" s="592" t="s">
        <v>664</v>
      </c>
      <c r="N150" s="257">
        <f>'[2]1.4 Septic'!$F$34</f>
        <v>247</v>
      </c>
      <c r="O150" s="257">
        <f t="shared" si="49"/>
        <v>17.77</v>
      </c>
      <c r="P150" s="258"/>
      <c r="Q150" s="590">
        <f t="shared" si="48"/>
        <v>83.39898705683737</v>
      </c>
    </row>
    <row r="151" spans="1:17" ht="18" customHeight="1">
      <c r="A151" s="396">
        <f t="shared" si="41"/>
        <v>147</v>
      </c>
      <c r="B151" s="396">
        <v>540940</v>
      </c>
      <c r="C151" s="369" t="s">
        <v>943</v>
      </c>
      <c r="D151" s="369" t="s">
        <v>672</v>
      </c>
      <c r="E151" s="369" t="s">
        <v>644</v>
      </c>
      <c r="F151" s="369" t="s">
        <v>645</v>
      </c>
      <c r="G151" s="369" t="s">
        <v>944</v>
      </c>
      <c r="H151" s="396">
        <v>43</v>
      </c>
      <c r="I151" s="369"/>
      <c r="J151" s="369" t="s">
        <v>684</v>
      </c>
      <c r="K151" s="410" t="s">
        <v>655</v>
      </c>
      <c r="L151" s="396">
        <v>1</v>
      </c>
      <c r="M151" s="592" t="s">
        <v>664</v>
      </c>
      <c r="N151" s="257">
        <f>'[2]1.4 Septic'!$F$34</f>
        <v>247</v>
      </c>
      <c r="O151" s="257">
        <f t="shared" si="49"/>
        <v>17.77</v>
      </c>
      <c r="P151" s="258"/>
      <c r="Q151" s="590">
        <f t="shared" si="48"/>
        <v>1195.3854811480023</v>
      </c>
    </row>
    <row r="152" spans="1:17" ht="18" customHeight="1">
      <c r="A152" s="396">
        <f t="shared" si="41"/>
        <v>148</v>
      </c>
      <c r="B152" s="396">
        <v>540942</v>
      </c>
      <c r="C152" s="369" t="s">
        <v>945</v>
      </c>
      <c r="D152" s="369" t="s">
        <v>643</v>
      </c>
      <c r="E152" s="369" t="s">
        <v>644</v>
      </c>
      <c r="F152" s="369" t="s">
        <v>645</v>
      </c>
      <c r="G152" s="367" t="s">
        <v>803</v>
      </c>
      <c r="H152" s="396">
        <v>8</v>
      </c>
      <c r="I152" s="369"/>
      <c r="J152" s="369" t="s">
        <v>684</v>
      </c>
      <c r="K152" s="410" t="s">
        <v>655</v>
      </c>
      <c r="L152" s="396">
        <v>1</v>
      </c>
      <c r="M152" s="592"/>
      <c r="N152" s="257">
        <f>'[2]1.4 Septic'!$F$16</f>
        <v>298</v>
      </c>
      <c r="O152" s="257">
        <f t="shared" si="49"/>
        <v>17.77</v>
      </c>
      <c r="P152" s="258"/>
      <c r="Q152" s="590">
        <f t="shared" si="48"/>
        <v>268.31738885762519</v>
      </c>
    </row>
    <row r="153" spans="1:17" ht="18" customHeight="1">
      <c r="A153" s="396">
        <f t="shared" si="41"/>
        <v>149</v>
      </c>
      <c r="B153" s="396">
        <v>540945</v>
      </c>
      <c r="C153" s="369" t="s">
        <v>946</v>
      </c>
      <c r="D153" s="369" t="s">
        <v>643</v>
      </c>
      <c r="E153" s="369" t="s">
        <v>644</v>
      </c>
      <c r="F153" s="369" t="s">
        <v>645</v>
      </c>
      <c r="G153" s="369" t="s">
        <v>947</v>
      </c>
      <c r="H153" s="396">
        <v>5</v>
      </c>
      <c r="I153" s="369"/>
      <c r="J153" s="369" t="s">
        <v>648</v>
      </c>
      <c r="K153" s="410" t="s">
        <v>655</v>
      </c>
      <c r="L153" s="396">
        <v>1</v>
      </c>
      <c r="M153" s="592"/>
      <c r="N153" s="257">
        <f>'[2]1.4 Septic'!$F$16</f>
        <v>298</v>
      </c>
      <c r="O153" s="257">
        <f>$G$487</f>
        <v>14.763</v>
      </c>
      <c r="P153" s="258"/>
      <c r="Q153" s="590">
        <f>H153*2*L153*N153/O153</f>
        <v>201.85599132967553</v>
      </c>
    </row>
    <row r="154" spans="1:17" ht="18" customHeight="1">
      <c r="A154" s="396">
        <f t="shared" si="41"/>
        <v>150</v>
      </c>
      <c r="B154" s="396">
        <v>540952</v>
      </c>
      <c r="C154" s="369" t="s">
        <v>948</v>
      </c>
      <c r="D154" s="369" t="s">
        <v>672</v>
      </c>
      <c r="E154" s="369" t="s">
        <v>644</v>
      </c>
      <c r="F154" s="369" t="s">
        <v>645</v>
      </c>
      <c r="G154" s="369" t="s">
        <v>949</v>
      </c>
      <c r="H154" s="396">
        <v>3</v>
      </c>
      <c r="I154" s="369"/>
      <c r="J154" s="369" t="s">
        <v>695</v>
      </c>
      <c r="K154" s="410" t="s">
        <v>655</v>
      </c>
      <c r="L154" s="396">
        <v>1</v>
      </c>
      <c r="M154" s="592"/>
      <c r="N154" s="257">
        <f>'[2]1.4 Septic'!$F$16</f>
        <v>298</v>
      </c>
      <c r="O154" s="257">
        <f t="shared" ref="O154:O155" si="50">$G$492</f>
        <v>37.64</v>
      </c>
      <c r="P154" s="258"/>
      <c r="Q154" s="590">
        <f t="shared" ref="Q154:Q155" si="51">H154*2*L154*N154/O154</f>
        <v>47.502656748140275</v>
      </c>
    </row>
    <row r="155" spans="1:17" ht="18" customHeight="1">
      <c r="A155" s="396">
        <f t="shared" si="41"/>
        <v>151</v>
      </c>
      <c r="B155" s="396">
        <v>540968</v>
      </c>
      <c r="C155" s="369" t="s">
        <v>950</v>
      </c>
      <c r="D155" s="369" t="s">
        <v>672</v>
      </c>
      <c r="E155" s="369" t="s">
        <v>644</v>
      </c>
      <c r="F155" s="369" t="s">
        <v>645</v>
      </c>
      <c r="G155" s="369" t="s">
        <v>951</v>
      </c>
      <c r="H155" s="396">
        <v>6</v>
      </c>
      <c r="I155" s="369"/>
      <c r="J155" s="369" t="s">
        <v>695</v>
      </c>
      <c r="K155" s="410" t="s">
        <v>649</v>
      </c>
      <c r="L155" s="396">
        <v>2</v>
      </c>
      <c r="M155" s="592"/>
      <c r="N155" s="257">
        <f>'[2]1.4 Septic'!$F$16</f>
        <v>298</v>
      </c>
      <c r="O155" s="257">
        <f t="shared" si="50"/>
        <v>37.64</v>
      </c>
      <c r="P155" s="258"/>
      <c r="Q155" s="590">
        <f t="shared" si="51"/>
        <v>190.0106269925611</v>
      </c>
    </row>
    <row r="156" spans="1:17" ht="18" customHeight="1">
      <c r="A156" s="396">
        <f t="shared" si="41"/>
        <v>152</v>
      </c>
      <c r="B156" s="396">
        <v>540969</v>
      </c>
      <c r="C156" s="369" t="s">
        <v>952</v>
      </c>
      <c r="D156" s="369" t="s">
        <v>672</v>
      </c>
      <c r="E156" s="369" t="s">
        <v>644</v>
      </c>
      <c r="F156" s="369" t="s">
        <v>645</v>
      </c>
      <c r="G156" s="596" t="s">
        <v>953</v>
      </c>
      <c r="H156" s="396">
        <v>6</v>
      </c>
      <c r="I156" s="369"/>
      <c r="J156" s="369" t="s">
        <v>1790</v>
      </c>
      <c r="K156" s="410" t="s">
        <v>652</v>
      </c>
      <c r="L156" s="396">
        <v>2</v>
      </c>
      <c r="M156" s="592"/>
      <c r="N156" s="257">
        <f>'[2]1.4 Septic'!$F$16</f>
        <v>298</v>
      </c>
      <c r="O156" s="257">
        <v>6.3689999999999998</v>
      </c>
      <c r="P156" s="590">
        <f>H156*2*L156*N156/O156</f>
        <v>1122.9392369288744</v>
      </c>
      <c r="Q156" s="258"/>
    </row>
    <row r="157" spans="1:17" ht="18" customHeight="1">
      <c r="A157" s="396">
        <f t="shared" si="41"/>
        <v>153</v>
      </c>
      <c r="B157" s="396">
        <v>550984</v>
      </c>
      <c r="C157" s="369" t="s">
        <v>954</v>
      </c>
      <c r="D157" s="369" t="s">
        <v>672</v>
      </c>
      <c r="E157" s="369" t="s">
        <v>644</v>
      </c>
      <c r="F157" s="369" t="s">
        <v>645</v>
      </c>
      <c r="G157" s="369" t="s">
        <v>955</v>
      </c>
      <c r="H157" s="396">
        <v>5</v>
      </c>
      <c r="I157" s="369"/>
      <c r="J157" s="369" t="s">
        <v>695</v>
      </c>
      <c r="K157" s="410" t="s">
        <v>655</v>
      </c>
      <c r="L157" s="396">
        <v>1</v>
      </c>
      <c r="M157" s="592"/>
      <c r="N157" s="257">
        <f>'[2]1.4 Septic'!$F$16</f>
        <v>298</v>
      </c>
      <c r="O157" s="257">
        <f>$G$492</f>
        <v>37.64</v>
      </c>
      <c r="P157" s="258"/>
      <c r="Q157" s="590">
        <f>H157*2*L157*N157/O157</f>
        <v>79.171094580233799</v>
      </c>
    </row>
    <row r="158" spans="1:17" ht="18" customHeight="1">
      <c r="A158" s="396">
        <f t="shared" si="41"/>
        <v>154</v>
      </c>
      <c r="B158" s="396">
        <v>551002</v>
      </c>
      <c r="C158" s="369" t="s">
        <v>956</v>
      </c>
      <c r="D158" s="369" t="s">
        <v>643</v>
      </c>
      <c r="E158" s="369" t="s">
        <v>644</v>
      </c>
      <c r="F158" s="369" t="s">
        <v>645</v>
      </c>
      <c r="G158" s="367" t="s">
        <v>803</v>
      </c>
      <c r="H158" s="396">
        <v>14</v>
      </c>
      <c r="I158" s="369"/>
      <c r="J158" s="369" t="s">
        <v>1790</v>
      </c>
      <c r="K158" s="410" t="s">
        <v>652</v>
      </c>
      <c r="L158" s="396">
        <v>1</v>
      </c>
      <c r="M158" s="592"/>
      <c r="N158" s="257">
        <f>'[2]1.4 Septic'!$F$16</f>
        <v>298</v>
      </c>
      <c r="O158" s="257">
        <v>6.3689999999999998</v>
      </c>
      <c r="P158" s="590">
        <f>H158*2*L158*N158/O158</f>
        <v>1310.09577641702</v>
      </c>
      <c r="Q158" s="258"/>
    </row>
    <row r="159" spans="1:17" ht="18" customHeight="1">
      <c r="A159" s="396">
        <f t="shared" si="41"/>
        <v>155</v>
      </c>
      <c r="B159" s="396">
        <v>551003</v>
      </c>
      <c r="C159" s="369" t="s">
        <v>957</v>
      </c>
      <c r="D159" s="369" t="s">
        <v>643</v>
      </c>
      <c r="E159" s="369" t="s">
        <v>644</v>
      </c>
      <c r="F159" s="369" t="s">
        <v>645</v>
      </c>
      <c r="G159" s="367" t="s">
        <v>958</v>
      </c>
      <c r="H159" s="396">
        <v>15</v>
      </c>
      <c r="I159" s="369"/>
      <c r="J159" s="369" t="s">
        <v>648</v>
      </c>
      <c r="K159" s="410" t="s">
        <v>655</v>
      </c>
      <c r="L159" s="396">
        <v>2</v>
      </c>
      <c r="M159" s="592"/>
      <c r="N159" s="257">
        <f>'[2]1.4 Septic'!$F$16</f>
        <v>298</v>
      </c>
      <c r="O159" s="257">
        <f>$G$487</f>
        <v>14.763</v>
      </c>
      <c r="P159" s="258"/>
      <c r="Q159" s="590">
        <f>H159*2*L159*N159/O159</f>
        <v>1211.1359479780533</v>
      </c>
    </row>
    <row r="160" spans="1:17" ht="18" customHeight="1">
      <c r="A160" s="396">
        <f t="shared" si="41"/>
        <v>156</v>
      </c>
      <c r="B160" s="396">
        <v>551004</v>
      </c>
      <c r="C160" s="369" t="s">
        <v>959</v>
      </c>
      <c r="D160" s="369" t="s">
        <v>643</v>
      </c>
      <c r="E160" s="369" t="s">
        <v>644</v>
      </c>
      <c r="F160" s="369" t="s">
        <v>645</v>
      </c>
      <c r="G160" s="369" t="s">
        <v>960</v>
      </c>
      <c r="H160" s="396">
        <v>7</v>
      </c>
      <c r="I160" s="369"/>
      <c r="J160" s="369" t="s">
        <v>658</v>
      </c>
      <c r="K160" s="410" t="s">
        <v>655</v>
      </c>
      <c r="L160" s="396">
        <v>1</v>
      </c>
      <c r="M160" s="592"/>
      <c r="N160" s="257">
        <f>'[2]1.4 Septic'!$F$16</f>
        <v>298</v>
      </c>
      <c r="O160" s="257">
        <f t="shared" ref="O160:O164" si="52">$G$492</f>
        <v>37.64</v>
      </c>
      <c r="P160" s="258"/>
      <c r="Q160" s="590">
        <f t="shared" ref="Q160:Q164" si="53">H160*2*L160*N160/O160</f>
        <v>110.83953241232732</v>
      </c>
    </row>
    <row r="161" spans="1:17" ht="18" customHeight="1">
      <c r="A161" s="396">
        <f t="shared" si="41"/>
        <v>157</v>
      </c>
      <c r="B161" s="396">
        <v>551014</v>
      </c>
      <c r="C161" s="369" t="s">
        <v>961</v>
      </c>
      <c r="D161" s="369" t="s">
        <v>672</v>
      </c>
      <c r="E161" s="369" t="s">
        <v>644</v>
      </c>
      <c r="F161" s="369" t="s">
        <v>645</v>
      </c>
      <c r="G161" s="369" t="s">
        <v>962</v>
      </c>
      <c r="H161" s="396">
        <v>5</v>
      </c>
      <c r="I161" s="369"/>
      <c r="J161" s="369" t="s">
        <v>695</v>
      </c>
      <c r="K161" s="410" t="s">
        <v>776</v>
      </c>
      <c r="L161" s="396">
        <v>2</v>
      </c>
      <c r="M161" s="592"/>
      <c r="N161" s="257">
        <f>'[2]1.4 Septic'!$F$16</f>
        <v>298</v>
      </c>
      <c r="O161" s="257">
        <f t="shared" si="52"/>
        <v>37.64</v>
      </c>
      <c r="P161" s="258"/>
      <c r="Q161" s="590">
        <f t="shared" si="53"/>
        <v>158.3421891604676</v>
      </c>
    </row>
    <row r="162" spans="1:17" ht="18" customHeight="1">
      <c r="A162" s="396">
        <f t="shared" si="41"/>
        <v>158</v>
      </c>
      <c r="B162" s="396">
        <v>551017</v>
      </c>
      <c r="C162" s="369" t="s">
        <v>963</v>
      </c>
      <c r="D162" s="369" t="s">
        <v>672</v>
      </c>
      <c r="E162" s="369" t="s">
        <v>644</v>
      </c>
      <c r="F162" s="369" t="s">
        <v>645</v>
      </c>
      <c r="G162" s="369" t="s">
        <v>964</v>
      </c>
      <c r="H162" s="396">
        <v>5</v>
      </c>
      <c r="I162" s="369"/>
      <c r="J162" s="369" t="s">
        <v>695</v>
      </c>
      <c r="K162" s="410" t="s">
        <v>776</v>
      </c>
      <c r="L162" s="396">
        <v>2</v>
      </c>
      <c r="M162" s="592"/>
      <c r="N162" s="257">
        <f>'[2]1.4 Septic'!$F$16</f>
        <v>298</v>
      </c>
      <c r="O162" s="257">
        <f t="shared" si="52"/>
        <v>37.64</v>
      </c>
      <c r="P162" s="258"/>
      <c r="Q162" s="590">
        <f t="shared" si="53"/>
        <v>158.3421891604676</v>
      </c>
    </row>
    <row r="163" spans="1:17" ht="18" customHeight="1">
      <c r="A163" s="396">
        <f t="shared" si="41"/>
        <v>159</v>
      </c>
      <c r="B163" s="396">
        <v>551035</v>
      </c>
      <c r="C163" s="369" t="s">
        <v>965</v>
      </c>
      <c r="D163" s="369" t="s">
        <v>672</v>
      </c>
      <c r="E163" s="369" t="s">
        <v>644</v>
      </c>
      <c r="F163" s="369" t="s">
        <v>645</v>
      </c>
      <c r="G163" s="369" t="s">
        <v>966</v>
      </c>
      <c r="H163" s="396">
        <v>5.3</v>
      </c>
      <c r="I163" s="369"/>
      <c r="J163" s="369" t="s">
        <v>695</v>
      </c>
      <c r="K163" s="410" t="s">
        <v>649</v>
      </c>
      <c r="L163" s="396">
        <v>1</v>
      </c>
      <c r="M163" s="592"/>
      <c r="N163" s="257">
        <f>'[2]1.4 Septic'!$F$16</f>
        <v>298</v>
      </c>
      <c r="O163" s="257">
        <f t="shared" si="52"/>
        <v>37.64</v>
      </c>
      <c r="P163" s="258"/>
      <c r="Q163" s="590">
        <f t="shared" si="53"/>
        <v>83.921360255047816</v>
      </c>
    </row>
    <row r="164" spans="1:17" ht="18" customHeight="1">
      <c r="A164" s="396">
        <f t="shared" si="41"/>
        <v>160</v>
      </c>
      <c r="B164" s="396">
        <v>551065</v>
      </c>
      <c r="C164" s="369" t="s">
        <v>967</v>
      </c>
      <c r="D164" s="369" t="s">
        <v>672</v>
      </c>
      <c r="E164" s="369" t="s">
        <v>644</v>
      </c>
      <c r="F164" s="369" t="s">
        <v>645</v>
      </c>
      <c r="G164" s="367" t="s">
        <v>746</v>
      </c>
      <c r="H164" s="396">
        <v>14</v>
      </c>
      <c r="I164" s="369"/>
      <c r="J164" s="369" t="s">
        <v>695</v>
      </c>
      <c r="K164" s="410" t="s">
        <v>655</v>
      </c>
      <c r="L164" s="396">
        <v>2</v>
      </c>
      <c r="M164" s="592"/>
      <c r="N164" s="257">
        <f>'[2]1.4 Septic'!$F$16</f>
        <v>298</v>
      </c>
      <c r="O164" s="257">
        <f t="shared" si="52"/>
        <v>37.64</v>
      </c>
      <c r="P164" s="258"/>
      <c r="Q164" s="590">
        <f t="shared" si="53"/>
        <v>443.35812964930926</v>
      </c>
    </row>
    <row r="165" spans="1:17" ht="18" customHeight="1">
      <c r="A165" s="396">
        <f t="shared" si="41"/>
        <v>161</v>
      </c>
      <c r="B165" s="396">
        <v>551077</v>
      </c>
      <c r="C165" s="369" t="s">
        <v>968</v>
      </c>
      <c r="D165" s="369" t="s">
        <v>643</v>
      </c>
      <c r="E165" s="369" t="s">
        <v>644</v>
      </c>
      <c r="F165" s="369" t="s">
        <v>645</v>
      </c>
      <c r="G165" s="596" t="s">
        <v>969</v>
      </c>
      <c r="H165" s="396">
        <v>10</v>
      </c>
      <c r="I165" s="369"/>
      <c r="J165" s="369" t="s">
        <v>1790</v>
      </c>
      <c r="K165" s="410" t="s">
        <v>652</v>
      </c>
      <c r="L165" s="396">
        <v>1</v>
      </c>
      <c r="M165" s="592"/>
      <c r="N165" s="257">
        <f>'[2]1.4 Septic'!$F$16</f>
        <v>298</v>
      </c>
      <c r="O165" s="257">
        <v>6.3689999999999998</v>
      </c>
      <c r="P165" s="590">
        <f>H165*2*L165*N165/O165</f>
        <v>935.78269744072861</v>
      </c>
      <c r="Q165" s="258"/>
    </row>
    <row r="166" spans="1:17" ht="18" customHeight="1">
      <c r="A166" s="396">
        <f t="shared" si="41"/>
        <v>162</v>
      </c>
      <c r="B166" s="396">
        <v>551089</v>
      </c>
      <c r="C166" s="369" t="s">
        <v>970</v>
      </c>
      <c r="D166" s="369" t="s">
        <v>643</v>
      </c>
      <c r="E166" s="369" t="s">
        <v>644</v>
      </c>
      <c r="F166" s="369" t="s">
        <v>645</v>
      </c>
      <c r="G166" s="369" t="s">
        <v>971</v>
      </c>
      <c r="H166" s="396">
        <v>7</v>
      </c>
      <c r="I166" s="369"/>
      <c r="J166" s="369" t="s">
        <v>658</v>
      </c>
      <c r="K166" s="410" t="s">
        <v>649</v>
      </c>
      <c r="L166" s="396">
        <v>2</v>
      </c>
      <c r="M166" s="592"/>
      <c r="N166" s="257">
        <f>'[2]1.4 Septic'!$F$16</f>
        <v>298</v>
      </c>
      <c r="O166" s="257">
        <f>$G$492</f>
        <v>37.64</v>
      </c>
      <c r="P166" s="258"/>
      <c r="Q166" s="590">
        <f>H166*2*L166*N166/O166</f>
        <v>221.67906482465463</v>
      </c>
    </row>
    <row r="167" spans="1:17" ht="18" customHeight="1">
      <c r="A167" s="396">
        <f t="shared" si="41"/>
        <v>163</v>
      </c>
      <c r="B167" s="396">
        <v>551093</v>
      </c>
      <c r="C167" s="369" t="s">
        <v>972</v>
      </c>
      <c r="D167" s="369" t="s">
        <v>643</v>
      </c>
      <c r="E167" s="369" t="s">
        <v>644</v>
      </c>
      <c r="F167" s="369" t="s">
        <v>645</v>
      </c>
      <c r="G167" s="367" t="s">
        <v>973</v>
      </c>
      <c r="H167" s="396">
        <v>14</v>
      </c>
      <c r="I167" s="369"/>
      <c r="J167" s="369" t="s">
        <v>663</v>
      </c>
      <c r="K167" s="410" t="s">
        <v>649</v>
      </c>
      <c r="L167" s="396">
        <v>2</v>
      </c>
      <c r="M167" s="592"/>
      <c r="N167" s="257">
        <f>'[2]1.4 Septic'!$F$16</f>
        <v>298</v>
      </c>
      <c r="O167" s="257">
        <f>$G$495</f>
        <v>12.247999999999999</v>
      </c>
      <c r="P167" s="258"/>
      <c r="Q167" s="590">
        <f>H167*2*L167*N167/O167</f>
        <v>1362.5081645983018</v>
      </c>
    </row>
    <row r="168" spans="1:17" ht="18" customHeight="1">
      <c r="A168" s="396">
        <f t="shared" si="41"/>
        <v>164</v>
      </c>
      <c r="B168" s="396">
        <v>561122</v>
      </c>
      <c r="C168" s="369" t="s">
        <v>974</v>
      </c>
      <c r="D168" s="369" t="s">
        <v>672</v>
      </c>
      <c r="E168" s="369" t="s">
        <v>644</v>
      </c>
      <c r="F168" s="369" t="s">
        <v>645</v>
      </c>
      <c r="G168" s="369" t="s">
        <v>975</v>
      </c>
      <c r="H168" s="396">
        <v>8</v>
      </c>
      <c r="I168" s="369"/>
      <c r="J168" s="369" t="s">
        <v>718</v>
      </c>
      <c r="K168" s="410" t="s">
        <v>655</v>
      </c>
      <c r="L168" s="396">
        <v>1</v>
      </c>
      <c r="M168" s="592"/>
      <c r="N168" s="257">
        <f>'[2]1.4 Septic'!$F$16</f>
        <v>298</v>
      </c>
      <c r="O168" s="595">
        <f>$G$491</f>
        <v>32.435000000000002</v>
      </c>
      <c r="P168" s="258"/>
      <c r="Q168" s="590">
        <f>H168*2*L168*N168/O168</f>
        <v>147.00169569909048</v>
      </c>
    </row>
    <row r="169" spans="1:17" ht="18" customHeight="1">
      <c r="A169" s="396">
        <f t="shared" si="41"/>
        <v>165</v>
      </c>
      <c r="B169" s="396">
        <v>561126</v>
      </c>
      <c r="C169" s="369" t="s">
        <v>976</v>
      </c>
      <c r="D169" s="369" t="s">
        <v>672</v>
      </c>
      <c r="E169" s="369" t="s">
        <v>644</v>
      </c>
      <c r="F169" s="369" t="s">
        <v>645</v>
      </c>
      <c r="G169" s="369" t="s">
        <v>977</v>
      </c>
      <c r="H169" s="396">
        <v>10</v>
      </c>
      <c r="I169" s="369"/>
      <c r="J169" s="369" t="s">
        <v>695</v>
      </c>
      <c r="K169" s="410" t="s">
        <v>655</v>
      </c>
      <c r="L169" s="396">
        <v>1</v>
      </c>
      <c r="M169" s="592"/>
      <c r="N169" s="257">
        <f>'[2]1.4 Septic'!$F$16</f>
        <v>298</v>
      </c>
      <c r="O169" s="257">
        <f>$G$492</f>
        <v>37.64</v>
      </c>
      <c r="P169" s="258"/>
      <c r="Q169" s="590">
        <f>H169*2*L169*N169/O169</f>
        <v>158.3421891604676</v>
      </c>
    </row>
    <row r="170" spans="1:17" ht="18" customHeight="1">
      <c r="A170" s="396">
        <f t="shared" si="41"/>
        <v>166</v>
      </c>
      <c r="B170" s="396">
        <v>561135</v>
      </c>
      <c r="C170" s="369" t="s">
        <v>978</v>
      </c>
      <c r="D170" s="369" t="s">
        <v>643</v>
      </c>
      <c r="E170" s="369" t="s">
        <v>644</v>
      </c>
      <c r="F170" s="369" t="s">
        <v>645</v>
      </c>
      <c r="G170" s="369" t="s">
        <v>979</v>
      </c>
      <c r="H170" s="396">
        <v>5</v>
      </c>
      <c r="I170" s="369"/>
      <c r="J170" s="369" t="s">
        <v>648</v>
      </c>
      <c r="K170" s="410" t="s">
        <v>692</v>
      </c>
      <c r="L170" s="396">
        <v>2</v>
      </c>
      <c r="M170" s="592"/>
      <c r="N170" s="257">
        <f>'[2]1.4 Septic'!$F$16</f>
        <v>298</v>
      </c>
      <c r="O170" s="257">
        <f>$G$487</f>
        <v>14.763</v>
      </c>
      <c r="P170" s="258"/>
      <c r="Q170" s="590">
        <f>H170*2*L170*N170/O170</f>
        <v>403.71198265935107</v>
      </c>
    </row>
    <row r="171" spans="1:17" ht="18" customHeight="1">
      <c r="A171" s="396">
        <f t="shared" si="41"/>
        <v>167</v>
      </c>
      <c r="B171" s="396">
        <v>561137</v>
      </c>
      <c r="C171" s="369" t="s">
        <v>980</v>
      </c>
      <c r="D171" s="369" t="s">
        <v>643</v>
      </c>
      <c r="E171" s="369" t="s">
        <v>644</v>
      </c>
      <c r="F171" s="369" t="s">
        <v>645</v>
      </c>
      <c r="G171" s="369" t="s">
        <v>799</v>
      </c>
      <c r="H171" s="396">
        <v>6</v>
      </c>
      <c r="I171" s="369"/>
      <c r="J171" s="369" t="s">
        <v>695</v>
      </c>
      <c r="K171" s="410" t="s">
        <v>649</v>
      </c>
      <c r="L171" s="396">
        <v>1</v>
      </c>
      <c r="M171" s="592"/>
      <c r="N171" s="257">
        <f>'[2]1.4 Septic'!$F$16</f>
        <v>298</v>
      </c>
      <c r="O171" s="257">
        <f t="shared" ref="O171:O172" si="54">$G$492</f>
        <v>37.64</v>
      </c>
      <c r="P171" s="258"/>
      <c r="Q171" s="590">
        <f t="shared" ref="Q171:Q172" si="55">H171*2*L171*N171/O171</f>
        <v>95.00531349628055</v>
      </c>
    </row>
    <row r="172" spans="1:17" ht="18" customHeight="1">
      <c r="A172" s="396">
        <f t="shared" si="41"/>
        <v>168</v>
      </c>
      <c r="B172" s="396">
        <v>561153</v>
      </c>
      <c r="C172" s="369" t="s">
        <v>981</v>
      </c>
      <c r="D172" s="369" t="s">
        <v>643</v>
      </c>
      <c r="E172" s="369" t="s">
        <v>644</v>
      </c>
      <c r="F172" s="369" t="s">
        <v>645</v>
      </c>
      <c r="G172" s="367" t="s">
        <v>746</v>
      </c>
      <c r="H172" s="396">
        <v>5</v>
      </c>
      <c r="I172" s="369"/>
      <c r="J172" s="369" t="s">
        <v>658</v>
      </c>
      <c r="K172" s="410" t="s">
        <v>655</v>
      </c>
      <c r="L172" s="396">
        <v>2</v>
      </c>
      <c r="M172" s="592"/>
      <c r="N172" s="257">
        <f>'[2]1.4 Septic'!$F$16</f>
        <v>298</v>
      </c>
      <c r="O172" s="257">
        <f t="shared" si="54"/>
        <v>37.64</v>
      </c>
      <c r="P172" s="258"/>
      <c r="Q172" s="590">
        <f t="shared" si="55"/>
        <v>158.3421891604676</v>
      </c>
    </row>
    <row r="173" spans="1:17" ht="18" customHeight="1">
      <c r="A173" s="396">
        <f t="shared" si="41"/>
        <v>169</v>
      </c>
      <c r="B173" s="396">
        <v>561207</v>
      </c>
      <c r="C173" s="369" t="s">
        <v>982</v>
      </c>
      <c r="D173" s="369" t="s">
        <v>643</v>
      </c>
      <c r="E173" s="369" t="s">
        <v>644</v>
      </c>
      <c r="F173" s="369" t="s">
        <v>645</v>
      </c>
      <c r="G173" s="367" t="s">
        <v>746</v>
      </c>
      <c r="H173" s="396">
        <v>7</v>
      </c>
      <c r="I173" s="369"/>
      <c r="J173" s="369" t="s">
        <v>648</v>
      </c>
      <c r="K173" s="410" t="s">
        <v>655</v>
      </c>
      <c r="L173" s="396">
        <v>2</v>
      </c>
      <c r="M173" s="592"/>
      <c r="N173" s="257">
        <f>'[2]1.4 Septic'!$F$16</f>
        <v>298</v>
      </c>
      <c r="O173" s="257">
        <f>$G$487</f>
        <v>14.763</v>
      </c>
      <c r="P173" s="258"/>
      <c r="Q173" s="590">
        <f>H173*2*L173*N173/O173</f>
        <v>565.19677572309149</v>
      </c>
    </row>
    <row r="174" spans="1:17" ht="18" customHeight="1">
      <c r="A174" s="396">
        <f t="shared" si="41"/>
        <v>170</v>
      </c>
      <c r="B174" s="396">
        <v>561215</v>
      </c>
      <c r="C174" s="369" t="s">
        <v>983</v>
      </c>
      <c r="D174" s="369" t="s">
        <v>643</v>
      </c>
      <c r="E174" s="369" t="s">
        <v>644</v>
      </c>
      <c r="F174" s="369" t="s">
        <v>645</v>
      </c>
      <c r="G174" s="367" t="s">
        <v>984</v>
      </c>
      <c r="H174" s="396">
        <v>9</v>
      </c>
      <c r="I174" s="369"/>
      <c r="J174" s="369" t="s">
        <v>718</v>
      </c>
      <c r="K174" s="410" t="s">
        <v>655</v>
      </c>
      <c r="L174" s="396">
        <v>1</v>
      </c>
      <c r="M174" s="592"/>
      <c r="N174" s="257">
        <f>'[2]1.4 Septic'!$F$16</f>
        <v>298</v>
      </c>
      <c r="O174" s="595">
        <f>$G$491</f>
        <v>32.435000000000002</v>
      </c>
      <c r="P174" s="258"/>
      <c r="Q174" s="590">
        <f>H174*2*L174*N174/O174</f>
        <v>165.37690766147679</v>
      </c>
    </row>
    <row r="175" spans="1:17" ht="18" customHeight="1">
      <c r="A175" s="396">
        <f t="shared" si="41"/>
        <v>171</v>
      </c>
      <c r="B175" s="396">
        <v>561225</v>
      </c>
      <c r="C175" s="369" t="s">
        <v>985</v>
      </c>
      <c r="D175" s="369" t="s">
        <v>672</v>
      </c>
      <c r="E175" s="369" t="s">
        <v>644</v>
      </c>
      <c r="F175" s="369" t="s">
        <v>645</v>
      </c>
      <c r="G175" s="369" t="s">
        <v>986</v>
      </c>
      <c r="H175" s="396">
        <v>10</v>
      </c>
      <c r="I175" s="369"/>
      <c r="J175" s="369" t="s">
        <v>695</v>
      </c>
      <c r="K175" s="410" t="s">
        <v>655</v>
      </c>
      <c r="L175" s="396">
        <v>1</v>
      </c>
      <c r="M175" s="592"/>
      <c r="N175" s="257">
        <f>'[2]1.4 Septic'!$F$16</f>
        <v>298</v>
      </c>
      <c r="O175" s="257">
        <f t="shared" ref="O175:O180" si="56">$G$492</f>
        <v>37.64</v>
      </c>
      <c r="P175" s="258"/>
      <c r="Q175" s="590">
        <f t="shared" ref="Q175:Q180" si="57">H175*2*L175*N175/O175</f>
        <v>158.3421891604676</v>
      </c>
    </row>
    <row r="176" spans="1:17" ht="18" customHeight="1">
      <c r="A176" s="396">
        <f t="shared" si="41"/>
        <v>172</v>
      </c>
      <c r="B176" s="396">
        <v>561247</v>
      </c>
      <c r="C176" s="369" t="s">
        <v>987</v>
      </c>
      <c r="D176" s="369" t="s">
        <v>672</v>
      </c>
      <c r="E176" s="369" t="s">
        <v>644</v>
      </c>
      <c r="F176" s="369" t="s">
        <v>645</v>
      </c>
      <c r="G176" s="369" t="s">
        <v>988</v>
      </c>
      <c r="H176" s="396">
        <v>1.5</v>
      </c>
      <c r="I176" s="369"/>
      <c r="J176" s="369" t="s">
        <v>658</v>
      </c>
      <c r="K176" s="410" t="s">
        <v>655</v>
      </c>
      <c r="L176" s="396">
        <v>1</v>
      </c>
      <c r="M176" s="592"/>
      <c r="N176" s="257">
        <f>'[2]1.4 Septic'!$F$16</f>
        <v>298</v>
      </c>
      <c r="O176" s="257">
        <f t="shared" si="56"/>
        <v>37.64</v>
      </c>
      <c r="P176" s="258"/>
      <c r="Q176" s="590">
        <f t="shared" si="57"/>
        <v>23.751328374070138</v>
      </c>
    </row>
    <row r="177" spans="1:17" ht="18" customHeight="1">
      <c r="A177" s="396">
        <f t="shared" si="41"/>
        <v>173</v>
      </c>
      <c r="B177" s="396">
        <v>571275</v>
      </c>
      <c r="C177" s="369" t="s">
        <v>989</v>
      </c>
      <c r="D177" s="369" t="s">
        <v>672</v>
      </c>
      <c r="E177" s="369" t="s">
        <v>644</v>
      </c>
      <c r="F177" s="369" t="s">
        <v>645</v>
      </c>
      <c r="G177" s="369" t="s">
        <v>990</v>
      </c>
      <c r="H177" s="396">
        <v>5</v>
      </c>
      <c r="I177" s="369"/>
      <c r="J177" s="369" t="s">
        <v>658</v>
      </c>
      <c r="K177" s="410" t="s">
        <v>655</v>
      </c>
      <c r="L177" s="396">
        <v>1</v>
      </c>
      <c r="M177" s="592"/>
      <c r="N177" s="257">
        <f>'[2]1.4 Septic'!$F$16</f>
        <v>298</v>
      </c>
      <c r="O177" s="257">
        <f t="shared" si="56"/>
        <v>37.64</v>
      </c>
      <c r="P177" s="258"/>
      <c r="Q177" s="590">
        <f t="shared" si="57"/>
        <v>79.171094580233799</v>
      </c>
    </row>
    <row r="178" spans="1:17" ht="18" customHeight="1">
      <c r="A178" s="396">
        <f t="shared" si="41"/>
        <v>174</v>
      </c>
      <c r="B178" s="396">
        <v>571280</v>
      </c>
      <c r="C178" s="369" t="s">
        <v>991</v>
      </c>
      <c r="D178" s="369" t="s">
        <v>672</v>
      </c>
      <c r="E178" s="369" t="s">
        <v>644</v>
      </c>
      <c r="F178" s="369" t="s">
        <v>645</v>
      </c>
      <c r="G178" s="369" t="s">
        <v>992</v>
      </c>
      <c r="H178" s="396">
        <v>7</v>
      </c>
      <c r="I178" s="369"/>
      <c r="J178" s="369" t="s">
        <v>695</v>
      </c>
      <c r="K178" s="410" t="s">
        <v>649</v>
      </c>
      <c r="L178" s="396">
        <v>2</v>
      </c>
      <c r="M178" s="592"/>
      <c r="N178" s="257">
        <f>'[2]1.4 Septic'!$F$16</f>
        <v>298</v>
      </c>
      <c r="O178" s="257">
        <f t="shared" si="56"/>
        <v>37.64</v>
      </c>
      <c r="P178" s="258"/>
      <c r="Q178" s="590">
        <f t="shared" si="57"/>
        <v>221.67906482465463</v>
      </c>
    </row>
    <row r="179" spans="1:17" ht="18" customHeight="1">
      <c r="A179" s="396">
        <f t="shared" si="41"/>
        <v>175</v>
      </c>
      <c r="B179" s="396">
        <v>571281</v>
      </c>
      <c r="C179" s="369" t="s">
        <v>993</v>
      </c>
      <c r="D179" s="369" t="s">
        <v>672</v>
      </c>
      <c r="E179" s="369" t="s">
        <v>644</v>
      </c>
      <c r="F179" s="369" t="s">
        <v>645</v>
      </c>
      <c r="G179" s="369" t="s">
        <v>994</v>
      </c>
      <c r="H179" s="396">
        <v>6</v>
      </c>
      <c r="I179" s="369"/>
      <c r="J179" s="369" t="s">
        <v>695</v>
      </c>
      <c r="K179" s="410" t="s">
        <v>655</v>
      </c>
      <c r="L179" s="396">
        <v>1</v>
      </c>
      <c r="M179" s="592"/>
      <c r="N179" s="257">
        <f>'[2]1.4 Septic'!$F$16</f>
        <v>298</v>
      </c>
      <c r="O179" s="257">
        <f t="shared" si="56"/>
        <v>37.64</v>
      </c>
      <c r="P179" s="258"/>
      <c r="Q179" s="590">
        <f t="shared" si="57"/>
        <v>95.00531349628055</v>
      </c>
    </row>
    <row r="180" spans="1:17" ht="18" customHeight="1">
      <c r="A180" s="396">
        <f t="shared" si="41"/>
        <v>176</v>
      </c>
      <c r="B180" s="396">
        <v>571282</v>
      </c>
      <c r="C180" s="369" t="s">
        <v>995</v>
      </c>
      <c r="D180" s="369" t="s">
        <v>672</v>
      </c>
      <c r="E180" s="369" t="s">
        <v>644</v>
      </c>
      <c r="F180" s="369" t="s">
        <v>645</v>
      </c>
      <c r="G180" s="369" t="s">
        <v>996</v>
      </c>
      <c r="H180" s="396">
        <v>6</v>
      </c>
      <c r="I180" s="369"/>
      <c r="J180" s="369" t="s">
        <v>658</v>
      </c>
      <c r="K180" s="410" t="s">
        <v>655</v>
      </c>
      <c r="L180" s="396">
        <v>1</v>
      </c>
      <c r="M180" s="592"/>
      <c r="N180" s="257">
        <f>'[2]1.4 Septic'!$F$16</f>
        <v>298</v>
      </c>
      <c r="O180" s="257">
        <f t="shared" si="56"/>
        <v>37.64</v>
      </c>
      <c r="P180" s="258"/>
      <c r="Q180" s="590">
        <f t="shared" si="57"/>
        <v>95.00531349628055</v>
      </c>
    </row>
    <row r="181" spans="1:17" ht="18" customHeight="1">
      <c r="A181" s="396">
        <f t="shared" si="41"/>
        <v>177</v>
      </c>
      <c r="B181" s="396">
        <v>571284</v>
      </c>
      <c r="C181" s="369" t="s">
        <v>997</v>
      </c>
      <c r="D181" s="369" t="s">
        <v>672</v>
      </c>
      <c r="E181" s="369" t="s">
        <v>644</v>
      </c>
      <c r="F181" s="369" t="s">
        <v>645</v>
      </c>
      <c r="G181" s="596" t="s">
        <v>975</v>
      </c>
      <c r="H181" s="396">
        <v>7</v>
      </c>
      <c r="I181" s="369"/>
      <c r="J181" s="369" t="s">
        <v>1790</v>
      </c>
      <c r="K181" s="410" t="s">
        <v>652</v>
      </c>
      <c r="L181" s="396">
        <v>2</v>
      </c>
      <c r="M181" s="592"/>
      <c r="N181" s="257">
        <f>'[2]1.4 Septic'!$F$16</f>
        <v>298</v>
      </c>
      <c r="O181" s="257">
        <v>6.3689999999999998</v>
      </c>
      <c r="P181" s="590">
        <f>H181*2*L181*N181/O181</f>
        <v>1310.09577641702</v>
      </c>
      <c r="Q181" s="258"/>
    </row>
    <row r="182" spans="1:17" ht="18" customHeight="1">
      <c r="A182" s="396">
        <f t="shared" si="41"/>
        <v>178</v>
      </c>
      <c r="B182" s="396">
        <v>571287</v>
      </c>
      <c r="C182" s="369" t="s">
        <v>998</v>
      </c>
      <c r="D182" s="369" t="s">
        <v>643</v>
      </c>
      <c r="E182" s="369" t="s">
        <v>644</v>
      </c>
      <c r="F182" s="369" t="s">
        <v>645</v>
      </c>
      <c r="G182" s="369" t="s">
        <v>724</v>
      </c>
      <c r="H182" s="396">
        <v>6</v>
      </c>
      <c r="I182" s="369"/>
      <c r="J182" s="369" t="s">
        <v>658</v>
      </c>
      <c r="K182" s="410" t="s">
        <v>655</v>
      </c>
      <c r="L182" s="396">
        <v>1</v>
      </c>
      <c r="M182" s="592"/>
      <c r="N182" s="257">
        <f>'[2]1.4 Septic'!$F$16</f>
        <v>298</v>
      </c>
      <c r="O182" s="257">
        <f>$G$492</f>
        <v>37.64</v>
      </c>
      <c r="P182" s="258"/>
      <c r="Q182" s="590">
        <f>H182*2*L182*N182/O182</f>
        <v>95.00531349628055</v>
      </c>
    </row>
    <row r="183" spans="1:17" ht="18" customHeight="1">
      <c r="A183" s="396">
        <f t="shared" si="41"/>
        <v>179</v>
      </c>
      <c r="B183" s="396">
        <v>571297</v>
      </c>
      <c r="C183" s="369" t="s">
        <v>999</v>
      </c>
      <c r="D183" s="369" t="s">
        <v>672</v>
      </c>
      <c r="E183" s="369" t="s">
        <v>644</v>
      </c>
      <c r="F183" s="369" t="s">
        <v>645</v>
      </c>
      <c r="G183" s="369" t="s">
        <v>1000</v>
      </c>
      <c r="H183" s="396">
        <v>6</v>
      </c>
      <c r="I183" s="369"/>
      <c r="J183" s="369" t="s">
        <v>648</v>
      </c>
      <c r="K183" s="410" t="s">
        <v>649</v>
      </c>
      <c r="L183" s="396">
        <v>1</v>
      </c>
      <c r="M183" s="592"/>
      <c r="N183" s="257">
        <f>'[2]1.4 Septic'!$F$16</f>
        <v>298</v>
      </c>
      <c r="O183" s="257">
        <f>$G$487</f>
        <v>14.763</v>
      </c>
      <c r="P183" s="258"/>
      <c r="Q183" s="590">
        <f>H183*2*L183*N183/O183</f>
        <v>242.22718959561064</v>
      </c>
    </row>
    <row r="184" spans="1:17" ht="18" customHeight="1">
      <c r="A184" s="396">
        <f t="shared" si="41"/>
        <v>180</v>
      </c>
      <c r="B184" s="396">
        <v>571299</v>
      </c>
      <c r="C184" s="369" t="s">
        <v>1001</v>
      </c>
      <c r="D184" s="369" t="s">
        <v>672</v>
      </c>
      <c r="E184" s="369" t="s">
        <v>644</v>
      </c>
      <c r="F184" s="369" t="s">
        <v>645</v>
      </c>
      <c r="G184" s="596" t="s">
        <v>1002</v>
      </c>
      <c r="H184" s="396">
        <v>11</v>
      </c>
      <c r="I184" s="369"/>
      <c r="J184" s="369" t="s">
        <v>658</v>
      </c>
      <c r="K184" s="410" t="s">
        <v>649</v>
      </c>
      <c r="L184" s="396">
        <v>1</v>
      </c>
      <c r="M184" s="592"/>
      <c r="N184" s="257">
        <f>'[2]1.4 Septic'!$F$16</f>
        <v>298</v>
      </c>
      <c r="O184" s="257">
        <f>$G$492</f>
        <v>37.64</v>
      </c>
      <c r="P184" s="258"/>
      <c r="Q184" s="590">
        <f>H184*2*L184*N184/O184</f>
        <v>174.17640807651435</v>
      </c>
    </row>
    <row r="185" spans="1:17" ht="18" customHeight="1">
      <c r="A185" s="396">
        <f t="shared" si="41"/>
        <v>181</v>
      </c>
      <c r="B185" s="396">
        <v>571321</v>
      </c>
      <c r="C185" s="369" t="s">
        <v>1003</v>
      </c>
      <c r="D185" s="369" t="s">
        <v>672</v>
      </c>
      <c r="E185" s="369" t="s">
        <v>644</v>
      </c>
      <c r="F185" s="369" t="s">
        <v>645</v>
      </c>
      <c r="G185" s="369" t="s">
        <v>1004</v>
      </c>
      <c r="H185" s="396">
        <v>6</v>
      </c>
      <c r="I185" s="369"/>
      <c r="J185" s="369" t="s">
        <v>648</v>
      </c>
      <c r="K185" s="410" t="s">
        <v>649</v>
      </c>
      <c r="L185" s="396">
        <v>1</v>
      </c>
      <c r="M185" s="592"/>
      <c r="N185" s="257">
        <f>'[2]1.4 Septic'!$F$16</f>
        <v>298</v>
      </c>
      <c r="O185" s="257">
        <f>$G$487</f>
        <v>14.763</v>
      </c>
      <c r="P185" s="258"/>
      <c r="Q185" s="590">
        <f>H185*2*L185*N185/O185</f>
        <v>242.22718959561064</v>
      </c>
    </row>
    <row r="186" spans="1:17" ht="18" customHeight="1">
      <c r="A186" s="396">
        <f t="shared" si="41"/>
        <v>182</v>
      </c>
      <c r="B186" s="396">
        <v>571324</v>
      </c>
      <c r="C186" s="369" t="s">
        <v>1005</v>
      </c>
      <c r="D186" s="369" t="s">
        <v>672</v>
      </c>
      <c r="E186" s="369" t="s">
        <v>644</v>
      </c>
      <c r="F186" s="369" t="s">
        <v>645</v>
      </c>
      <c r="G186" s="369" t="s">
        <v>822</v>
      </c>
      <c r="H186" s="396">
        <v>10</v>
      </c>
      <c r="I186" s="369"/>
      <c r="J186" s="369" t="s">
        <v>695</v>
      </c>
      <c r="K186" s="410" t="s">
        <v>649</v>
      </c>
      <c r="L186" s="396">
        <v>1</v>
      </c>
      <c r="M186" s="592"/>
      <c r="N186" s="257">
        <f>'[2]1.4 Septic'!$F$16</f>
        <v>298</v>
      </c>
      <c r="O186" s="257">
        <f>$G$492</f>
        <v>37.64</v>
      </c>
      <c r="P186" s="258"/>
      <c r="Q186" s="590">
        <f t="shared" ref="Q186:Q189" si="58">H186*2*L186*N186/O186</f>
        <v>158.3421891604676</v>
      </c>
    </row>
    <row r="187" spans="1:17" ht="18" customHeight="1">
      <c r="A187" s="396">
        <f t="shared" si="41"/>
        <v>183</v>
      </c>
      <c r="B187" s="396">
        <v>571336</v>
      </c>
      <c r="C187" s="369" t="s">
        <v>1006</v>
      </c>
      <c r="D187" s="369" t="s">
        <v>672</v>
      </c>
      <c r="E187" s="369" t="s">
        <v>644</v>
      </c>
      <c r="F187" s="369" t="s">
        <v>645</v>
      </c>
      <c r="G187" s="369" t="s">
        <v>1007</v>
      </c>
      <c r="H187" s="396">
        <v>3</v>
      </c>
      <c r="I187" s="369"/>
      <c r="J187" s="369" t="s">
        <v>658</v>
      </c>
      <c r="K187" s="410" t="s">
        <v>655</v>
      </c>
      <c r="L187" s="396">
        <v>2</v>
      </c>
      <c r="M187" s="592"/>
      <c r="N187" s="257">
        <f>'[2]1.4 Septic'!$F$16</f>
        <v>298</v>
      </c>
      <c r="O187" s="257">
        <f t="shared" ref="O187:O189" si="59">$G$492</f>
        <v>37.64</v>
      </c>
      <c r="P187" s="258"/>
      <c r="Q187" s="590">
        <f t="shared" si="58"/>
        <v>95.00531349628055</v>
      </c>
    </row>
    <row r="188" spans="1:17" ht="18" customHeight="1">
      <c r="A188" s="396">
        <f t="shared" si="41"/>
        <v>184</v>
      </c>
      <c r="B188" s="396">
        <v>571349</v>
      </c>
      <c r="C188" s="369" t="s">
        <v>1008</v>
      </c>
      <c r="D188" s="369" t="s">
        <v>643</v>
      </c>
      <c r="E188" s="369" t="s">
        <v>644</v>
      </c>
      <c r="F188" s="369" t="s">
        <v>645</v>
      </c>
      <c r="G188" s="596" t="s">
        <v>1009</v>
      </c>
      <c r="H188" s="396">
        <v>4</v>
      </c>
      <c r="I188" s="369"/>
      <c r="J188" s="369" t="s">
        <v>658</v>
      </c>
      <c r="K188" s="410" t="s">
        <v>776</v>
      </c>
      <c r="L188" s="396">
        <v>1</v>
      </c>
      <c r="M188" s="592"/>
      <c r="N188" s="257">
        <f>'[2]1.4 Septic'!$F$16</f>
        <v>298</v>
      </c>
      <c r="O188" s="257">
        <f t="shared" si="59"/>
        <v>37.64</v>
      </c>
      <c r="P188" s="258"/>
      <c r="Q188" s="590">
        <f t="shared" si="58"/>
        <v>63.336875664187033</v>
      </c>
    </row>
    <row r="189" spans="1:17" ht="18" customHeight="1">
      <c r="A189" s="396">
        <f t="shared" si="41"/>
        <v>185</v>
      </c>
      <c r="B189" s="396">
        <v>571352</v>
      </c>
      <c r="C189" s="369" t="s">
        <v>1010</v>
      </c>
      <c r="D189" s="369" t="s">
        <v>672</v>
      </c>
      <c r="E189" s="369" t="s">
        <v>644</v>
      </c>
      <c r="F189" s="369" t="s">
        <v>645</v>
      </c>
      <c r="G189" s="369" t="s">
        <v>1011</v>
      </c>
      <c r="H189" s="396">
        <v>8.9</v>
      </c>
      <c r="I189" s="369"/>
      <c r="J189" s="369" t="s">
        <v>658</v>
      </c>
      <c r="K189" s="410" t="s">
        <v>649</v>
      </c>
      <c r="L189" s="396">
        <v>2</v>
      </c>
      <c r="M189" s="592"/>
      <c r="N189" s="257">
        <f>'[2]1.4 Septic'!$F$16</f>
        <v>298</v>
      </c>
      <c r="O189" s="257">
        <f t="shared" si="59"/>
        <v>37.64</v>
      </c>
      <c r="P189" s="258"/>
      <c r="Q189" s="590">
        <f t="shared" si="58"/>
        <v>281.84909670563235</v>
      </c>
    </row>
    <row r="190" spans="1:17" ht="18" customHeight="1">
      <c r="A190" s="396">
        <f t="shared" si="41"/>
        <v>186</v>
      </c>
      <c r="B190" s="396">
        <v>571356</v>
      </c>
      <c r="C190" s="369" t="s">
        <v>1012</v>
      </c>
      <c r="D190" s="369" t="s">
        <v>672</v>
      </c>
      <c r="E190" s="369" t="s">
        <v>644</v>
      </c>
      <c r="F190" s="369" t="s">
        <v>645</v>
      </c>
      <c r="G190" s="591" t="s">
        <v>1013</v>
      </c>
      <c r="H190" s="396">
        <v>7</v>
      </c>
      <c r="I190" s="369"/>
      <c r="J190" s="369" t="s">
        <v>648</v>
      </c>
      <c r="K190" s="410" t="s">
        <v>649</v>
      </c>
      <c r="L190" s="396">
        <v>1</v>
      </c>
      <c r="M190" s="592"/>
      <c r="N190" s="257">
        <f>'[2]1.4 Septic'!$F$16</f>
        <v>298</v>
      </c>
      <c r="O190" s="257">
        <f>$G$487</f>
        <v>14.763</v>
      </c>
      <c r="P190" s="258"/>
      <c r="Q190" s="590">
        <f>H190*2*L190*N190/O190</f>
        <v>282.59838786154575</v>
      </c>
    </row>
    <row r="191" spans="1:17" ht="18" customHeight="1">
      <c r="A191" s="396">
        <f t="shared" si="41"/>
        <v>187</v>
      </c>
      <c r="B191" s="396">
        <v>571373</v>
      </c>
      <c r="C191" s="369" t="s">
        <v>1014</v>
      </c>
      <c r="D191" s="369" t="s">
        <v>643</v>
      </c>
      <c r="E191" s="369" t="s">
        <v>644</v>
      </c>
      <c r="F191" s="369" t="s">
        <v>645</v>
      </c>
      <c r="G191" s="367" t="s">
        <v>1015</v>
      </c>
      <c r="H191" s="396">
        <v>10</v>
      </c>
      <c r="I191" s="369"/>
      <c r="J191" s="369" t="s">
        <v>695</v>
      </c>
      <c r="K191" s="410" t="s">
        <v>649</v>
      </c>
      <c r="L191" s="396">
        <v>2</v>
      </c>
      <c r="M191" s="592"/>
      <c r="N191" s="257">
        <f>'[2]1.4 Septic'!$F$16</f>
        <v>298</v>
      </c>
      <c r="O191" s="257">
        <f t="shared" ref="O191:O193" si="60">$G$492</f>
        <v>37.64</v>
      </c>
      <c r="P191" s="258"/>
      <c r="Q191" s="590">
        <f t="shared" ref="Q191:Q195" si="61">H191*2*L191*N191/O191</f>
        <v>316.6843783209352</v>
      </c>
    </row>
    <row r="192" spans="1:17" ht="18" customHeight="1">
      <c r="A192" s="396">
        <f t="shared" si="41"/>
        <v>188</v>
      </c>
      <c r="B192" s="396">
        <v>571384</v>
      </c>
      <c r="C192" s="369" t="s">
        <v>1016</v>
      </c>
      <c r="D192" s="369" t="s">
        <v>643</v>
      </c>
      <c r="E192" s="369" t="s">
        <v>644</v>
      </c>
      <c r="F192" s="369" t="s">
        <v>645</v>
      </c>
      <c r="G192" s="369" t="s">
        <v>1017</v>
      </c>
      <c r="H192" s="396">
        <v>6</v>
      </c>
      <c r="I192" s="369"/>
      <c r="J192" s="369" t="s">
        <v>695</v>
      </c>
      <c r="K192" s="410" t="s">
        <v>649</v>
      </c>
      <c r="L192" s="396">
        <v>1</v>
      </c>
      <c r="M192" s="592"/>
      <c r="N192" s="257">
        <f>'[2]1.4 Septic'!$F$16</f>
        <v>298</v>
      </c>
      <c r="O192" s="257">
        <f t="shared" si="60"/>
        <v>37.64</v>
      </c>
      <c r="P192" s="258"/>
      <c r="Q192" s="590">
        <f t="shared" si="61"/>
        <v>95.00531349628055</v>
      </c>
    </row>
    <row r="193" spans="1:17" ht="18" customHeight="1">
      <c r="A193" s="396">
        <f t="shared" si="41"/>
        <v>189</v>
      </c>
      <c r="B193" s="396">
        <v>571406</v>
      </c>
      <c r="C193" s="369" t="s">
        <v>1018</v>
      </c>
      <c r="D193" s="369" t="s">
        <v>643</v>
      </c>
      <c r="E193" s="369" t="s">
        <v>644</v>
      </c>
      <c r="F193" s="369" t="s">
        <v>645</v>
      </c>
      <c r="G193" s="369" t="s">
        <v>1019</v>
      </c>
      <c r="H193" s="396">
        <v>3</v>
      </c>
      <c r="I193" s="369"/>
      <c r="J193" s="369" t="s">
        <v>658</v>
      </c>
      <c r="K193" s="410" t="s">
        <v>649</v>
      </c>
      <c r="L193" s="396">
        <v>1</v>
      </c>
      <c r="M193" s="592"/>
      <c r="N193" s="257">
        <f>'[2]1.4 Septic'!$F$16</f>
        <v>298</v>
      </c>
      <c r="O193" s="257">
        <f t="shared" si="60"/>
        <v>37.64</v>
      </c>
      <c r="P193" s="258"/>
      <c r="Q193" s="590">
        <f t="shared" si="61"/>
        <v>47.502656748140275</v>
      </c>
    </row>
    <row r="194" spans="1:17" ht="18" customHeight="1">
      <c r="A194" s="396">
        <f t="shared" si="41"/>
        <v>190</v>
      </c>
      <c r="B194" s="396">
        <v>571409</v>
      </c>
      <c r="C194" s="369" t="s">
        <v>1020</v>
      </c>
      <c r="D194" s="369" t="s">
        <v>643</v>
      </c>
      <c r="E194" s="369" t="s">
        <v>644</v>
      </c>
      <c r="F194" s="369" t="s">
        <v>645</v>
      </c>
      <c r="G194" s="367" t="s">
        <v>1021</v>
      </c>
      <c r="H194" s="396">
        <v>3.7</v>
      </c>
      <c r="I194" s="369"/>
      <c r="J194" s="369" t="s">
        <v>684</v>
      </c>
      <c r="K194" s="410" t="s">
        <v>649</v>
      </c>
      <c r="L194" s="396">
        <v>2</v>
      </c>
      <c r="M194" s="592"/>
      <c r="N194" s="257">
        <f>'[2]1.4 Septic'!$F$16</f>
        <v>298</v>
      </c>
      <c r="O194" s="257">
        <f t="shared" ref="O194:O195" si="62">$G$498</f>
        <v>17.77</v>
      </c>
      <c r="P194" s="258"/>
      <c r="Q194" s="590">
        <f t="shared" si="61"/>
        <v>248.19358469330336</v>
      </c>
    </row>
    <row r="195" spans="1:17" ht="18" customHeight="1">
      <c r="A195" s="396">
        <f t="shared" si="41"/>
        <v>191</v>
      </c>
      <c r="B195" s="396">
        <v>571414</v>
      </c>
      <c r="C195" s="369" t="s">
        <v>1022</v>
      </c>
      <c r="D195" s="369" t="s">
        <v>672</v>
      </c>
      <c r="E195" s="369" t="s">
        <v>644</v>
      </c>
      <c r="F195" s="369" t="s">
        <v>645</v>
      </c>
      <c r="G195" s="369" t="s">
        <v>1023</v>
      </c>
      <c r="H195" s="396">
        <v>10</v>
      </c>
      <c r="I195" s="369"/>
      <c r="J195" s="369" t="s">
        <v>684</v>
      </c>
      <c r="K195" s="410" t="s">
        <v>655</v>
      </c>
      <c r="L195" s="396">
        <v>1</v>
      </c>
      <c r="M195" s="592"/>
      <c r="N195" s="257">
        <f>'[2]1.4 Septic'!$F$16</f>
        <v>298</v>
      </c>
      <c r="O195" s="257">
        <f t="shared" si="62"/>
        <v>17.77</v>
      </c>
      <c r="P195" s="258"/>
      <c r="Q195" s="590">
        <f t="shared" si="61"/>
        <v>335.3967360720315</v>
      </c>
    </row>
    <row r="196" spans="1:17" ht="18" customHeight="1">
      <c r="A196" s="396">
        <f t="shared" si="41"/>
        <v>192</v>
      </c>
      <c r="B196" s="396">
        <v>571420</v>
      </c>
      <c r="C196" s="369" t="s">
        <v>1024</v>
      </c>
      <c r="D196" s="369" t="s">
        <v>672</v>
      </c>
      <c r="E196" s="369" t="s">
        <v>644</v>
      </c>
      <c r="F196" s="369" t="s">
        <v>645</v>
      </c>
      <c r="G196" s="369" t="s">
        <v>1025</v>
      </c>
      <c r="H196" s="396">
        <v>8.3000000000000007</v>
      </c>
      <c r="I196" s="369"/>
      <c r="J196" s="369" t="s">
        <v>648</v>
      </c>
      <c r="K196" s="410" t="s">
        <v>692</v>
      </c>
      <c r="L196" s="396">
        <v>1</v>
      </c>
      <c r="M196" s="592"/>
      <c r="N196" s="257">
        <f>'[2]1.4 Septic'!$F$16</f>
        <v>298</v>
      </c>
      <c r="O196" s="257">
        <f>$G$487</f>
        <v>14.763</v>
      </c>
      <c r="P196" s="258"/>
      <c r="Q196" s="590">
        <f>H196*2*L196*N196/O196</f>
        <v>335.08094560726141</v>
      </c>
    </row>
    <row r="197" spans="1:17" ht="18" customHeight="1">
      <c r="A197" s="396">
        <f t="shared" si="41"/>
        <v>193</v>
      </c>
      <c r="B197" s="396">
        <v>571423</v>
      </c>
      <c r="C197" s="369" t="s">
        <v>1026</v>
      </c>
      <c r="D197" s="369" t="s">
        <v>672</v>
      </c>
      <c r="E197" s="369" t="s">
        <v>644</v>
      </c>
      <c r="F197" s="369" t="s">
        <v>645</v>
      </c>
      <c r="G197" s="369" t="s">
        <v>1027</v>
      </c>
      <c r="H197" s="396">
        <v>4</v>
      </c>
      <c r="I197" s="369"/>
      <c r="J197" s="369" t="s">
        <v>658</v>
      </c>
      <c r="K197" s="410" t="s">
        <v>655</v>
      </c>
      <c r="L197" s="396">
        <v>2</v>
      </c>
      <c r="M197" s="592"/>
      <c r="N197" s="257">
        <f>'[2]1.4 Septic'!$F$16</f>
        <v>298</v>
      </c>
      <c r="O197" s="257">
        <f>$G$492</f>
        <v>37.64</v>
      </c>
      <c r="P197" s="258"/>
      <c r="Q197" s="590">
        <f>H197*2*L197*N197/O197</f>
        <v>126.67375132837407</v>
      </c>
    </row>
    <row r="198" spans="1:17" ht="18" customHeight="1">
      <c r="A198" s="396">
        <f t="shared" ref="A198:A261" si="63">+A197+1</f>
        <v>194</v>
      </c>
      <c r="B198" s="396">
        <v>581425</v>
      </c>
      <c r="C198" s="369" t="s">
        <v>1028</v>
      </c>
      <c r="D198" s="369" t="s">
        <v>672</v>
      </c>
      <c r="E198" s="369" t="s">
        <v>644</v>
      </c>
      <c r="F198" s="369" t="s">
        <v>645</v>
      </c>
      <c r="G198" s="596" t="s">
        <v>1029</v>
      </c>
      <c r="H198" s="396">
        <v>13</v>
      </c>
      <c r="I198" s="369"/>
      <c r="J198" s="369" t="s">
        <v>1790</v>
      </c>
      <c r="K198" s="410" t="s">
        <v>652</v>
      </c>
      <c r="L198" s="396">
        <v>1</v>
      </c>
      <c r="M198" s="592"/>
      <c r="N198" s="257">
        <f>'[2]1.4 Septic'!$F$16</f>
        <v>298</v>
      </c>
      <c r="O198" s="257">
        <v>6.3689999999999998</v>
      </c>
      <c r="P198" s="590">
        <f>H198*2*L198*N198/O198</f>
        <v>1216.5175066729471</v>
      </c>
      <c r="Q198" s="258"/>
    </row>
    <row r="199" spans="1:17" ht="18" customHeight="1">
      <c r="A199" s="396">
        <f t="shared" si="63"/>
        <v>195</v>
      </c>
      <c r="B199" s="396">
        <v>581430</v>
      </c>
      <c r="C199" s="369" t="s">
        <v>1030</v>
      </c>
      <c r="D199" s="369" t="s">
        <v>672</v>
      </c>
      <c r="E199" s="369" t="s">
        <v>644</v>
      </c>
      <c r="F199" s="369" t="s">
        <v>645</v>
      </c>
      <c r="G199" s="369" t="s">
        <v>1031</v>
      </c>
      <c r="H199" s="396">
        <v>5</v>
      </c>
      <c r="I199" s="369"/>
      <c r="J199" s="369" t="s">
        <v>695</v>
      </c>
      <c r="K199" s="410" t="s">
        <v>649</v>
      </c>
      <c r="L199" s="396">
        <v>1</v>
      </c>
      <c r="M199" s="592"/>
      <c r="N199" s="257">
        <f>'[2]1.4 Septic'!$F$16</f>
        <v>298</v>
      </c>
      <c r="O199" s="257">
        <f>$G$492</f>
        <v>37.64</v>
      </c>
      <c r="P199" s="258"/>
      <c r="Q199" s="590">
        <f>H199*2*L199*N199/O199</f>
        <v>79.171094580233799</v>
      </c>
    </row>
    <row r="200" spans="1:17" ht="18" customHeight="1">
      <c r="A200" s="396">
        <f t="shared" si="63"/>
        <v>196</v>
      </c>
      <c r="B200" s="396">
        <v>581432</v>
      </c>
      <c r="C200" s="369" t="s">
        <v>1032</v>
      </c>
      <c r="D200" s="369" t="s">
        <v>643</v>
      </c>
      <c r="E200" s="369" t="s">
        <v>644</v>
      </c>
      <c r="F200" s="369" t="s">
        <v>645</v>
      </c>
      <c r="G200" s="367" t="s">
        <v>803</v>
      </c>
      <c r="H200" s="396">
        <v>5</v>
      </c>
      <c r="I200" s="369"/>
      <c r="J200" s="369" t="s">
        <v>684</v>
      </c>
      <c r="K200" s="410" t="s">
        <v>655</v>
      </c>
      <c r="L200" s="396">
        <v>1</v>
      </c>
      <c r="M200" s="592"/>
      <c r="N200" s="257">
        <f>'[2]1.4 Septic'!$F$16</f>
        <v>298</v>
      </c>
      <c r="O200" s="257">
        <f>$G$498</f>
        <v>17.77</v>
      </c>
      <c r="P200" s="258"/>
      <c r="Q200" s="590">
        <f t="shared" ref="Q200" si="64">H200*2*L200*N200/O200</f>
        <v>167.69836803601575</v>
      </c>
    </row>
    <row r="201" spans="1:17" ht="18" customHeight="1">
      <c r="A201" s="396">
        <f t="shared" si="63"/>
        <v>197</v>
      </c>
      <c r="B201" s="396">
        <v>581438</v>
      </c>
      <c r="C201" s="369" t="s">
        <v>1033</v>
      </c>
      <c r="D201" s="369" t="s">
        <v>672</v>
      </c>
      <c r="E201" s="369" t="s">
        <v>644</v>
      </c>
      <c r="F201" s="369" t="s">
        <v>645</v>
      </c>
      <c r="G201" s="369" t="s">
        <v>1034</v>
      </c>
      <c r="H201" s="396">
        <v>5</v>
      </c>
      <c r="I201" s="369"/>
      <c r="J201" s="369" t="s">
        <v>695</v>
      </c>
      <c r="K201" s="410" t="s">
        <v>655</v>
      </c>
      <c r="L201" s="396">
        <v>1</v>
      </c>
      <c r="M201" s="592"/>
      <c r="N201" s="257">
        <f>'[2]1.4 Septic'!$F$16</f>
        <v>298</v>
      </c>
      <c r="O201" s="257">
        <f>$G$492</f>
        <v>37.64</v>
      </c>
      <c r="P201" s="258"/>
      <c r="Q201" s="590">
        <f>H201*2*L201*N201/O201</f>
        <v>79.171094580233799</v>
      </c>
    </row>
    <row r="202" spans="1:17" ht="18" customHeight="1">
      <c r="A202" s="396">
        <f t="shared" si="63"/>
        <v>198</v>
      </c>
      <c r="B202" s="396">
        <v>581441</v>
      </c>
      <c r="C202" s="369" t="s">
        <v>1035</v>
      </c>
      <c r="D202" s="369" t="s">
        <v>643</v>
      </c>
      <c r="E202" s="369" t="s">
        <v>644</v>
      </c>
      <c r="F202" s="369" t="s">
        <v>645</v>
      </c>
      <c r="G202" s="369" t="s">
        <v>1036</v>
      </c>
      <c r="H202" s="396">
        <v>4</v>
      </c>
      <c r="I202" s="369"/>
      <c r="J202" s="369" t="s">
        <v>718</v>
      </c>
      <c r="K202" s="410" t="s">
        <v>649</v>
      </c>
      <c r="L202" s="396">
        <v>1</v>
      </c>
      <c r="M202" s="592"/>
      <c r="N202" s="257">
        <f>'[2]1.4 Septic'!$F$16</f>
        <v>298</v>
      </c>
      <c r="O202" s="595">
        <f>$G$491</f>
        <v>32.435000000000002</v>
      </c>
      <c r="P202" s="258"/>
      <c r="Q202" s="590">
        <f>H202*2*L202*N202/O202</f>
        <v>73.500847849545238</v>
      </c>
    </row>
    <row r="203" spans="1:17" ht="18" customHeight="1">
      <c r="A203" s="396">
        <f t="shared" si="63"/>
        <v>199</v>
      </c>
      <c r="B203" s="396">
        <v>581452</v>
      </c>
      <c r="C203" s="369" t="s">
        <v>1037</v>
      </c>
      <c r="D203" s="369" t="s">
        <v>643</v>
      </c>
      <c r="E203" s="369" t="s">
        <v>644</v>
      </c>
      <c r="F203" s="369" t="s">
        <v>645</v>
      </c>
      <c r="G203" s="369" t="s">
        <v>1038</v>
      </c>
      <c r="H203" s="396">
        <v>7</v>
      </c>
      <c r="I203" s="369"/>
      <c r="J203" s="369" t="s">
        <v>658</v>
      </c>
      <c r="K203" s="410" t="s">
        <v>649</v>
      </c>
      <c r="L203" s="396">
        <v>1</v>
      </c>
      <c r="M203" s="592"/>
      <c r="N203" s="257">
        <f>'[2]1.4 Septic'!$F$16</f>
        <v>298</v>
      </c>
      <c r="O203" s="257">
        <f>$G$492</f>
        <v>37.64</v>
      </c>
      <c r="P203" s="258"/>
      <c r="Q203" s="590">
        <f>H203*2*L203*N203/O203</f>
        <v>110.83953241232732</v>
      </c>
    </row>
    <row r="204" spans="1:17" ht="18" customHeight="1">
      <c r="A204" s="396">
        <f t="shared" si="63"/>
        <v>200</v>
      </c>
      <c r="B204" s="396">
        <v>581453</v>
      </c>
      <c r="C204" s="369" t="s">
        <v>1039</v>
      </c>
      <c r="D204" s="369" t="s">
        <v>672</v>
      </c>
      <c r="E204" s="369" t="s">
        <v>644</v>
      </c>
      <c r="F204" s="369" t="s">
        <v>645</v>
      </c>
      <c r="G204" s="369" t="s">
        <v>1040</v>
      </c>
      <c r="H204" s="396">
        <v>10</v>
      </c>
      <c r="I204" s="369"/>
      <c r="J204" s="369" t="s">
        <v>1790</v>
      </c>
      <c r="K204" s="410" t="s">
        <v>652</v>
      </c>
      <c r="L204" s="396">
        <v>1</v>
      </c>
      <c r="M204" s="592"/>
      <c r="N204" s="257">
        <f>'[2]1.4 Septic'!$F$16</f>
        <v>298</v>
      </c>
      <c r="O204" s="257">
        <v>6.3689999999999998</v>
      </c>
      <c r="P204" s="590">
        <f>H204*2*L204*N204/O204</f>
        <v>935.78269744072861</v>
      </c>
      <c r="Q204" s="258"/>
    </row>
    <row r="205" spans="1:17" ht="18" customHeight="1">
      <c r="A205" s="396">
        <f t="shared" si="63"/>
        <v>201</v>
      </c>
      <c r="B205" s="396">
        <v>581455</v>
      </c>
      <c r="C205" s="369" t="s">
        <v>1041</v>
      </c>
      <c r="D205" s="369" t="s">
        <v>672</v>
      </c>
      <c r="E205" s="369" t="s">
        <v>644</v>
      </c>
      <c r="F205" s="369" t="s">
        <v>645</v>
      </c>
      <c r="G205" s="369" t="s">
        <v>1042</v>
      </c>
      <c r="H205" s="396">
        <v>38</v>
      </c>
      <c r="I205" s="369"/>
      <c r="J205" s="369" t="s">
        <v>684</v>
      </c>
      <c r="K205" s="410" t="s">
        <v>692</v>
      </c>
      <c r="L205" s="396">
        <v>1</v>
      </c>
      <c r="M205" s="592"/>
      <c r="N205" s="257">
        <f>'[2]1.4 Septic'!$F$16</f>
        <v>298</v>
      </c>
      <c r="O205" s="257">
        <f>$G$498</f>
        <v>17.77</v>
      </c>
      <c r="P205" s="258"/>
      <c r="Q205" s="590">
        <f t="shared" ref="Q205" si="65">H205*2*L205*N205/O205</f>
        <v>1274.5075970737198</v>
      </c>
    </row>
    <row r="206" spans="1:17" ht="18" customHeight="1">
      <c r="A206" s="396">
        <f t="shared" si="63"/>
        <v>202</v>
      </c>
      <c r="B206" s="396">
        <v>581456</v>
      </c>
      <c r="C206" s="369" t="s">
        <v>1043</v>
      </c>
      <c r="D206" s="369" t="s">
        <v>672</v>
      </c>
      <c r="E206" s="369" t="s">
        <v>644</v>
      </c>
      <c r="F206" s="369" t="s">
        <v>645</v>
      </c>
      <c r="G206" s="369" t="s">
        <v>1044</v>
      </c>
      <c r="H206" s="396">
        <v>12</v>
      </c>
      <c r="I206" s="369"/>
      <c r="J206" s="369" t="s">
        <v>718</v>
      </c>
      <c r="K206" s="410" t="s">
        <v>655</v>
      </c>
      <c r="L206" s="396">
        <v>1</v>
      </c>
      <c r="M206" s="592"/>
      <c r="N206" s="257">
        <f>'[2]1.4 Septic'!$F$16</f>
        <v>298</v>
      </c>
      <c r="O206" s="595">
        <f>$G$491</f>
        <v>32.435000000000002</v>
      </c>
      <c r="P206" s="258"/>
      <c r="Q206" s="590">
        <f>H206*2*L206*N206/O206</f>
        <v>220.50254354863571</v>
      </c>
    </row>
    <row r="207" spans="1:17" ht="18" customHeight="1">
      <c r="A207" s="396">
        <f t="shared" si="63"/>
        <v>203</v>
      </c>
      <c r="B207" s="396">
        <v>581457</v>
      </c>
      <c r="C207" s="369" t="s">
        <v>1045</v>
      </c>
      <c r="D207" s="369" t="s">
        <v>643</v>
      </c>
      <c r="E207" s="369" t="s">
        <v>644</v>
      </c>
      <c r="F207" s="369" t="s">
        <v>645</v>
      </c>
      <c r="G207" s="369" t="s">
        <v>1046</v>
      </c>
      <c r="H207" s="396">
        <v>15</v>
      </c>
      <c r="I207" s="369"/>
      <c r="J207" s="369" t="s">
        <v>1790</v>
      </c>
      <c r="K207" s="410" t="s">
        <v>652</v>
      </c>
      <c r="L207" s="396">
        <v>1</v>
      </c>
      <c r="M207" s="592"/>
      <c r="N207" s="257">
        <f>'[2]1.4 Septic'!$F$16</f>
        <v>298</v>
      </c>
      <c r="O207" s="257">
        <v>6.3689999999999998</v>
      </c>
      <c r="P207" s="590">
        <f>H207*2*L207*N207/O207</f>
        <v>1403.6740461610927</v>
      </c>
      <c r="Q207" s="258"/>
    </row>
    <row r="208" spans="1:17" ht="18" customHeight="1">
      <c r="A208" s="396">
        <f t="shared" si="63"/>
        <v>204</v>
      </c>
      <c r="B208" s="396">
        <v>581464</v>
      </c>
      <c r="C208" s="369" t="s">
        <v>1047</v>
      </c>
      <c r="D208" s="369" t="s">
        <v>672</v>
      </c>
      <c r="E208" s="369" t="s">
        <v>644</v>
      </c>
      <c r="F208" s="369" t="s">
        <v>645</v>
      </c>
      <c r="G208" s="369" t="s">
        <v>1048</v>
      </c>
      <c r="H208" s="396">
        <v>5</v>
      </c>
      <c r="I208" s="369"/>
      <c r="J208" s="369" t="s">
        <v>658</v>
      </c>
      <c r="K208" s="410" t="s">
        <v>655</v>
      </c>
      <c r="L208" s="396">
        <v>1</v>
      </c>
      <c r="M208" s="592"/>
      <c r="N208" s="257">
        <f>'[2]1.4 Septic'!$F$16</f>
        <v>298</v>
      </c>
      <c r="O208" s="257">
        <f>$G$492</f>
        <v>37.64</v>
      </c>
      <c r="P208" s="258"/>
      <c r="Q208" s="590">
        <f>H208*2*L208*N208/O208</f>
        <v>79.171094580233799</v>
      </c>
    </row>
    <row r="209" spans="1:17" ht="18" customHeight="1">
      <c r="A209" s="396">
        <f t="shared" si="63"/>
        <v>205</v>
      </c>
      <c r="B209" s="396">
        <v>581467</v>
      </c>
      <c r="C209" s="369" t="s">
        <v>1049</v>
      </c>
      <c r="D209" s="369" t="s">
        <v>643</v>
      </c>
      <c r="E209" s="369" t="s">
        <v>644</v>
      </c>
      <c r="F209" s="369" t="s">
        <v>645</v>
      </c>
      <c r="G209" s="369" t="s">
        <v>1050</v>
      </c>
      <c r="H209" s="396">
        <v>30</v>
      </c>
      <c r="I209" s="369"/>
      <c r="J209" s="369" t="s">
        <v>718</v>
      </c>
      <c r="K209" s="410" t="s">
        <v>649</v>
      </c>
      <c r="L209" s="396">
        <v>1</v>
      </c>
      <c r="M209" s="592"/>
      <c r="N209" s="257">
        <f>'[2]1.4 Septic'!$F$16</f>
        <v>298</v>
      </c>
      <c r="O209" s="595">
        <f>$G$491</f>
        <v>32.435000000000002</v>
      </c>
      <c r="P209" s="258"/>
      <c r="Q209" s="590">
        <f>H209*2*L209*N209/O209</f>
        <v>551.25635887158933</v>
      </c>
    </row>
    <row r="210" spans="1:17" ht="18" customHeight="1">
      <c r="A210" s="396">
        <f t="shared" si="63"/>
        <v>206</v>
      </c>
      <c r="B210" s="396">
        <v>581468</v>
      </c>
      <c r="C210" s="369" t="s">
        <v>1051</v>
      </c>
      <c r="D210" s="369" t="s">
        <v>643</v>
      </c>
      <c r="E210" s="369" t="s">
        <v>644</v>
      </c>
      <c r="F210" s="369" t="s">
        <v>645</v>
      </c>
      <c r="G210" s="369" t="s">
        <v>1052</v>
      </c>
      <c r="H210" s="396">
        <v>15</v>
      </c>
      <c r="I210" s="369"/>
      <c r="J210" s="369" t="s">
        <v>695</v>
      </c>
      <c r="K210" s="410" t="s">
        <v>655</v>
      </c>
      <c r="L210" s="396">
        <v>1</v>
      </c>
      <c r="M210" s="592"/>
      <c r="N210" s="257">
        <f>'[2]1.4 Septic'!$F$16</f>
        <v>298</v>
      </c>
      <c r="O210" s="257">
        <f>$G$492</f>
        <v>37.64</v>
      </c>
      <c r="P210" s="258"/>
      <c r="Q210" s="590">
        <f t="shared" ref="Q210:Q224" si="66">H210*2*L210*N210/O210</f>
        <v>237.51328374070138</v>
      </c>
    </row>
    <row r="211" spans="1:17" ht="18" customHeight="1">
      <c r="A211" s="396">
        <f t="shared" si="63"/>
        <v>207</v>
      </c>
      <c r="B211" s="396">
        <v>581524</v>
      </c>
      <c r="C211" s="369" t="s">
        <v>1053</v>
      </c>
      <c r="D211" s="369" t="s">
        <v>672</v>
      </c>
      <c r="E211" s="369" t="s">
        <v>644</v>
      </c>
      <c r="F211" s="369" t="s">
        <v>645</v>
      </c>
      <c r="G211" s="369" t="s">
        <v>1054</v>
      </c>
      <c r="H211" s="396">
        <v>20</v>
      </c>
      <c r="I211" s="369"/>
      <c r="J211" s="369" t="s">
        <v>695</v>
      </c>
      <c r="K211" s="410" t="s">
        <v>655</v>
      </c>
      <c r="L211" s="396">
        <v>1</v>
      </c>
      <c r="M211" s="592"/>
      <c r="N211" s="257">
        <f>'[2]1.4 Septic'!$F$16</f>
        <v>298</v>
      </c>
      <c r="O211" s="257">
        <f>$G$492</f>
        <v>37.64</v>
      </c>
      <c r="P211" s="258"/>
      <c r="Q211" s="590">
        <f t="shared" si="66"/>
        <v>316.6843783209352</v>
      </c>
    </row>
    <row r="212" spans="1:17" ht="18" customHeight="1">
      <c r="A212" s="396">
        <f t="shared" si="63"/>
        <v>208</v>
      </c>
      <c r="B212" s="396">
        <v>581530</v>
      </c>
      <c r="C212" s="369" t="s">
        <v>1055</v>
      </c>
      <c r="D212" s="369" t="s">
        <v>643</v>
      </c>
      <c r="E212" s="369" t="s">
        <v>644</v>
      </c>
      <c r="F212" s="369" t="s">
        <v>645</v>
      </c>
      <c r="G212" s="369" t="s">
        <v>1056</v>
      </c>
      <c r="H212" s="396">
        <v>12</v>
      </c>
      <c r="I212" s="369"/>
      <c r="J212" s="369" t="s">
        <v>648</v>
      </c>
      <c r="K212" s="410" t="s">
        <v>655</v>
      </c>
      <c r="L212" s="396">
        <v>2</v>
      </c>
      <c r="M212" s="592"/>
      <c r="N212" s="257">
        <f>'[2]1.4 Septic'!$F$16</f>
        <v>298</v>
      </c>
      <c r="O212" s="257">
        <f t="shared" ref="O212:O213" si="67">$G$487</f>
        <v>14.763</v>
      </c>
      <c r="P212" s="258"/>
      <c r="Q212" s="590">
        <f t="shared" si="66"/>
        <v>968.90875838244256</v>
      </c>
    </row>
    <row r="213" spans="1:17" ht="18" customHeight="1">
      <c r="A213" s="396">
        <f t="shared" si="63"/>
        <v>209</v>
      </c>
      <c r="B213" s="396">
        <v>581532</v>
      </c>
      <c r="C213" s="369" t="s">
        <v>1057</v>
      </c>
      <c r="D213" s="369" t="s">
        <v>672</v>
      </c>
      <c r="E213" s="369" t="s">
        <v>644</v>
      </c>
      <c r="F213" s="369" t="s">
        <v>645</v>
      </c>
      <c r="G213" s="367" t="s">
        <v>1058</v>
      </c>
      <c r="H213" s="396">
        <v>7</v>
      </c>
      <c r="I213" s="369"/>
      <c r="J213" s="369" t="s">
        <v>648</v>
      </c>
      <c r="K213" s="410" t="s">
        <v>649</v>
      </c>
      <c r="L213" s="396">
        <v>1</v>
      </c>
      <c r="M213" s="592"/>
      <c r="N213" s="257">
        <f>'[2]1.4 Septic'!$F$16</f>
        <v>298</v>
      </c>
      <c r="O213" s="257">
        <f t="shared" si="67"/>
        <v>14.763</v>
      </c>
      <c r="P213" s="258"/>
      <c r="Q213" s="590">
        <f t="shared" si="66"/>
        <v>282.59838786154575</v>
      </c>
    </row>
    <row r="214" spans="1:17" ht="18" customHeight="1">
      <c r="A214" s="396">
        <f t="shared" si="63"/>
        <v>210</v>
      </c>
      <c r="B214" s="396">
        <v>591544</v>
      </c>
      <c r="C214" s="369" t="s">
        <v>1059</v>
      </c>
      <c r="D214" s="369" t="s">
        <v>672</v>
      </c>
      <c r="E214" s="369" t="s">
        <v>644</v>
      </c>
      <c r="F214" s="369" t="s">
        <v>645</v>
      </c>
      <c r="G214" s="367" t="s">
        <v>746</v>
      </c>
      <c r="H214" s="396">
        <v>5</v>
      </c>
      <c r="I214" s="369"/>
      <c r="J214" s="369" t="s">
        <v>684</v>
      </c>
      <c r="K214" s="410" t="s">
        <v>692</v>
      </c>
      <c r="L214" s="396">
        <v>2</v>
      </c>
      <c r="M214" s="592"/>
      <c r="N214" s="257">
        <f>'[2]1.4 Septic'!$F$16</f>
        <v>298</v>
      </c>
      <c r="O214" s="257">
        <f>$G$498</f>
        <v>17.77</v>
      </c>
      <c r="P214" s="258"/>
      <c r="Q214" s="590">
        <f t="shared" si="66"/>
        <v>335.3967360720315</v>
      </c>
    </row>
    <row r="215" spans="1:17" ht="18" customHeight="1">
      <c r="A215" s="396">
        <f t="shared" si="63"/>
        <v>211</v>
      </c>
      <c r="B215" s="396">
        <v>591547</v>
      </c>
      <c r="C215" s="369" t="s">
        <v>1060</v>
      </c>
      <c r="D215" s="369" t="s">
        <v>672</v>
      </c>
      <c r="E215" s="369" t="s">
        <v>644</v>
      </c>
      <c r="F215" s="369" t="s">
        <v>645</v>
      </c>
      <c r="G215" s="369" t="s">
        <v>1061</v>
      </c>
      <c r="H215" s="396">
        <v>5</v>
      </c>
      <c r="I215" s="369"/>
      <c r="J215" s="369" t="s">
        <v>658</v>
      </c>
      <c r="K215" s="410" t="s">
        <v>655</v>
      </c>
      <c r="L215" s="396">
        <v>2</v>
      </c>
      <c r="M215" s="592"/>
      <c r="N215" s="257">
        <f>'[2]1.4 Septic'!$F$16</f>
        <v>298</v>
      </c>
      <c r="O215" s="257">
        <f t="shared" ref="O215:O224" si="68">$G$492</f>
        <v>37.64</v>
      </c>
      <c r="P215" s="258"/>
      <c r="Q215" s="590">
        <f t="shared" si="66"/>
        <v>158.3421891604676</v>
      </c>
    </row>
    <row r="216" spans="1:17" ht="18" customHeight="1">
      <c r="A216" s="396">
        <f t="shared" si="63"/>
        <v>212</v>
      </c>
      <c r="B216" s="396">
        <v>591551</v>
      </c>
      <c r="C216" s="369" t="s">
        <v>1062</v>
      </c>
      <c r="D216" s="369" t="s">
        <v>672</v>
      </c>
      <c r="E216" s="369" t="s">
        <v>644</v>
      </c>
      <c r="F216" s="369" t="s">
        <v>645</v>
      </c>
      <c r="G216" s="369" t="s">
        <v>1063</v>
      </c>
      <c r="H216" s="396">
        <v>15</v>
      </c>
      <c r="I216" s="369"/>
      <c r="J216" s="369" t="s">
        <v>658</v>
      </c>
      <c r="K216" s="410" t="s">
        <v>655</v>
      </c>
      <c r="L216" s="396">
        <v>1</v>
      </c>
      <c r="M216" s="592"/>
      <c r="N216" s="257">
        <f>'[2]1.4 Septic'!$F$16</f>
        <v>298</v>
      </c>
      <c r="O216" s="257">
        <f t="shared" si="68"/>
        <v>37.64</v>
      </c>
      <c r="P216" s="258"/>
      <c r="Q216" s="590">
        <f t="shared" si="66"/>
        <v>237.51328374070138</v>
      </c>
    </row>
    <row r="217" spans="1:17" ht="18" customHeight="1">
      <c r="A217" s="396">
        <f t="shared" si="63"/>
        <v>213</v>
      </c>
      <c r="B217" s="396">
        <v>591553</v>
      </c>
      <c r="C217" s="369" t="s">
        <v>1064</v>
      </c>
      <c r="D217" s="369" t="s">
        <v>643</v>
      </c>
      <c r="E217" s="369" t="s">
        <v>644</v>
      </c>
      <c r="F217" s="369" t="s">
        <v>645</v>
      </c>
      <c r="G217" s="369" t="s">
        <v>1065</v>
      </c>
      <c r="H217" s="396">
        <v>4</v>
      </c>
      <c r="I217" s="369"/>
      <c r="J217" s="369" t="s">
        <v>658</v>
      </c>
      <c r="K217" s="410" t="s">
        <v>655</v>
      </c>
      <c r="L217" s="396">
        <v>1</v>
      </c>
      <c r="M217" s="592"/>
      <c r="N217" s="257">
        <f>'[2]1.4 Septic'!$F$16</f>
        <v>298</v>
      </c>
      <c r="O217" s="257">
        <f t="shared" si="68"/>
        <v>37.64</v>
      </c>
      <c r="P217" s="258"/>
      <c r="Q217" s="590">
        <f t="shared" si="66"/>
        <v>63.336875664187033</v>
      </c>
    </row>
    <row r="218" spans="1:17" ht="18" customHeight="1">
      <c r="A218" s="396">
        <f t="shared" si="63"/>
        <v>214</v>
      </c>
      <c r="B218" s="396">
        <v>591554</v>
      </c>
      <c r="C218" s="369" t="s">
        <v>1066</v>
      </c>
      <c r="D218" s="369" t="s">
        <v>672</v>
      </c>
      <c r="E218" s="369" t="s">
        <v>644</v>
      </c>
      <c r="F218" s="369" t="s">
        <v>645</v>
      </c>
      <c r="G218" s="369" t="s">
        <v>1067</v>
      </c>
      <c r="H218" s="396">
        <v>10</v>
      </c>
      <c r="I218" s="369"/>
      <c r="J218" s="369" t="s">
        <v>695</v>
      </c>
      <c r="K218" s="410" t="s">
        <v>649</v>
      </c>
      <c r="L218" s="396">
        <v>1</v>
      </c>
      <c r="M218" s="592"/>
      <c r="N218" s="257">
        <f>'[2]1.4 Septic'!$F$16</f>
        <v>298</v>
      </c>
      <c r="O218" s="257">
        <f t="shared" si="68"/>
        <v>37.64</v>
      </c>
      <c r="P218" s="258"/>
      <c r="Q218" s="590">
        <f t="shared" si="66"/>
        <v>158.3421891604676</v>
      </c>
    </row>
    <row r="219" spans="1:17" ht="18" customHeight="1">
      <c r="A219" s="396">
        <f t="shared" si="63"/>
        <v>215</v>
      </c>
      <c r="B219" s="396">
        <v>591555</v>
      </c>
      <c r="C219" s="369" t="s">
        <v>1068</v>
      </c>
      <c r="D219" s="369" t="s">
        <v>672</v>
      </c>
      <c r="E219" s="369" t="s">
        <v>644</v>
      </c>
      <c r="F219" s="369" t="s">
        <v>645</v>
      </c>
      <c r="G219" s="369" t="s">
        <v>1069</v>
      </c>
      <c r="H219" s="396">
        <v>4</v>
      </c>
      <c r="I219" s="369"/>
      <c r="J219" s="369" t="s">
        <v>695</v>
      </c>
      <c r="K219" s="410" t="s">
        <v>655</v>
      </c>
      <c r="L219" s="396">
        <v>1</v>
      </c>
      <c r="M219" s="592"/>
      <c r="N219" s="257">
        <f>'[2]1.4 Septic'!$F$16</f>
        <v>298</v>
      </c>
      <c r="O219" s="257">
        <f t="shared" si="68"/>
        <v>37.64</v>
      </c>
      <c r="P219" s="258"/>
      <c r="Q219" s="590">
        <f t="shared" si="66"/>
        <v>63.336875664187033</v>
      </c>
    </row>
    <row r="220" spans="1:17" ht="18" customHeight="1">
      <c r="A220" s="396">
        <f t="shared" si="63"/>
        <v>216</v>
      </c>
      <c r="B220" s="396">
        <v>591560</v>
      </c>
      <c r="C220" s="369" t="s">
        <v>1070</v>
      </c>
      <c r="D220" s="369" t="s">
        <v>672</v>
      </c>
      <c r="E220" s="369" t="s">
        <v>644</v>
      </c>
      <c r="F220" s="369" t="s">
        <v>645</v>
      </c>
      <c r="G220" s="369" t="s">
        <v>1071</v>
      </c>
      <c r="H220" s="396">
        <v>15</v>
      </c>
      <c r="I220" s="369"/>
      <c r="J220" s="369" t="s">
        <v>695</v>
      </c>
      <c r="K220" s="410" t="s">
        <v>655</v>
      </c>
      <c r="L220" s="396">
        <v>1</v>
      </c>
      <c r="M220" s="592"/>
      <c r="N220" s="257">
        <f>'[2]1.4 Septic'!$F$16</f>
        <v>298</v>
      </c>
      <c r="O220" s="257">
        <f t="shared" si="68"/>
        <v>37.64</v>
      </c>
      <c r="P220" s="258"/>
      <c r="Q220" s="590">
        <f t="shared" si="66"/>
        <v>237.51328374070138</v>
      </c>
    </row>
    <row r="221" spans="1:17" ht="18" customHeight="1">
      <c r="A221" s="396">
        <f t="shared" si="63"/>
        <v>217</v>
      </c>
      <c r="B221" s="396">
        <v>591563</v>
      </c>
      <c r="C221" s="369" t="s">
        <v>1072</v>
      </c>
      <c r="D221" s="369" t="s">
        <v>672</v>
      </c>
      <c r="E221" s="369" t="s">
        <v>644</v>
      </c>
      <c r="F221" s="369" t="s">
        <v>645</v>
      </c>
      <c r="G221" s="369" t="s">
        <v>1073</v>
      </c>
      <c r="H221" s="396">
        <v>3</v>
      </c>
      <c r="I221" s="369"/>
      <c r="J221" s="369" t="s">
        <v>658</v>
      </c>
      <c r="K221" s="410" t="s">
        <v>649</v>
      </c>
      <c r="L221" s="396">
        <v>1</v>
      </c>
      <c r="M221" s="592"/>
      <c r="N221" s="257">
        <f>'[2]1.4 Septic'!$F$16</f>
        <v>298</v>
      </c>
      <c r="O221" s="257">
        <f t="shared" si="68"/>
        <v>37.64</v>
      </c>
      <c r="P221" s="258"/>
      <c r="Q221" s="590">
        <f t="shared" si="66"/>
        <v>47.502656748140275</v>
      </c>
    </row>
    <row r="222" spans="1:17" ht="18" customHeight="1">
      <c r="A222" s="396">
        <f t="shared" si="63"/>
        <v>218</v>
      </c>
      <c r="B222" s="396">
        <v>591575</v>
      </c>
      <c r="C222" s="369" t="s">
        <v>1074</v>
      </c>
      <c r="D222" s="369" t="s">
        <v>643</v>
      </c>
      <c r="E222" s="369" t="s">
        <v>644</v>
      </c>
      <c r="F222" s="369" t="s">
        <v>645</v>
      </c>
      <c r="G222" s="369" t="s">
        <v>1075</v>
      </c>
      <c r="H222" s="396">
        <v>15</v>
      </c>
      <c r="I222" s="369"/>
      <c r="J222" s="369" t="s">
        <v>695</v>
      </c>
      <c r="K222" s="410" t="s">
        <v>655</v>
      </c>
      <c r="L222" s="396">
        <v>2</v>
      </c>
      <c r="M222" s="592"/>
      <c r="N222" s="257">
        <f>'[2]1.4 Septic'!$F$16</f>
        <v>298</v>
      </c>
      <c r="O222" s="257">
        <f t="shared" si="68"/>
        <v>37.64</v>
      </c>
      <c r="P222" s="258"/>
      <c r="Q222" s="590">
        <f t="shared" si="66"/>
        <v>475.02656748140276</v>
      </c>
    </row>
    <row r="223" spans="1:17" ht="18" customHeight="1">
      <c r="A223" s="396">
        <f t="shared" si="63"/>
        <v>219</v>
      </c>
      <c r="B223" s="396">
        <v>591583</v>
      </c>
      <c r="C223" s="369" t="s">
        <v>1076</v>
      </c>
      <c r="D223" s="369" t="s">
        <v>643</v>
      </c>
      <c r="E223" s="369" t="s">
        <v>644</v>
      </c>
      <c r="F223" s="369" t="s">
        <v>645</v>
      </c>
      <c r="G223" s="369" t="s">
        <v>1077</v>
      </c>
      <c r="H223" s="396">
        <v>9</v>
      </c>
      <c r="I223" s="369"/>
      <c r="J223" s="369" t="s">
        <v>744</v>
      </c>
      <c r="K223" s="410" t="s">
        <v>655</v>
      </c>
      <c r="L223" s="396">
        <v>1</v>
      </c>
      <c r="M223" s="592"/>
      <c r="N223" s="257">
        <f>'[2]1.4 Septic'!$F$16</f>
        <v>298</v>
      </c>
      <c r="O223" s="257">
        <f t="shared" si="68"/>
        <v>37.64</v>
      </c>
      <c r="P223" s="258"/>
      <c r="Q223" s="590">
        <f t="shared" si="66"/>
        <v>142.50797024442082</v>
      </c>
    </row>
    <row r="224" spans="1:17" ht="18" customHeight="1">
      <c r="A224" s="396">
        <f t="shared" si="63"/>
        <v>220</v>
      </c>
      <c r="B224" s="396">
        <v>591586</v>
      </c>
      <c r="C224" s="369" t="s">
        <v>1078</v>
      </c>
      <c r="D224" s="369" t="s">
        <v>672</v>
      </c>
      <c r="E224" s="369" t="s">
        <v>644</v>
      </c>
      <c r="F224" s="369" t="s">
        <v>645</v>
      </c>
      <c r="G224" s="369" t="s">
        <v>1079</v>
      </c>
      <c r="H224" s="396">
        <v>15</v>
      </c>
      <c r="I224" s="369"/>
      <c r="J224" s="369" t="s">
        <v>658</v>
      </c>
      <c r="K224" s="410" t="s">
        <v>655</v>
      </c>
      <c r="L224" s="396">
        <v>1</v>
      </c>
      <c r="M224" s="592"/>
      <c r="N224" s="257">
        <f>'[2]1.4 Septic'!$F$16</f>
        <v>298</v>
      </c>
      <c r="O224" s="257">
        <f t="shared" si="68"/>
        <v>37.64</v>
      </c>
      <c r="P224" s="258"/>
      <c r="Q224" s="590">
        <f t="shared" si="66"/>
        <v>237.51328374070138</v>
      </c>
    </row>
    <row r="225" spans="1:17" ht="18" customHeight="1">
      <c r="A225" s="396">
        <f t="shared" si="63"/>
        <v>221</v>
      </c>
      <c r="B225" s="396">
        <v>591593</v>
      </c>
      <c r="C225" s="369" t="s">
        <v>1080</v>
      </c>
      <c r="D225" s="369" t="s">
        <v>672</v>
      </c>
      <c r="E225" s="369" t="s">
        <v>644</v>
      </c>
      <c r="F225" s="369" t="s">
        <v>645</v>
      </c>
      <c r="G225" s="369" t="s">
        <v>1081</v>
      </c>
      <c r="H225" s="396">
        <v>3</v>
      </c>
      <c r="I225" s="369"/>
      <c r="J225" s="369" t="s">
        <v>648</v>
      </c>
      <c r="K225" s="410" t="s">
        <v>692</v>
      </c>
      <c r="L225" s="396">
        <v>1</v>
      </c>
      <c r="M225" s="592"/>
      <c r="N225" s="257">
        <f>'[2]1.4 Septic'!$F$16</f>
        <v>298</v>
      </c>
      <c r="O225" s="257">
        <f>$G$487</f>
        <v>14.763</v>
      </c>
      <c r="P225" s="258"/>
      <c r="Q225" s="590">
        <f>H225*2*L225*N225/O225</f>
        <v>121.11359479780532</v>
      </c>
    </row>
    <row r="226" spans="1:17" ht="18" customHeight="1">
      <c r="A226" s="396">
        <f t="shared" si="63"/>
        <v>222</v>
      </c>
      <c r="B226" s="396">
        <v>591596</v>
      </c>
      <c r="C226" s="369" t="s">
        <v>1082</v>
      </c>
      <c r="D226" s="369" t="s">
        <v>643</v>
      </c>
      <c r="E226" s="369" t="s">
        <v>644</v>
      </c>
      <c r="F226" s="369" t="s">
        <v>645</v>
      </c>
      <c r="G226" s="369" t="s">
        <v>1083</v>
      </c>
      <c r="H226" s="396">
        <v>7</v>
      </c>
      <c r="I226" s="369"/>
      <c r="J226" s="369" t="s">
        <v>718</v>
      </c>
      <c r="K226" s="410" t="s">
        <v>655</v>
      </c>
      <c r="L226" s="396">
        <v>1</v>
      </c>
      <c r="M226" s="592"/>
      <c r="N226" s="257">
        <f>'[2]1.4 Septic'!$F$16</f>
        <v>298</v>
      </c>
      <c r="O226" s="595">
        <f t="shared" ref="O226:O227" si="69">$G$491</f>
        <v>32.435000000000002</v>
      </c>
      <c r="P226" s="258"/>
      <c r="Q226" s="590">
        <f t="shared" ref="Q226:Q227" si="70">H226*2*L226*N226/O226</f>
        <v>128.62648373670416</v>
      </c>
    </row>
    <row r="227" spans="1:17" ht="18" customHeight="1">
      <c r="A227" s="396">
        <f t="shared" si="63"/>
        <v>223</v>
      </c>
      <c r="B227" s="396">
        <v>591622</v>
      </c>
      <c r="C227" s="369" t="s">
        <v>1084</v>
      </c>
      <c r="D227" s="369" t="s">
        <v>643</v>
      </c>
      <c r="E227" s="369" t="s">
        <v>644</v>
      </c>
      <c r="F227" s="369" t="s">
        <v>645</v>
      </c>
      <c r="G227" s="369" t="s">
        <v>1085</v>
      </c>
      <c r="H227" s="396">
        <v>5</v>
      </c>
      <c r="I227" s="369"/>
      <c r="J227" s="369" t="s">
        <v>718</v>
      </c>
      <c r="K227" s="410" t="s">
        <v>649</v>
      </c>
      <c r="L227" s="396">
        <v>2</v>
      </c>
      <c r="M227" s="592"/>
      <c r="N227" s="257">
        <f>'[2]1.4 Septic'!$F$16</f>
        <v>298</v>
      </c>
      <c r="O227" s="595">
        <f t="shared" si="69"/>
        <v>32.435000000000002</v>
      </c>
      <c r="P227" s="258"/>
      <c r="Q227" s="590">
        <f t="shared" si="70"/>
        <v>183.75211962386311</v>
      </c>
    </row>
    <row r="228" spans="1:17" ht="18" customHeight="1">
      <c r="A228" s="396">
        <f t="shared" si="63"/>
        <v>224</v>
      </c>
      <c r="B228" s="396">
        <v>591650</v>
      </c>
      <c r="C228" s="369" t="s">
        <v>1086</v>
      </c>
      <c r="D228" s="369" t="s">
        <v>643</v>
      </c>
      <c r="E228" s="369" t="s">
        <v>644</v>
      </c>
      <c r="F228" s="369" t="s">
        <v>645</v>
      </c>
      <c r="G228" s="596" t="s">
        <v>1087</v>
      </c>
      <c r="H228" s="396">
        <v>7</v>
      </c>
      <c r="I228" s="369"/>
      <c r="J228" s="369" t="s">
        <v>1790</v>
      </c>
      <c r="K228" s="410" t="s">
        <v>652</v>
      </c>
      <c r="L228" s="396">
        <v>1</v>
      </c>
      <c r="M228" s="592"/>
      <c r="N228" s="257">
        <f>'[2]1.4 Septic'!$F$16</f>
        <v>298</v>
      </c>
      <c r="O228" s="257">
        <v>6.3689999999999998</v>
      </c>
      <c r="P228" s="590">
        <f>H228*2*L228*N228/O228</f>
        <v>655.04788820851002</v>
      </c>
      <c r="Q228" s="258"/>
    </row>
    <row r="229" spans="1:17" ht="18" customHeight="1">
      <c r="A229" s="396">
        <f t="shared" si="63"/>
        <v>225</v>
      </c>
      <c r="B229" s="396">
        <v>591654</v>
      </c>
      <c r="C229" s="369" t="s">
        <v>1088</v>
      </c>
      <c r="D229" s="369" t="s">
        <v>643</v>
      </c>
      <c r="E229" s="369" t="s">
        <v>644</v>
      </c>
      <c r="F229" s="369" t="s">
        <v>645</v>
      </c>
      <c r="G229" s="369" t="s">
        <v>1089</v>
      </c>
      <c r="H229" s="396">
        <v>7</v>
      </c>
      <c r="I229" s="369"/>
      <c r="J229" s="369" t="s">
        <v>648</v>
      </c>
      <c r="K229" s="410" t="s">
        <v>649</v>
      </c>
      <c r="L229" s="396">
        <v>1</v>
      </c>
      <c r="M229" s="592"/>
      <c r="N229" s="257">
        <f>'[2]1.4 Septic'!$F$16</f>
        <v>298</v>
      </c>
      <c r="O229" s="257">
        <f t="shared" ref="O229" si="71">$G$487</f>
        <v>14.763</v>
      </c>
      <c r="P229" s="258"/>
      <c r="Q229" s="590">
        <f>H229*2*L229*N229/O229</f>
        <v>282.59838786154575</v>
      </c>
    </row>
    <row r="230" spans="1:17" ht="18" customHeight="1">
      <c r="A230" s="396">
        <f t="shared" si="63"/>
        <v>226</v>
      </c>
      <c r="B230" s="396">
        <v>591655</v>
      </c>
      <c r="C230" s="369" t="s">
        <v>1090</v>
      </c>
      <c r="D230" s="369" t="s">
        <v>643</v>
      </c>
      <c r="E230" s="369" t="s">
        <v>644</v>
      </c>
      <c r="F230" s="369" t="s">
        <v>645</v>
      </c>
      <c r="G230" s="369" t="s">
        <v>1091</v>
      </c>
      <c r="H230" s="396">
        <v>3.5</v>
      </c>
      <c r="I230" s="369"/>
      <c r="J230" s="369" t="s">
        <v>1790</v>
      </c>
      <c r="K230" s="410" t="s">
        <v>652</v>
      </c>
      <c r="L230" s="396">
        <v>2</v>
      </c>
      <c r="M230" s="592"/>
      <c r="N230" s="257">
        <f>'[2]1.4 Septic'!$F$16</f>
        <v>298</v>
      </c>
      <c r="O230" s="257">
        <v>6.3689999999999998</v>
      </c>
      <c r="P230" s="590">
        <f>H230*2*L230*N230/O230</f>
        <v>655.04788820851002</v>
      </c>
      <c r="Q230" s="258"/>
    </row>
    <row r="231" spans="1:17" ht="18" customHeight="1">
      <c r="A231" s="396">
        <f t="shared" si="63"/>
        <v>227</v>
      </c>
      <c r="B231" s="396">
        <v>601665</v>
      </c>
      <c r="C231" s="369" t="s">
        <v>1092</v>
      </c>
      <c r="D231" s="369" t="s">
        <v>643</v>
      </c>
      <c r="E231" s="369" t="s">
        <v>644</v>
      </c>
      <c r="F231" s="369" t="s">
        <v>645</v>
      </c>
      <c r="G231" s="596" t="s">
        <v>1093</v>
      </c>
      <c r="H231" s="396">
        <v>7</v>
      </c>
      <c r="I231" s="369"/>
      <c r="J231" s="369" t="s">
        <v>658</v>
      </c>
      <c r="K231" s="410" t="s">
        <v>655</v>
      </c>
      <c r="L231" s="396">
        <v>2</v>
      </c>
      <c r="M231" s="592"/>
      <c r="N231" s="257">
        <f>'[2]1.4 Septic'!$F$16</f>
        <v>298</v>
      </c>
      <c r="O231" s="257">
        <f>$G$492</f>
        <v>37.64</v>
      </c>
      <c r="P231" s="258"/>
      <c r="Q231" s="590">
        <f t="shared" ref="Q231:Q234" si="72">H231*2*L231*N231/O231</f>
        <v>221.67906482465463</v>
      </c>
    </row>
    <row r="232" spans="1:17" ht="18" customHeight="1">
      <c r="A232" s="396">
        <f t="shared" si="63"/>
        <v>228</v>
      </c>
      <c r="B232" s="396">
        <v>601669</v>
      </c>
      <c r="C232" s="369" t="s">
        <v>1094</v>
      </c>
      <c r="D232" s="369" t="s">
        <v>672</v>
      </c>
      <c r="E232" s="369" t="s">
        <v>644</v>
      </c>
      <c r="F232" s="369" t="s">
        <v>645</v>
      </c>
      <c r="G232" s="369" t="s">
        <v>1095</v>
      </c>
      <c r="H232" s="396">
        <v>3</v>
      </c>
      <c r="I232" s="369"/>
      <c r="J232" s="369" t="s">
        <v>658</v>
      </c>
      <c r="K232" s="410" t="s">
        <v>655</v>
      </c>
      <c r="L232" s="396">
        <v>1</v>
      </c>
      <c r="M232" s="592"/>
      <c r="N232" s="257">
        <f>'[2]1.4 Septic'!$F$16</f>
        <v>298</v>
      </c>
      <c r="O232" s="257">
        <f t="shared" ref="O232:O234" si="73">$G$492</f>
        <v>37.64</v>
      </c>
      <c r="P232" s="258"/>
      <c r="Q232" s="590">
        <f t="shared" si="72"/>
        <v>47.502656748140275</v>
      </c>
    </row>
    <row r="233" spans="1:17" ht="18" customHeight="1">
      <c r="A233" s="396">
        <f t="shared" si="63"/>
        <v>229</v>
      </c>
      <c r="B233" s="396">
        <v>601674</v>
      </c>
      <c r="C233" s="369" t="s">
        <v>1096</v>
      </c>
      <c r="D233" s="369" t="s">
        <v>672</v>
      </c>
      <c r="E233" s="369" t="s">
        <v>644</v>
      </c>
      <c r="F233" s="369" t="s">
        <v>645</v>
      </c>
      <c r="G233" s="367" t="s">
        <v>746</v>
      </c>
      <c r="H233" s="396">
        <v>10</v>
      </c>
      <c r="I233" s="369"/>
      <c r="J233" s="369" t="s">
        <v>695</v>
      </c>
      <c r="K233" s="410" t="s">
        <v>655</v>
      </c>
      <c r="L233" s="396">
        <v>1</v>
      </c>
      <c r="M233" s="592"/>
      <c r="N233" s="257">
        <f>'[2]1.4 Septic'!$F$16</f>
        <v>298</v>
      </c>
      <c r="O233" s="257">
        <f t="shared" si="73"/>
        <v>37.64</v>
      </c>
      <c r="P233" s="258"/>
      <c r="Q233" s="590">
        <f t="shared" si="72"/>
        <v>158.3421891604676</v>
      </c>
    </row>
    <row r="234" spans="1:17" ht="18" customHeight="1">
      <c r="A234" s="396">
        <f t="shared" si="63"/>
        <v>230</v>
      </c>
      <c r="B234" s="396">
        <v>601676</v>
      </c>
      <c r="C234" s="369" t="s">
        <v>1097</v>
      </c>
      <c r="D234" s="369" t="s">
        <v>672</v>
      </c>
      <c r="E234" s="369" t="s">
        <v>644</v>
      </c>
      <c r="F234" s="369" t="s">
        <v>645</v>
      </c>
      <c r="G234" s="369" t="s">
        <v>1098</v>
      </c>
      <c r="H234" s="396">
        <v>6</v>
      </c>
      <c r="I234" s="369"/>
      <c r="J234" s="369" t="s">
        <v>658</v>
      </c>
      <c r="K234" s="410" t="s">
        <v>655</v>
      </c>
      <c r="L234" s="396">
        <v>1</v>
      </c>
      <c r="M234" s="592"/>
      <c r="N234" s="257">
        <f>'[2]1.4 Septic'!$F$16</f>
        <v>298</v>
      </c>
      <c r="O234" s="257">
        <f t="shared" si="73"/>
        <v>37.64</v>
      </c>
      <c r="P234" s="258"/>
      <c r="Q234" s="590">
        <f t="shared" si="72"/>
        <v>95.00531349628055</v>
      </c>
    </row>
    <row r="235" spans="1:17" ht="18" customHeight="1">
      <c r="A235" s="396">
        <f t="shared" si="63"/>
        <v>231</v>
      </c>
      <c r="B235" s="396">
        <v>601680</v>
      </c>
      <c r="C235" s="369" t="s">
        <v>1099</v>
      </c>
      <c r="D235" s="369" t="s">
        <v>672</v>
      </c>
      <c r="E235" s="369" t="s">
        <v>644</v>
      </c>
      <c r="F235" s="369" t="s">
        <v>645</v>
      </c>
      <c r="G235" s="369" t="s">
        <v>1100</v>
      </c>
      <c r="H235" s="396">
        <v>4</v>
      </c>
      <c r="I235" s="369"/>
      <c r="J235" s="369" t="s">
        <v>718</v>
      </c>
      <c r="K235" s="410" t="s">
        <v>649</v>
      </c>
      <c r="L235" s="396">
        <v>1</v>
      </c>
      <c r="M235" s="592"/>
      <c r="N235" s="257">
        <f>'[2]1.4 Septic'!$F$16</f>
        <v>298</v>
      </c>
      <c r="O235" s="595">
        <f>$G$491</f>
        <v>32.435000000000002</v>
      </c>
      <c r="P235" s="258"/>
      <c r="Q235" s="590">
        <f>H235*2*L235*N235/O235</f>
        <v>73.500847849545238</v>
      </c>
    </row>
    <row r="236" spans="1:17" ht="18" customHeight="1">
      <c r="A236" s="396">
        <f t="shared" si="63"/>
        <v>232</v>
      </c>
      <c r="B236" s="396">
        <v>601681</v>
      </c>
      <c r="C236" s="369" t="s">
        <v>1101</v>
      </c>
      <c r="D236" s="369" t="s">
        <v>672</v>
      </c>
      <c r="E236" s="369" t="s">
        <v>644</v>
      </c>
      <c r="F236" s="369" t="s">
        <v>645</v>
      </c>
      <c r="G236" s="369" t="s">
        <v>1102</v>
      </c>
      <c r="H236" s="396">
        <v>20</v>
      </c>
      <c r="I236" s="369"/>
      <c r="J236" s="369" t="s">
        <v>695</v>
      </c>
      <c r="K236" s="410" t="s">
        <v>655</v>
      </c>
      <c r="L236" s="396">
        <v>1</v>
      </c>
      <c r="M236" s="592"/>
      <c r="N236" s="257">
        <f>'[2]1.4 Septic'!$F$16</f>
        <v>298</v>
      </c>
      <c r="O236" s="257">
        <f>$G$492</f>
        <v>37.64</v>
      </c>
      <c r="P236" s="258"/>
      <c r="Q236" s="590">
        <f>H236*2*L236*N236/O236</f>
        <v>316.6843783209352</v>
      </c>
    </row>
    <row r="237" spans="1:17" ht="18" customHeight="1">
      <c r="A237" s="396">
        <f t="shared" si="63"/>
        <v>233</v>
      </c>
      <c r="B237" s="396">
        <v>601690</v>
      </c>
      <c r="C237" s="369" t="s">
        <v>1103</v>
      </c>
      <c r="D237" s="369" t="s">
        <v>672</v>
      </c>
      <c r="E237" s="369" t="s">
        <v>644</v>
      </c>
      <c r="F237" s="369" t="s">
        <v>645</v>
      </c>
      <c r="G237" s="367" t="s">
        <v>1104</v>
      </c>
      <c r="H237" s="396">
        <v>6</v>
      </c>
      <c r="I237" s="369"/>
      <c r="J237" s="369" t="s">
        <v>718</v>
      </c>
      <c r="K237" s="410" t="s">
        <v>649</v>
      </c>
      <c r="L237" s="396">
        <v>1</v>
      </c>
      <c r="M237" s="592"/>
      <c r="N237" s="257">
        <f>'[2]1.4 Septic'!$F$16</f>
        <v>298</v>
      </c>
      <c r="O237" s="595">
        <f>$G$491</f>
        <v>32.435000000000002</v>
      </c>
      <c r="P237" s="258"/>
      <c r="Q237" s="590">
        <f>H237*2*L237*N237/O237</f>
        <v>110.25127177431786</v>
      </c>
    </row>
    <row r="238" spans="1:17" ht="18" customHeight="1">
      <c r="A238" s="396">
        <f t="shared" si="63"/>
        <v>234</v>
      </c>
      <c r="B238" s="396">
        <v>601691</v>
      </c>
      <c r="C238" s="369" t="s">
        <v>1105</v>
      </c>
      <c r="D238" s="369" t="s">
        <v>672</v>
      </c>
      <c r="E238" s="369" t="s">
        <v>644</v>
      </c>
      <c r="F238" s="369" t="s">
        <v>645</v>
      </c>
      <c r="G238" s="369" t="s">
        <v>1106</v>
      </c>
      <c r="H238" s="396">
        <v>15</v>
      </c>
      <c r="I238" s="369"/>
      <c r="J238" s="369" t="s">
        <v>684</v>
      </c>
      <c r="K238" s="410" t="s">
        <v>649</v>
      </c>
      <c r="L238" s="396">
        <v>1</v>
      </c>
      <c r="M238" s="592"/>
      <c r="N238" s="257">
        <f>'[2]1.4 Septic'!$F$16</f>
        <v>298</v>
      </c>
      <c r="O238" s="257">
        <f>$G$498</f>
        <v>17.77</v>
      </c>
      <c r="P238" s="258"/>
      <c r="Q238" s="590">
        <f t="shared" ref="Q238" si="74">H238*2*L238*N238/O238</f>
        <v>503.09510410804728</v>
      </c>
    </row>
    <row r="239" spans="1:17" ht="18" customHeight="1">
      <c r="A239" s="396">
        <f t="shared" si="63"/>
        <v>235</v>
      </c>
      <c r="B239" s="396">
        <v>601720</v>
      </c>
      <c r="C239" s="369" t="s">
        <v>1107</v>
      </c>
      <c r="D239" s="369" t="s">
        <v>643</v>
      </c>
      <c r="E239" s="369" t="s">
        <v>644</v>
      </c>
      <c r="F239" s="369" t="s">
        <v>645</v>
      </c>
      <c r="G239" s="367" t="s">
        <v>746</v>
      </c>
      <c r="H239" s="396">
        <v>4</v>
      </c>
      <c r="I239" s="369"/>
      <c r="J239" s="369" t="s">
        <v>718</v>
      </c>
      <c r="K239" s="410" t="s">
        <v>649</v>
      </c>
      <c r="L239" s="396">
        <v>1</v>
      </c>
      <c r="M239" s="592"/>
      <c r="N239" s="257">
        <f>'[2]1.4 Septic'!$F$16</f>
        <v>298</v>
      </c>
      <c r="O239" s="595">
        <f>$G$491</f>
        <v>32.435000000000002</v>
      </c>
      <c r="P239" s="258"/>
      <c r="Q239" s="590">
        <f>H239*2*L239*N239/O239</f>
        <v>73.500847849545238</v>
      </c>
    </row>
    <row r="240" spans="1:17" ht="18" customHeight="1">
      <c r="A240" s="396">
        <f t="shared" si="63"/>
        <v>236</v>
      </c>
      <c r="B240" s="396">
        <v>601722</v>
      </c>
      <c r="C240" s="369" t="s">
        <v>1108</v>
      </c>
      <c r="D240" s="369" t="s">
        <v>672</v>
      </c>
      <c r="E240" s="369" t="s">
        <v>644</v>
      </c>
      <c r="F240" s="369" t="s">
        <v>645</v>
      </c>
      <c r="G240" s="369" t="s">
        <v>1109</v>
      </c>
      <c r="H240" s="396">
        <v>4.5</v>
      </c>
      <c r="I240" s="369"/>
      <c r="J240" s="369" t="s">
        <v>648</v>
      </c>
      <c r="K240" s="410" t="s">
        <v>692</v>
      </c>
      <c r="L240" s="396">
        <v>1</v>
      </c>
      <c r="M240" s="592"/>
      <c r="N240" s="257">
        <f>'[2]1.4 Septic'!$F$16</f>
        <v>298</v>
      </c>
      <c r="O240" s="257">
        <f>$G$487</f>
        <v>14.763</v>
      </c>
      <c r="P240" s="258"/>
      <c r="Q240" s="590">
        <f>H240*2*L240*N240/O240</f>
        <v>181.67039219670798</v>
      </c>
    </row>
    <row r="241" spans="1:17" ht="18" customHeight="1">
      <c r="A241" s="396">
        <f t="shared" si="63"/>
        <v>237</v>
      </c>
      <c r="B241" s="396">
        <v>601724</v>
      </c>
      <c r="C241" s="369" t="s">
        <v>1110</v>
      </c>
      <c r="D241" s="369" t="s">
        <v>672</v>
      </c>
      <c r="E241" s="369" t="s">
        <v>644</v>
      </c>
      <c r="F241" s="369" t="s">
        <v>645</v>
      </c>
      <c r="G241" s="367" t="s">
        <v>769</v>
      </c>
      <c r="H241" s="396">
        <v>3</v>
      </c>
      <c r="I241" s="369"/>
      <c r="J241" s="369" t="s">
        <v>658</v>
      </c>
      <c r="K241" s="410" t="s">
        <v>655</v>
      </c>
      <c r="L241" s="396">
        <v>1</v>
      </c>
      <c r="M241" s="592"/>
      <c r="N241" s="257">
        <f>'[2]1.4 Septic'!$F$16</f>
        <v>298</v>
      </c>
      <c r="O241" s="257">
        <f>$G$492</f>
        <v>37.64</v>
      </c>
      <c r="P241" s="258"/>
      <c r="Q241" s="590">
        <f>H241*2*L241*N241/O241</f>
        <v>47.502656748140275</v>
      </c>
    </row>
    <row r="242" spans="1:17" ht="18" customHeight="1">
      <c r="A242" s="396">
        <f t="shared" si="63"/>
        <v>238</v>
      </c>
      <c r="B242" s="396">
        <v>601725</v>
      </c>
      <c r="C242" s="369" t="s">
        <v>1111</v>
      </c>
      <c r="D242" s="369" t="s">
        <v>643</v>
      </c>
      <c r="E242" s="369" t="s">
        <v>644</v>
      </c>
      <c r="F242" s="369" t="s">
        <v>645</v>
      </c>
      <c r="G242" s="369" t="s">
        <v>1112</v>
      </c>
      <c r="H242" s="396">
        <v>33.299999999999997</v>
      </c>
      <c r="I242" s="369"/>
      <c r="J242" s="369" t="s">
        <v>689</v>
      </c>
      <c r="K242" s="410" t="s">
        <v>655</v>
      </c>
      <c r="L242" s="396">
        <v>1</v>
      </c>
      <c r="M242" s="592"/>
      <c r="N242" s="257">
        <f>'[2]1.4 Septic'!$F$16</f>
        <v>298</v>
      </c>
      <c r="O242" s="257">
        <f>$G$496</f>
        <v>13.795999999999999</v>
      </c>
      <c r="P242" s="258"/>
      <c r="Q242" s="590">
        <f>H242*2*L242*N242/O242</f>
        <v>1438.5908959118585</v>
      </c>
    </row>
    <row r="243" spans="1:17" ht="18" customHeight="1">
      <c r="A243" s="396">
        <f t="shared" si="63"/>
        <v>239</v>
      </c>
      <c r="B243" s="396">
        <v>601737</v>
      </c>
      <c r="C243" s="369" t="s">
        <v>1113</v>
      </c>
      <c r="D243" s="369" t="s">
        <v>643</v>
      </c>
      <c r="E243" s="369" t="s">
        <v>644</v>
      </c>
      <c r="F243" s="369" t="s">
        <v>645</v>
      </c>
      <c r="G243" s="369" t="s">
        <v>1114</v>
      </c>
      <c r="H243" s="396">
        <v>8</v>
      </c>
      <c r="I243" s="369"/>
      <c r="J243" s="369" t="s">
        <v>658</v>
      </c>
      <c r="K243" s="410" t="s">
        <v>776</v>
      </c>
      <c r="L243" s="396">
        <v>2</v>
      </c>
      <c r="M243" s="592"/>
      <c r="N243" s="257">
        <f>'[2]1.4 Septic'!$F$16</f>
        <v>298</v>
      </c>
      <c r="O243" s="257">
        <f t="shared" ref="O243:O248" si="75">$G$492</f>
        <v>37.64</v>
      </c>
      <c r="P243" s="258"/>
      <c r="Q243" s="590">
        <f t="shared" ref="Q243:Q249" si="76">H243*2*L243*N243/O243</f>
        <v>253.34750265674813</v>
      </c>
    </row>
    <row r="244" spans="1:17" ht="18" customHeight="1">
      <c r="A244" s="396">
        <f t="shared" si="63"/>
        <v>240</v>
      </c>
      <c r="B244" s="396">
        <v>601740</v>
      </c>
      <c r="C244" s="369" t="s">
        <v>1115</v>
      </c>
      <c r="D244" s="369" t="s">
        <v>643</v>
      </c>
      <c r="E244" s="369" t="s">
        <v>644</v>
      </c>
      <c r="F244" s="369" t="s">
        <v>645</v>
      </c>
      <c r="G244" s="369" t="s">
        <v>1116</v>
      </c>
      <c r="H244" s="396">
        <v>5</v>
      </c>
      <c r="I244" s="369"/>
      <c r="J244" s="369" t="s">
        <v>658</v>
      </c>
      <c r="K244" s="410" t="s">
        <v>649</v>
      </c>
      <c r="L244" s="396">
        <v>2</v>
      </c>
      <c r="M244" s="592"/>
      <c r="N244" s="257">
        <f>'[2]1.4 Septic'!$F$16</f>
        <v>298</v>
      </c>
      <c r="O244" s="257">
        <f t="shared" si="75"/>
        <v>37.64</v>
      </c>
      <c r="P244" s="258"/>
      <c r="Q244" s="590">
        <f t="shared" si="76"/>
        <v>158.3421891604676</v>
      </c>
    </row>
    <row r="245" spans="1:17" ht="18" customHeight="1">
      <c r="A245" s="396">
        <f t="shared" si="63"/>
        <v>241</v>
      </c>
      <c r="B245" s="396">
        <v>601741</v>
      </c>
      <c r="C245" s="369" t="s">
        <v>1117</v>
      </c>
      <c r="D245" s="369" t="s">
        <v>643</v>
      </c>
      <c r="E245" s="369" t="s">
        <v>644</v>
      </c>
      <c r="F245" s="369" t="s">
        <v>645</v>
      </c>
      <c r="G245" s="369" t="s">
        <v>1118</v>
      </c>
      <c r="H245" s="396">
        <v>5</v>
      </c>
      <c r="I245" s="369"/>
      <c r="J245" s="369" t="s">
        <v>695</v>
      </c>
      <c r="K245" s="410" t="s">
        <v>655</v>
      </c>
      <c r="L245" s="396">
        <v>2</v>
      </c>
      <c r="M245" s="592"/>
      <c r="N245" s="257">
        <f>'[2]1.4 Septic'!$F$16</f>
        <v>298</v>
      </c>
      <c r="O245" s="257">
        <f t="shared" si="75"/>
        <v>37.64</v>
      </c>
      <c r="P245" s="258"/>
      <c r="Q245" s="590">
        <f t="shared" si="76"/>
        <v>158.3421891604676</v>
      </c>
    </row>
    <row r="246" spans="1:17" ht="18" customHeight="1">
      <c r="A246" s="396">
        <f t="shared" si="63"/>
        <v>242</v>
      </c>
      <c r="B246" s="396">
        <v>601750</v>
      </c>
      <c r="C246" s="369" t="s">
        <v>1119</v>
      </c>
      <c r="D246" s="369" t="s">
        <v>672</v>
      </c>
      <c r="E246" s="369" t="s">
        <v>644</v>
      </c>
      <c r="F246" s="369" t="s">
        <v>645</v>
      </c>
      <c r="G246" s="367" t="s">
        <v>1104</v>
      </c>
      <c r="H246" s="396">
        <v>3</v>
      </c>
      <c r="I246" s="369"/>
      <c r="J246" s="369" t="s">
        <v>695</v>
      </c>
      <c r="K246" s="410" t="s">
        <v>655</v>
      </c>
      <c r="L246" s="396">
        <v>1</v>
      </c>
      <c r="M246" s="592"/>
      <c r="N246" s="257">
        <f>'[2]1.4 Septic'!$F$16</f>
        <v>298</v>
      </c>
      <c r="O246" s="257">
        <f t="shared" si="75"/>
        <v>37.64</v>
      </c>
      <c r="P246" s="258"/>
      <c r="Q246" s="590">
        <f t="shared" si="76"/>
        <v>47.502656748140275</v>
      </c>
    </row>
    <row r="247" spans="1:17" ht="18" customHeight="1">
      <c r="A247" s="396">
        <f t="shared" si="63"/>
        <v>243</v>
      </c>
      <c r="B247" s="396">
        <v>601764</v>
      </c>
      <c r="C247" s="369" t="s">
        <v>1120</v>
      </c>
      <c r="D247" s="369" t="s">
        <v>643</v>
      </c>
      <c r="E247" s="369" t="s">
        <v>644</v>
      </c>
      <c r="F247" s="369" t="s">
        <v>645</v>
      </c>
      <c r="G247" s="369" t="s">
        <v>1121</v>
      </c>
      <c r="H247" s="396">
        <v>6</v>
      </c>
      <c r="I247" s="369"/>
      <c r="J247" s="369" t="s">
        <v>744</v>
      </c>
      <c r="K247" s="410" t="s">
        <v>776</v>
      </c>
      <c r="L247" s="396">
        <v>1</v>
      </c>
      <c r="M247" s="592"/>
      <c r="N247" s="257">
        <f>'[2]1.4 Septic'!$F$16</f>
        <v>298</v>
      </c>
      <c r="O247" s="257">
        <f t="shared" si="75"/>
        <v>37.64</v>
      </c>
      <c r="P247" s="258"/>
      <c r="Q247" s="590">
        <f t="shared" si="76"/>
        <v>95.00531349628055</v>
      </c>
    </row>
    <row r="248" spans="1:17" ht="18" customHeight="1">
      <c r="A248" s="396">
        <f t="shared" si="63"/>
        <v>244</v>
      </c>
      <c r="B248" s="396">
        <v>601768</v>
      </c>
      <c r="C248" s="369" t="s">
        <v>1122</v>
      </c>
      <c r="D248" s="369" t="s">
        <v>643</v>
      </c>
      <c r="E248" s="369" t="s">
        <v>644</v>
      </c>
      <c r="F248" s="369" t="s">
        <v>645</v>
      </c>
      <c r="G248" s="369" t="s">
        <v>1123</v>
      </c>
      <c r="H248" s="396">
        <v>5</v>
      </c>
      <c r="I248" s="369"/>
      <c r="J248" s="369" t="s">
        <v>658</v>
      </c>
      <c r="K248" s="410" t="s">
        <v>655</v>
      </c>
      <c r="L248" s="396">
        <v>1</v>
      </c>
      <c r="M248" s="592"/>
      <c r="N248" s="257">
        <f>'[2]1.4 Septic'!$F$16</f>
        <v>298</v>
      </c>
      <c r="O248" s="257">
        <f t="shared" si="75"/>
        <v>37.64</v>
      </c>
      <c r="P248" s="258"/>
      <c r="Q248" s="590">
        <f t="shared" si="76"/>
        <v>79.171094580233799</v>
      </c>
    </row>
    <row r="249" spans="1:17" ht="18" customHeight="1">
      <c r="A249" s="396">
        <f t="shared" si="63"/>
        <v>245</v>
      </c>
      <c r="B249" s="396">
        <v>601769</v>
      </c>
      <c r="C249" s="369" t="s">
        <v>1124</v>
      </c>
      <c r="D249" s="369" t="s">
        <v>643</v>
      </c>
      <c r="E249" s="369" t="s">
        <v>644</v>
      </c>
      <c r="F249" s="369" t="s">
        <v>645</v>
      </c>
      <c r="G249" s="369" t="s">
        <v>1125</v>
      </c>
      <c r="H249" s="396">
        <v>5</v>
      </c>
      <c r="I249" s="369"/>
      <c r="J249" s="369" t="s">
        <v>695</v>
      </c>
      <c r="K249" s="410" t="s">
        <v>649</v>
      </c>
      <c r="L249" s="396">
        <v>2</v>
      </c>
      <c r="M249" s="592"/>
      <c r="N249" s="257">
        <f>'[2]1.4 Septic'!$F$16</f>
        <v>298</v>
      </c>
      <c r="O249" s="257">
        <f>$G$492</f>
        <v>37.64</v>
      </c>
      <c r="P249" s="258"/>
      <c r="Q249" s="590">
        <f t="shared" si="76"/>
        <v>158.3421891604676</v>
      </c>
    </row>
    <row r="250" spans="1:17" ht="18" customHeight="1">
      <c r="A250" s="396">
        <f t="shared" si="63"/>
        <v>246</v>
      </c>
      <c r="B250" s="396">
        <v>601770</v>
      </c>
      <c r="C250" s="369" t="s">
        <v>1126</v>
      </c>
      <c r="D250" s="369" t="s">
        <v>643</v>
      </c>
      <c r="E250" s="369" t="s">
        <v>644</v>
      </c>
      <c r="F250" s="369" t="s">
        <v>645</v>
      </c>
      <c r="G250" s="369" t="s">
        <v>1127</v>
      </c>
      <c r="H250" s="396">
        <v>6</v>
      </c>
      <c r="I250" s="369"/>
      <c r="J250" s="369" t="s">
        <v>1790</v>
      </c>
      <c r="K250" s="410" t="s">
        <v>652</v>
      </c>
      <c r="L250" s="396">
        <v>1</v>
      </c>
      <c r="M250" s="592"/>
      <c r="N250" s="257">
        <f>'[2]1.4 Septic'!$F$16</f>
        <v>298</v>
      </c>
      <c r="O250" s="257">
        <v>6.3689999999999998</v>
      </c>
      <c r="P250" s="590">
        <f>H250*2*L250*N250/O250</f>
        <v>561.46961846443719</v>
      </c>
      <c r="Q250" s="258"/>
    </row>
    <row r="251" spans="1:17" ht="18" customHeight="1">
      <c r="A251" s="396">
        <f t="shared" si="63"/>
        <v>247</v>
      </c>
      <c r="B251" s="396">
        <v>601778</v>
      </c>
      <c r="C251" s="369" t="s">
        <v>1128</v>
      </c>
      <c r="D251" s="369" t="s">
        <v>672</v>
      </c>
      <c r="E251" s="369" t="s">
        <v>644</v>
      </c>
      <c r="F251" s="369" t="s">
        <v>645</v>
      </c>
      <c r="G251" s="367" t="s">
        <v>1021</v>
      </c>
      <c r="H251" s="396">
        <v>4</v>
      </c>
      <c r="I251" s="369"/>
      <c r="J251" s="369" t="s">
        <v>695</v>
      </c>
      <c r="K251" s="410" t="s">
        <v>649</v>
      </c>
      <c r="L251" s="396">
        <v>1</v>
      </c>
      <c r="M251" s="592"/>
      <c r="N251" s="257">
        <f>'[2]1.4 Septic'!$F$16</f>
        <v>298</v>
      </c>
      <c r="O251" s="257">
        <f>$G$492</f>
        <v>37.64</v>
      </c>
      <c r="P251" s="258"/>
      <c r="Q251" s="590">
        <f>H251*2*L251*N251/O251</f>
        <v>63.336875664187033</v>
      </c>
    </row>
    <row r="252" spans="1:17" ht="18" customHeight="1">
      <c r="A252" s="396">
        <f t="shared" si="63"/>
        <v>248</v>
      </c>
      <c r="B252" s="396">
        <v>608573</v>
      </c>
      <c r="C252" s="369" t="s">
        <v>1129</v>
      </c>
      <c r="D252" s="369" t="s">
        <v>672</v>
      </c>
      <c r="E252" s="369" t="s">
        <v>644</v>
      </c>
      <c r="F252" s="369" t="s">
        <v>645</v>
      </c>
      <c r="G252" s="369" t="s">
        <v>1130</v>
      </c>
      <c r="H252" s="396">
        <v>20</v>
      </c>
      <c r="I252" s="369"/>
      <c r="J252" s="369" t="s">
        <v>1790</v>
      </c>
      <c r="K252" s="410" t="s">
        <v>652</v>
      </c>
      <c r="L252" s="396">
        <v>1</v>
      </c>
      <c r="M252" s="592"/>
      <c r="N252" s="257">
        <f>'[2]1.4 Septic'!$F$16</f>
        <v>298</v>
      </c>
      <c r="O252" s="257">
        <v>6.3689999999999998</v>
      </c>
      <c r="P252" s="590">
        <f>H252*2*L252*N252/O252</f>
        <v>1871.5653948814572</v>
      </c>
      <c r="Q252" s="258"/>
    </row>
    <row r="253" spans="1:17" ht="18" customHeight="1">
      <c r="A253" s="396">
        <f t="shared" si="63"/>
        <v>249</v>
      </c>
      <c r="B253" s="396">
        <v>611788</v>
      </c>
      <c r="C253" s="369" t="s">
        <v>1131</v>
      </c>
      <c r="D253" s="369" t="s">
        <v>672</v>
      </c>
      <c r="E253" s="369" t="s">
        <v>644</v>
      </c>
      <c r="F253" s="369" t="s">
        <v>645</v>
      </c>
      <c r="G253" s="369" t="s">
        <v>1132</v>
      </c>
      <c r="H253" s="396">
        <v>10</v>
      </c>
      <c r="I253" s="369"/>
      <c r="J253" s="369" t="s">
        <v>718</v>
      </c>
      <c r="K253" s="410" t="s">
        <v>655</v>
      </c>
      <c r="L253" s="396">
        <v>1</v>
      </c>
      <c r="M253" s="592"/>
      <c r="N253" s="257">
        <f>'[2]1.4 Septic'!$F$16</f>
        <v>298</v>
      </c>
      <c r="O253" s="595">
        <f>$G$491</f>
        <v>32.435000000000002</v>
      </c>
      <c r="P253" s="258"/>
      <c r="Q253" s="590">
        <f>H253*2*L253*N253/O253</f>
        <v>183.75211962386311</v>
      </c>
    </row>
    <row r="254" spans="1:17" ht="18" customHeight="1">
      <c r="A254" s="396">
        <f t="shared" si="63"/>
        <v>250</v>
      </c>
      <c r="B254" s="396">
        <v>611791</v>
      </c>
      <c r="C254" s="369" t="s">
        <v>1133</v>
      </c>
      <c r="D254" s="369" t="s">
        <v>672</v>
      </c>
      <c r="E254" s="369" t="s">
        <v>644</v>
      </c>
      <c r="F254" s="369" t="s">
        <v>645</v>
      </c>
      <c r="G254" s="369" t="s">
        <v>1134</v>
      </c>
      <c r="H254" s="396">
        <v>4</v>
      </c>
      <c r="I254" s="369"/>
      <c r="J254" s="369" t="s">
        <v>1790</v>
      </c>
      <c r="K254" s="410" t="s">
        <v>652</v>
      </c>
      <c r="L254" s="396">
        <v>2</v>
      </c>
      <c r="M254" s="592"/>
      <c r="N254" s="257">
        <f>'[2]1.4 Septic'!$F$16</f>
        <v>298</v>
      </c>
      <c r="O254" s="257">
        <v>6.3689999999999998</v>
      </c>
      <c r="P254" s="590">
        <f>H254*2*L254*N254/O254</f>
        <v>748.62615795258284</v>
      </c>
      <c r="Q254" s="258"/>
    </row>
    <row r="255" spans="1:17" ht="18" customHeight="1">
      <c r="A255" s="396">
        <f t="shared" si="63"/>
        <v>251</v>
      </c>
      <c r="B255" s="396">
        <v>611794</v>
      </c>
      <c r="C255" s="369" t="s">
        <v>1135</v>
      </c>
      <c r="D255" s="369" t="s">
        <v>672</v>
      </c>
      <c r="E255" s="369" t="s">
        <v>644</v>
      </c>
      <c r="F255" s="369" t="s">
        <v>645</v>
      </c>
      <c r="G255" s="367" t="s">
        <v>1136</v>
      </c>
      <c r="H255" s="396">
        <v>6</v>
      </c>
      <c r="I255" s="369"/>
      <c r="J255" s="369" t="s">
        <v>718</v>
      </c>
      <c r="K255" s="410" t="s">
        <v>655</v>
      </c>
      <c r="L255" s="396">
        <v>1</v>
      </c>
      <c r="M255" s="592"/>
      <c r="N255" s="257">
        <f>'[2]1.4 Septic'!$F$16</f>
        <v>298</v>
      </c>
      <c r="O255" s="595">
        <f>$G$491</f>
        <v>32.435000000000002</v>
      </c>
      <c r="P255" s="258"/>
      <c r="Q255" s="590">
        <f>H255*2*L255*N255/O255</f>
        <v>110.25127177431786</v>
      </c>
    </row>
    <row r="256" spans="1:17" ht="18" customHeight="1">
      <c r="A256" s="396">
        <f t="shared" si="63"/>
        <v>252</v>
      </c>
      <c r="B256" s="396">
        <v>611795</v>
      </c>
      <c r="C256" s="369" t="s">
        <v>1137</v>
      </c>
      <c r="D256" s="369" t="s">
        <v>672</v>
      </c>
      <c r="E256" s="369" t="s">
        <v>644</v>
      </c>
      <c r="F256" s="369" t="s">
        <v>645</v>
      </c>
      <c r="G256" s="369" t="s">
        <v>1138</v>
      </c>
      <c r="H256" s="396">
        <v>6</v>
      </c>
      <c r="I256" s="369"/>
      <c r="J256" s="369" t="s">
        <v>658</v>
      </c>
      <c r="K256" s="410" t="s">
        <v>655</v>
      </c>
      <c r="L256" s="396">
        <v>1</v>
      </c>
      <c r="M256" s="592"/>
      <c r="N256" s="257">
        <f>'[2]1.4 Septic'!$F$16</f>
        <v>298</v>
      </c>
      <c r="O256" s="257">
        <f t="shared" ref="O256:O260" si="77">$G$492</f>
        <v>37.64</v>
      </c>
      <c r="P256" s="258"/>
      <c r="Q256" s="590">
        <f t="shared" ref="Q256:Q260" si="78">H256*2*L256*N256/O256</f>
        <v>95.00531349628055</v>
      </c>
    </row>
    <row r="257" spans="1:17" ht="18" customHeight="1">
      <c r="A257" s="396">
        <f t="shared" si="63"/>
        <v>253</v>
      </c>
      <c r="B257" s="396">
        <v>611796</v>
      </c>
      <c r="C257" s="369" t="s">
        <v>1139</v>
      </c>
      <c r="D257" s="369" t="s">
        <v>672</v>
      </c>
      <c r="E257" s="369" t="s">
        <v>644</v>
      </c>
      <c r="F257" s="369" t="s">
        <v>645</v>
      </c>
      <c r="G257" s="369" t="s">
        <v>1140</v>
      </c>
      <c r="H257" s="396">
        <v>8</v>
      </c>
      <c r="I257" s="369"/>
      <c r="J257" s="369" t="s">
        <v>695</v>
      </c>
      <c r="K257" s="410" t="s">
        <v>655</v>
      </c>
      <c r="L257" s="396">
        <v>1</v>
      </c>
      <c r="M257" s="592"/>
      <c r="N257" s="257">
        <f>'[2]1.4 Septic'!$F$16</f>
        <v>298</v>
      </c>
      <c r="O257" s="257">
        <f t="shared" si="77"/>
        <v>37.64</v>
      </c>
      <c r="P257" s="258"/>
      <c r="Q257" s="590">
        <f t="shared" si="78"/>
        <v>126.67375132837407</v>
      </c>
    </row>
    <row r="258" spans="1:17" ht="18" customHeight="1">
      <c r="A258" s="396">
        <f t="shared" si="63"/>
        <v>254</v>
      </c>
      <c r="B258" s="396">
        <v>611800</v>
      </c>
      <c r="C258" s="369" t="s">
        <v>1141</v>
      </c>
      <c r="D258" s="369" t="s">
        <v>672</v>
      </c>
      <c r="E258" s="369" t="s">
        <v>644</v>
      </c>
      <c r="F258" s="369" t="s">
        <v>645</v>
      </c>
      <c r="G258" s="369" t="s">
        <v>1142</v>
      </c>
      <c r="H258" s="396">
        <v>3</v>
      </c>
      <c r="I258" s="369"/>
      <c r="J258" s="369" t="s">
        <v>695</v>
      </c>
      <c r="K258" s="410" t="s">
        <v>655</v>
      </c>
      <c r="L258" s="396">
        <v>1</v>
      </c>
      <c r="M258" s="592"/>
      <c r="N258" s="257">
        <f>'[2]1.4 Septic'!$F$16</f>
        <v>298</v>
      </c>
      <c r="O258" s="257">
        <f t="shared" si="77"/>
        <v>37.64</v>
      </c>
      <c r="P258" s="258"/>
      <c r="Q258" s="590">
        <f t="shared" si="78"/>
        <v>47.502656748140275</v>
      </c>
    </row>
    <row r="259" spans="1:17" ht="18" customHeight="1">
      <c r="A259" s="396">
        <f t="shared" si="63"/>
        <v>255</v>
      </c>
      <c r="B259" s="396">
        <v>611802</v>
      </c>
      <c r="C259" s="369" t="s">
        <v>1143</v>
      </c>
      <c r="D259" s="369" t="s">
        <v>672</v>
      </c>
      <c r="E259" s="369" t="s">
        <v>644</v>
      </c>
      <c r="F259" s="369" t="s">
        <v>645</v>
      </c>
      <c r="G259" s="369" t="s">
        <v>1144</v>
      </c>
      <c r="H259" s="396">
        <v>6</v>
      </c>
      <c r="I259" s="369"/>
      <c r="J259" s="369" t="s">
        <v>695</v>
      </c>
      <c r="K259" s="410" t="s">
        <v>649</v>
      </c>
      <c r="L259" s="396">
        <v>2</v>
      </c>
      <c r="M259" s="592"/>
      <c r="N259" s="257">
        <f>'[2]1.4 Septic'!$F$16</f>
        <v>298</v>
      </c>
      <c r="O259" s="257">
        <f t="shared" si="77"/>
        <v>37.64</v>
      </c>
      <c r="P259" s="258"/>
      <c r="Q259" s="590">
        <f t="shared" si="78"/>
        <v>190.0106269925611</v>
      </c>
    </row>
    <row r="260" spans="1:17" ht="18" customHeight="1">
      <c r="A260" s="396">
        <f t="shared" si="63"/>
        <v>256</v>
      </c>
      <c r="B260" s="396">
        <v>611803</v>
      </c>
      <c r="C260" s="369" t="s">
        <v>1145</v>
      </c>
      <c r="D260" s="369" t="s">
        <v>672</v>
      </c>
      <c r="E260" s="369" t="s">
        <v>644</v>
      </c>
      <c r="F260" s="369" t="s">
        <v>645</v>
      </c>
      <c r="G260" s="367" t="s">
        <v>1058</v>
      </c>
      <c r="H260" s="396">
        <v>2</v>
      </c>
      <c r="I260" s="369"/>
      <c r="J260" s="369" t="s">
        <v>695</v>
      </c>
      <c r="K260" s="410" t="s">
        <v>649</v>
      </c>
      <c r="L260" s="396">
        <v>1</v>
      </c>
      <c r="M260" s="592"/>
      <c r="N260" s="257">
        <f>'[2]1.4 Septic'!$F$16</f>
        <v>298</v>
      </c>
      <c r="O260" s="257">
        <f t="shared" si="77"/>
        <v>37.64</v>
      </c>
      <c r="P260" s="258"/>
      <c r="Q260" s="590">
        <f t="shared" si="78"/>
        <v>31.668437832093517</v>
      </c>
    </row>
    <row r="261" spans="1:17" ht="18" customHeight="1">
      <c r="A261" s="396">
        <f t="shared" si="63"/>
        <v>257</v>
      </c>
      <c r="B261" s="396">
        <v>611804</v>
      </c>
      <c r="C261" s="369" t="s">
        <v>1146</v>
      </c>
      <c r="D261" s="369" t="s">
        <v>643</v>
      </c>
      <c r="E261" s="369" t="s">
        <v>644</v>
      </c>
      <c r="F261" s="369" t="s">
        <v>645</v>
      </c>
      <c r="G261" s="369" t="s">
        <v>1147</v>
      </c>
      <c r="H261" s="396">
        <v>10</v>
      </c>
      <c r="I261" s="369"/>
      <c r="J261" s="369" t="s">
        <v>1790</v>
      </c>
      <c r="K261" s="410" t="s">
        <v>652</v>
      </c>
      <c r="L261" s="396">
        <v>1</v>
      </c>
      <c r="M261" s="592"/>
      <c r="N261" s="257">
        <f>'[2]1.4 Septic'!$F$16</f>
        <v>298</v>
      </c>
      <c r="O261" s="257">
        <v>6.3689999999999998</v>
      </c>
      <c r="P261" s="590">
        <f>H261*2*L261*N261/O261</f>
        <v>935.78269744072861</v>
      </c>
      <c r="Q261" s="258"/>
    </row>
    <row r="262" spans="1:17" ht="18" customHeight="1">
      <c r="A262" s="396">
        <f t="shared" ref="A262:A325" si="79">+A261+1</f>
        <v>258</v>
      </c>
      <c r="B262" s="396">
        <v>611807</v>
      </c>
      <c r="C262" s="369" t="s">
        <v>1148</v>
      </c>
      <c r="D262" s="369" t="s">
        <v>672</v>
      </c>
      <c r="E262" s="369" t="s">
        <v>644</v>
      </c>
      <c r="F262" s="369" t="s">
        <v>645</v>
      </c>
      <c r="G262" s="369" t="s">
        <v>1149</v>
      </c>
      <c r="H262" s="396">
        <v>8</v>
      </c>
      <c r="I262" s="369"/>
      <c r="J262" s="369" t="s">
        <v>695</v>
      </c>
      <c r="K262" s="410" t="s">
        <v>649</v>
      </c>
      <c r="L262" s="396">
        <v>1</v>
      </c>
      <c r="M262" s="592"/>
      <c r="N262" s="257">
        <f>'[2]1.4 Septic'!$F$16</f>
        <v>298</v>
      </c>
      <c r="O262" s="257">
        <f t="shared" ref="O262:O265" si="80">$G$492</f>
        <v>37.64</v>
      </c>
      <c r="P262" s="258"/>
      <c r="Q262" s="590">
        <f t="shared" ref="Q262:Q265" si="81">H262*2*L262*N262/O262</f>
        <v>126.67375132837407</v>
      </c>
    </row>
    <row r="263" spans="1:17" ht="18" customHeight="1">
      <c r="A263" s="396">
        <f t="shared" si="79"/>
        <v>259</v>
      </c>
      <c r="B263" s="396">
        <v>611810</v>
      </c>
      <c r="C263" s="369" t="s">
        <v>1150</v>
      </c>
      <c r="D263" s="369" t="s">
        <v>672</v>
      </c>
      <c r="E263" s="369" t="s">
        <v>644</v>
      </c>
      <c r="F263" s="369" t="s">
        <v>645</v>
      </c>
      <c r="G263" s="367" t="s">
        <v>1104</v>
      </c>
      <c r="H263" s="396">
        <v>2</v>
      </c>
      <c r="I263" s="369"/>
      <c r="J263" s="369" t="s">
        <v>695</v>
      </c>
      <c r="K263" s="410" t="s">
        <v>649</v>
      </c>
      <c r="L263" s="396">
        <v>1</v>
      </c>
      <c r="M263" s="592"/>
      <c r="N263" s="257">
        <f>'[2]1.4 Septic'!$F$16</f>
        <v>298</v>
      </c>
      <c r="O263" s="257">
        <f t="shared" si="80"/>
        <v>37.64</v>
      </c>
      <c r="P263" s="258"/>
      <c r="Q263" s="590">
        <f t="shared" si="81"/>
        <v>31.668437832093517</v>
      </c>
    </row>
    <row r="264" spans="1:17" ht="18" customHeight="1">
      <c r="A264" s="396">
        <f t="shared" si="79"/>
        <v>260</v>
      </c>
      <c r="B264" s="396">
        <v>611816</v>
      </c>
      <c r="C264" s="369" t="s">
        <v>1151</v>
      </c>
      <c r="D264" s="369" t="s">
        <v>672</v>
      </c>
      <c r="E264" s="369" t="s">
        <v>644</v>
      </c>
      <c r="F264" s="369" t="s">
        <v>645</v>
      </c>
      <c r="G264" s="369" t="s">
        <v>1152</v>
      </c>
      <c r="H264" s="396">
        <v>3</v>
      </c>
      <c r="I264" s="369"/>
      <c r="J264" s="369" t="s">
        <v>695</v>
      </c>
      <c r="K264" s="410" t="s">
        <v>649</v>
      </c>
      <c r="L264" s="396">
        <v>1</v>
      </c>
      <c r="M264" s="592"/>
      <c r="N264" s="257">
        <f>'[2]1.4 Septic'!$F$16</f>
        <v>298</v>
      </c>
      <c r="O264" s="257">
        <f t="shared" si="80"/>
        <v>37.64</v>
      </c>
      <c r="P264" s="258"/>
      <c r="Q264" s="590">
        <f t="shared" si="81"/>
        <v>47.502656748140275</v>
      </c>
    </row>
    <row r="265" spans="1:17" ht="18" customHeight="1">
      <c r="A265" s="396">
        <f t="shared" si="79"/>
        <v>261</v>
      </c>
      <c r="B265" s="396">
        <v>611820</v>
      </c>
      <c r="C265" s="369" t="s">
        <v>1153</v>
      </c>
      <c r="D265" s="369" t="s">
        <v>643</v>
      </c>
      <c r="E265" s="369" t="s">
        <v>644</v>
      </c>
      <c r="F265" s="369" t="s">
        <v>645</v>
      </c>
      <c r="G265" s="367" t="s">
        <v>746</v>
      </c>
      <c r="H265" s="396">
        <v>10</v>
      </c>
      <c r="I265" s="369"/>
      <c r="J265" s="369" t="s">
        <v>695</v>
      </c>
      <c r="K265" s="410" t="s">
        <v>655</v>
      </c>
      <c r="L265" s="396">
        <v>2</v>
      </c>
      <c r="M265" s="592"/>
      <c r="N265" s="257">
        <f>'[2]1.4 Septic'!$F$16</f>
        <v>298</v>
      </c>
      <c r="O265" s="257">
        <f t="shared" si="80"/>
        <v>37.64</v>
      </c>
      <c r="P265" s="258"/>
      <c r="Q265" s="590">
        <f t="shared" si="81"/>
        <v>316.6843783209352</v>
      </c>
    </row>
    <row r="266" spans="1:17" ht="18" customHeight="1">
      <c r="A266" s="396">
        <f t="shared" si="79"/>
        <v>262</v>
      </c>
      <c r="B266" s="396">
        <v>611826</v>
      </c>
      <c r="C266" s="369" t="s">
        <v>1154</v>
      </c>
      <c r="D266" s="369" t="s">
        <v>643</v>
      </c>
      <c r="E266" s="369" t="s">
        <v>644</v>
      </c>
      <c r="F266" s="369" t="s">
        <v>645</v>
      </c>
      <c r="G266" s="369" t="s">
        <v>1155</v>
      </c>
      <c r="H266" s="396">
        <v>10</v>
      </c>
      <c r="I266" s="369"/>
      <c r="J266" s="369" t="s">
        <v>1790</v>
      </c>
      <c r="K266" s="410" t="s">
        <v>652</v>
      </c>
      <c r="L266" s="396">
        <v>1</v>
      </c>
      <c r="M266" s="592"/>
      <c r="N266" s="257">
        <f>'[2]1.4 Septic'!$F$16</f>
        <v>298</v>
      </c>
      <c r="O266" s="257">
        <v>6.3689999999999998</v>
      </c>
      <c r="P266" s="590">
        <f>H266*2*L266*N266/O266</f>
        <v>935.78269744072861</v>
      </c>
      <c r="Q266" s="258"/>
    </row>
    <row r="267" spans="1:17" ht="18" customHeight="1">
      <c r="A267" s="396">
        <f t="shared" si="79"/>
        <v>263</v>
      </c>
      <c r="B267" s="396">
        <v>611832</v>
      </c>
      <c r="C267" s="369" t="s">
        <v>1156</v>
      </c>
      <c r="D267" s="369" t="s">
        <v>643</v>
      </c>
      <c r="E267" s="369" t="s">
        <v>644</v>
      </c>
      <c r="F267" s="369" t="s">
        <v>645</v>
      </c>
      <c r="G267" s="369" t="s">
        <v>1157</v>
      </c>
      <c r="H267" s="396">
        <v>5</v>
      </c>
      <c r="I267" s="369"/>
      <c r="J267" s="369" t="s">
        <v>695</v>
      </c>
      <c r="K267" s="410" t="s">
        <v>655</v>
      </c>
      <c r="L267" s="396">
        <v>1</v>
      </c>
      <c r="M267" s="592"/>
      <c r="N267" s="257">
        <f>'[2]1.4 Septic'!$F$16</f>
        <v>298</v>
      </c>
      <c r="O267" s="257">
        <f t="shared" ref="O267:O268" si="82">$G$492</f>
        <v>37.64</v>
      </c>
      <c r="P267" s="258"/>
      <c r="Q267" s="590">
        <f t="shared" ref="Q267:Q268" si="83">H267*2*L267*N267/O267</f>
        <v>79.171094580233799</v>
      </c>
    </row>
    <row r="268" spans="1:17" ht="18" customHeight="1">
      <c r="A268" s="396">
        <f t="shared" si="79"/>
        <v>264</v>
      </c>
      <c r="B268" s="396">
        <v>611838</v>
      </c>
      <c r="C268" s="369" t="s">
        <v>1158</v>
      </c>
      <c r="D268" s="369" t="s">
        <v>672</v>
      </c>
      <c r="E268" s="369" t="s">
        <v>644</v>
      </c>
      <c r="F268" s="369" t="s">
        <v>645</v>
      </c>
      <c r="G268" s="369" t="s">
        <v>1159</v>
      </c>
      <c r="H268" s="396">
        <v>3</v>
      </c>
      <c r="I268" s="369"/>
      <c r="J268" s="369" t="s">
        <v>695</v>
      </c>
      <c r="K268" s="410" t="s">
        <v>649</v>
      </c>
      <c r="L268" s="396">
        <v>1</v>
      </c>
      <c r="M268" s="592"/>
      <c r="N268" s="257">
        <f>'[2]1.4 Septic'!$F$16</f>
        <v>298</v>
      </c>
      <c r="O268" s="257">
        <f t="shared" si="82"/>
        <v>37.64</v>
      </c>
      <c r="P268" s="258"/>
      <c r="Q268" s="590">
        <f t="shared" si="83"/>
        <v>47.502656748140275</v>
      </c>
    </row>
    <row r="269" spans="1:17" ht="18" customHeight="1">
      <c r="A269" s="396">
        <f t="shared" si="79"/>
        <v>265</v>
      </c>
      <c r="B269" s="396">
        <v>611854</v>
      </c>
      <c r="C269" s="369" t="s">
        <v>1160</v>
      </c>
      <c r="D269" s="369" t="s">
        <v>643</v>
      </c>
      <c r="E269" s="369" t="s">
        <v>644</v>
      </c>
      <c r="F269" s="369" t="s">
        <v>645</v>
      </c>
      <c r="G269" s="367" t="s">
        <v>746</v>
      </c>
      <c r="H269" s="396">
        <v>8</v>
      </c>
      <c r="I269" s="369"/>
      <c r="J269" s="369" t="s">
        <v>1790</v>
      </c>
      <c r="K269" s="410" t="s">
        <v>652</v>
      </c>
      <c r="L269" s="396">
        <v>2</v>
      </c>
      <c r="M269" s="592"/>
      <c r="N269" s="257">
        <f>'[2]1.4 Septic'!$F$16</f>
        <v>298</v>
      </c>
      <c r="O269" s="257">
        <v>6.3689999999999998</v>
      </c>
      <c r="P269" s="590">
        <f>H269*2*L269*N269/O269</f>
        <v>1497.2523159051657</v>
      </c>
      <c r="Q269" s="258"/>
    </row>
    <row r="270" spans="1:17" ht="18" customHeight="1">
      <c r="A270" s="396">
        <f t="shared" si="79"/>
        <v>266</v>
      </c>
      <c r="B270" s="396">
        <v>611866</v>
      </c>
      <c r="C270" s="369" t="s">
        <v>1161</v>
      </c>
      <c r="D270" s="369" t="s">
        <v>672</v>
      </c>
      <c r="E270" s="369" t="s">
        <v>644</v>
      </c>
      <c r="F270" s="369" t="s">
        <v>645</v>
      </c>
      <c r="G270" s="369" t="s">
        <v>1162</v>
      </c>
      <c r="H270" s="396">
        <v>10</v>
      </c>
      <c r="I270" s="369"/>
      <c r="J270" s="369" t="s">
        <v>718</v>
      </c>
      <c r="K270" s="410" t="s">
        <v>655</v>
      </c>
      <c r="L270" s="396">
        <v>1</v>
      </c>
      <c r="M270" s="592"/>
      <c r="N270" s="257">
        <f>'[2]1.4 Septic'!$F$16</f>
        <v>298</v>
      </c>
      <c r="O270" s="595">
        <f>$G$491</f>
        <v>32.435000000000002</v>
      </c>
      <c r="P270" s="258"/>
      <c r="Q270" s="590">
        <f>H270*2*L270*N270/O270</f>
        <v>183.75211962386311</v>
      </c>
    </row>
    <row r="271" spans="1:17" ht="18" customHeight="1">
      <c r="A271" s="396">
        <f t="shared" si="79"/>
        <v>267</v>
      </c>
      <c r="B271" s="396">
        <v>618820</v>
      </c>
      <c r="C271" s="369" t="s">
        <v>1163</v>
      </c>
      <c r="D271" s="369" t="s">
        <v>672</v>
      </c>
      <c r="E271" s="369" t="s">
        <v>644</v>
      </c>
      <c r="F271" s="369" t="s">
        <v>645</v>
      </c>
      <c r="G271" s="369" t="s">
        <v>1164</v>
      </c>
      <c r="H271" s="396">
        <v>10</v>
      </c>
      <c r="I271" s="369"/>
      <c r="J271" s="369" t="s">
        <v>648</v>
      </c>
      <c r="K271" s="410" t="s">
        <v>655</v>
      </c>
      <c r="L271" s="396">
        <v>1</v>
      </c>
      <c r="M271" s="592"/>
      <c r="N271" s="257">
        <f>'[2]1.4 Septic'!$F$16</f>
        <v>298</v>
      </c>
      <c r="O271" s="257">
        <f>$G$487</f>
        <v>14.763</v>
      </c>
      <c r="P271" s="258"/>
      <c r="Q271" s="590">
        <f>H271*2*L271*N271/O271</f>
        <v>403.71198265935107</v>
      </c>
    </row>
    <row r="272" spans="1:17" ht="18" customHeight="1">
      <c r="A272" s="396">
        <f t="shared" si="79"/>
        <v>268</v>
      </c>
      <c r="B272" s="396">
        <v>621874</v>
      </c>
      <c r="C272" s="369" t="s">
        <v>1165</v>
      </c>
      <c r="D272" s="369" t="s">
        <v>672</v>
      </c>
      <c r="E272" s="369" t="s">
        <v>644</v>
      </c>
      <c r="F272" s="369" t="s">
        <v>645</v>
      </c>
      <c r="G272" s="369" t="s">
        <v>1166</v>
      </c>
      <c r="H272" s="396">
        <v>10</v>
      </c>
      <c r="I272" s="369"/>
      <c r="J272" s="369" t="s">
        <v>684</v>
      </c>
      <c r="K272" s="410" t="s">
        <v>692</v>
      </c>
      <c r="L272" s="396">
        <v>1</v>
      </c>
      <c r="M272" s="592"/>
      <c r="N272" s="257">
        <f>'[2]1.4 Septic'!$F$16</f>
        <v>298</v>
      </c>
      <c r="O272" s="257">
        <f>$G$498</f>
        <v>17.77</v>
      </c>
      <c r="P272" s="258"/>
      <c r="Q272" s="590">
        <f t="shared" ref="Q272" si="84">H272*2*L272*N272/O272</f>
        <v>335.3967360720315</v>
      </c>
    </row>
    <row r="273" spans="1:17" ht="18" customHeight="1">
      <c r="A273" s="396">
        <f t="shared" si="79"/>
        <v>269</v>
      </c>
      <c r="B273" s="396">
        <v>621875</v>
      </c>
      <c r="C273" s="369" t="s">
        <v>1167</v>
      </c>
      <c r="D273" s="369" t="s">
        <v>672</v>
      </c>
      <c r="E273" s="369" t="s">
        <v>644</v>
      </c>
      <c r="F273" s="369" t="s">
        <v>645</v>
      </c>
      <c r="G273" s="369" t="s">
        <v>1168</v>
      </c>
      <c r="H273" s="396">
        <v>7</v>
      </c>
      <c r="I273" s="369"/>
      <c r="J273" s="369" t="s">
        <v>695</v>
      </c>
      <c r="K273" s="410" t="s">
        <v>655</v>
      </c>
      <c r="L273" s="396">
        <v>1</v>
      </c>
      <c r="M273" s="592"/>
      <c r="N273" s="257">
        <f>'[2]1.4 Septic'!$F$16</f>
        <v>298</v>
      </c>
      <c r="O273" s="257">
        <f>$G$492</f>
        <v>37.64</v>
      </c>
      <c r="P273" s="258"/>
      <c r="Q273" s="590">
        <f>H273*2*L273*N273/O273</f>
        <v>110.83953241232732</v>
      </c>
    </row>
    <row r="274" spans="1:17" ht="18" customHeight="1">
      <c r="A274" s="396">
        <f t="shared" si="79"/>
        <v>270</v>
      </c>
      <c r="B274" s="396">
        <v>621876</v>
      </c>
      <c r="C274" s="369" t="s">
        <v>1169</v>
      </c>
      <c r="D274" s="369" t="s">
        <v>672</v>
      </c>
      <c r="E274" s="369" t="s">
        <v>644</v>
      </c>
      <c r="F274" s="369" t="s">
        <v>645</v>
      </c>
      <c r="G274" s="369" t="s">
        <v>1170</v>
      </c>
      <c r="H274" s="396">
        <v>12</v>
      </c>
      <c r="I274" s="369"/>
      <c r="J274" s="369" t="s">
        <v>718</v>
      </c>
      <c r="K274" s="410" t="s">
        <v>649</v>
      </c>
      <c r="L274" s="396">
        <v>1</v>
      </c>
      <c r="M274" s="592"/>
      <c r="N274" s="257">
        <f>'[2]1.4 Septic'!$F$16</f>
        <v>298</v>
      </c>
      <c r="O274" s="595">
        <f>$G$491</f>
        <v>32.435000000000002</v>
      </c>
      <c r="P274" s="258"/>
      <c r="Q274" s="590">
        <f>H274*2*L274*N274/O274</f>
        <v>220.50254354863571</v>
      </c>
    </row>
    <row r="275" spans="1:17" ht="18" customHeight="1">
      <c r="A275" s="396">
        <f t="shared" si="79"/>
        <v>271</v>
      </c>
      <c r="B275" s="396">
        <v>621883</v>
      </c>
      <c r="C275" s="369" t="s">
        <v>1171</v>
      </c>
      <c r="D275" s="369" t="s">
        <v>672</v>
      </c>
      <c r="E275" s="369" t="s">
        <v>644</v>
      </c>
      <c r="F275" s="369" t="s">
        <v>645</v>
      </c>
      <c r="G275" s="369" t="s">
        <v>1172</v>
      </c>
      <c r="H275" s="396">
        <v>4</v>
      </c>
      <c r="I275" s="369"/>
      <c r="J275" s="369" t="s">
        <v>695</v>
      </c>
      <c r="K275" s="410" t="s">
        <v>655</v>
      </c>
      <c r="L275" s="396">
        <v>2</v>
      </c>
      <c r="M275" s="592"/>
      <c r="N275" s="257">
        <f>'[2]1.4 Septic'!$F$16</f>
        <v>298</v>
      </c>
      <c r="O275" s="257">
        <f t="shared" ref="O275:O279" si="85">$G$492</f>
        <v>37.64</v>
      </c>
      <c r="P275" s="258"/>
      <c r="Q275" s="590">
        <f t="shared" ref="Q275:Q279" si="86">H275*2*L275*N275/O275</f>
        <v>126.67375132837407</v>
      </c>
    </row>
    <row r="276" spans="1:17" ht="18" customHeight="1">
      <c r="A276" s="396">
        <f t="shared" si="79"/>
        <v>272</v>
      </c>
      <c r="B276" s="396">
        <v>621885</v>
      </c>
      <c r="C276" s="369" t="s">
        <v>1173</v>
      </c>
      <c r="D276" s="369" t="s">
        <v>672</v>
      </c>
      <c r="E276" s="369" t="s">
        <v>644</v>
      </c>
      <c r="F276" s="369" t="s">
        <v>645</v>
      </c>
      <c r="G276" s="596" t="s">
        <v>1174</v>
      </c>
      <c r="H276" s="396">
        <v>3</v>
      </c>
      <c r="I276" s="369"/>
      <c r="J276" s="369" t="s">
        <v>695</v>
      </c>
      <c r="K276" s="410" t="s">
        <v>655</v>
      </c>
      <c r="L276" s="396">
        <v>1</v>
      </c>
      <c r="M276" s="592"/>
      <c r="N276" s="257">
        <f>'[2]1.4 Septic'!$F$16</f>
        <v>298</v>
      </c>
      <c r="O276" s="257">
        <f t="shared" si="85"/>
        <v>37.64</v>
      </c>
      <c r="P276" s="258"/>
      <c r="Q276" s="590">
        <f t="shared" si="86"/>
        <v>47.502656748140275</v>
      </c>
    </row>
    <row r="277" spans="1:17" ht="18" customHeight="1">
      <c r="A277" s="396">
        <f t="shared" si="79"/>
        <v>273</v>
      </c>
      <c r="B277" s="396">
        <v>621887</v>
      </c>
      <c r="C277" s="369" t="s">
        <v>1175</v>
      </c>
      <c r="D277" s="369" t="s">
        <v>672</v>
      </c>
      <c r="E277" s="369" t="s">
        <v>644</v>
      </c>
      <c r="F277" s="369" t="s">
        <v>645</v>
      </c>
      <c r="G277" s="369" t="s">
        <v>1176</v>
      </c>
      <c r="H277" s="396">
        <v>12</v>
      </c>
      <c r="I277" s="369"/>
      <c r="J277" s="369" t="s">
        <v>695</v>
      </c>
      <c r="K277" s="410" t="s">
        <v>655</v>
      </c>
      <c r="L277" s="396">
        <v>1</v>
      </c>
      <c r="M277" s="592"/>
      <c r="N277" s="257">
        <f>'[2]1.4 Septic'!$F$16</f>
        <v>298</v>
      </c>
      <c r="O277" s="257">
        <f t="shared" si="85"/>
        <v>37.64</v>
      </c>
      <c r="P277" s="258"/>
      <c r="Q277" s="590">
        <f t="shared" si="86"/>
        <v>190.0106269925611</v>
      </c>
    </row>
    <row r="278" spans="1:17" ht="18" customHeight="1">
      <c r="A278" s="396">
        <f t="shared" si="79"/>
        <v>274</v>
      </c>
      <c r="B278" s="396">
        <v>621902</v>
      </c>
      <c r="C278" s="369" t="s">
        <v>1177</v>
      </c>
      <c r="D278" s="369" t="s">
        <v>672</v>
      </c>
      <c r="E278" s="369" t="s">
        <v>644</v>
      </c>
      <c r="F278" s="369" t="s">
        <v>645</v>
      </c>
      <c r="G278" s="369" t="s">
        <v>1178</v>
      </c>
      <c r="H278" s="396">
        <v>6</v>
      </c>
      <c r="I278" s="369"/>
      <c r="J278" s="369" t="s">
        <v>658</v>
      </c>
      <c r="K278" s="410" t="s">
        <v>649</v>
      </c>
      <c r="L278" s="396">
        <v>1</v>
      </c>
      <c r="M278" s="592"/>
      <c r="N278" s="257">
        <f>'[2]1.4 Septic'!$F$16</f>
        <v>298</v>
      </c>
      <c r="O278" s="257">
        <f t="shared" si="85"/>
        <v>37.64</v>
      </c>
      <c r="P278" s="258"/>
      <c r="Q278" s="590">
        <f t="shared" si="86"/>
        <v>95.00531349628055</v>
      </c>
    </row>
    <row r="279" spans="1:17" ht="18" customHeight="1">
      <c r="A279" s="396">
        <f t="shared" si="79"/>
        <v>275</v>
      </c>
      <c r="B279" s="396">
        <v>621914</v>
      </c>
      <c r="C279" s="369" t="s">
        <v>1179</v>
      </c>
      <c r="D279" s="369" t="s">
        <v>643</v>
      </c>
      <c r="E279" s="369" t="s">
        <v>644</v>
      </c>
      <c r="F279" s="369" t="s">
        <v>645</v>
      </c>
      <c r="G279" s="369" t="s">
        <v>1180</v>
      </c>
      <c r="H279" s="396">
        <v>7</v>
      </c>
      <c r="I279" s="369"/>
      <c r="J279" s="369" t="s">
        <v>744</v>
      </c>
      <c r="K279" s="410" t="s">
        <v>649</v>
      </c>
      <c r="L279" s="396">
        <v>1</v>
      </c>
      <c r="M279" s="592"/>
      <c r="N279" s="257">
        <f>'[2]1.4 Septic'!$F$16</f>
        <v>298</v>
      </c>
      <c r="O279" s="257">
        <f t="shared" si="85"/>
        <v>37.64</v>
      </c>
      <c r="P279" s="258"/>
      <c r="Q279" s="590">
        <f t="shared" si="86"/>
        <v>110.83953241232732</v>
      </c>
    </row>
    <row r="280" spans="1:17" ht="18" customHeight="1">
      <c r="A280" s="396">
        <f t="shared" si="79"/>
        <v>276</v>
      </c>
      <c r="B280" s="396">
        <v>621918</v>
      </c>
      <c r="C280" s="369" t="s">
        <v>1181</v>
      </c>
      <c r="D280" s="369" t="s">
        <v>643</v>
      </c>
      <c r="E280" s="369" t="s">
        <v>644</v>
      </c>
      <c r="F280" s="369" t="s">
        <v>645</v>
      </c>
      <c r="G280" s="369" t="s">
        <v>1182</v>
      </c>
      <c r="H280" s="396">
        <v>14</v>
      </c>
      <c r="I280" s="369"/>
      <c r="J280" s="369" t="s">
        <v>1790</v>
      </c>
      <c r="K280" s="410" t="s">
        <v>652</v>
      </c>
      <c r="L280" s="396">
        <v>1</v>
      </c>
      <c r="M280" s="592"/>
      <c r="N280" s="257">
        <f>'[2]1.4 Septic'!$F$16</f>
        <v>298</v>
      </c>
      <c r="O280" s="257">
        <v>6.3689999999999998</v>
      </c>
      <c r="P280" s="590">
        <f>H280*2*L280*N280/O280</f>
        <v>1310.09577641702</v>
      </c>
      <c r="Q280" s="258"/>
    </row>
    <row r="281" spans="1:17" ht="18" customHeight="1">
      <c r="A281" s="396">
        <f t="shared" si="79"/>
        <v>277</v>
      </c>
      <c r="B281" s="396">
        <v>621919</v>
      </c>
      <c r="C281" s="369" t="s">
        <v>1183</v>
      </c>
      <c r="D281" s="369" t="s">
        <v>672</v>
      </c>
      <c r="E281" s="369" t="s">
        <v>644</v>
      </c>
      <c r="F281" s="369" t="s">
        <v>645</v>
      </c>
      <c r="G281" s="369" t="s">
        <v>1184</v>
      </c>
      <c r="H281" s="396">
        <v>2</v>
      </c>
      <c r="I281" s="369"/>
      <c r="J281" s="369" t="s">
        <v>695</v>
      </c>
      <c r="K281" s="410" t="s">
        <v>655</v>
      </c>
      <c r="L281" s="396">
        <v>1</v>
      </c>
      <c r="M281" s="592"/>
      <c r="N281" s="257">
        <f>'[2]1.4 Septic'!$F$16</f>
        <v>298</v>
      </c>
      <c r="O281" s="257">
        <f t="shared" ref="O281:O285" si="87">$G$492</f>
        <v>37.64</v>
      </c>
      <c r="P281" s="258"/>
      <c r="Q281" s="590">
        <f t="shared" ref="Q281:Q285" si="88">H281*2*L281*N281/O281</f>
        <v>31.668437832093517</v>
      </c>
    </row>
    <row r="282" spans="1:17" ht="18" customHeight="1">
      <c r="A282" s="396">
        <f t="shared" si="79"/>
        <v>278</v>
      </c>
      <c r="B282" s="396">
        <v>621922</v>
      </c>
      <c r="C282" s="369" t="s">
        <v>1185</v>
      </c>
      <c r="D282" s="369" t="s">
        <v>643</v>
      </c>
      <c r="E282" s="369" t="s">
        <v>644</v>
      </c>
      <c r="F282" s="369" t="s">
        <v>645</v>
      </c>
      <c r="G282" s="369" t="s">
        <v>1186</v>
      </c>
      <c r="H282" s="396">
        <v>7.5</v>
      </c>
      <c r="I282" s="369"/>
      <c r="J282" s="369" t="s">
        <v>658</v>
      </c>
      <c r="K282" s="410" t="s">
        <v>655</v>
      </c>
      <c r="L282" s="396">
        <v>2</v>
      </c>
      <c r="M282" s="592"/>
      <c r="N282" s="257">
        <f>'[2]1.4 Septic'!$F$16</f>
        <v>298</v>
      </c>
      <c r="O282" s="257">
        <f t="shared" si="87"/>
        <v>37.64</v>
      </c>
      <c r="P282" s="258"/>
      <c r="Q282" s="590">
        <f t="shared" si="88"/>
        <v>237.51328374070138</v>
      </c>
    </row>
    <row r="283" spans="1:17" ht="18" customHeight="1">
      <c r="A283" s="396">
        <f t="shared" si="79"/>
        <v>279</v>
      </c>
      <c r="B283" s="396">
        <v>621932</v>
      </c>
      <c r="C283" s="369" t="s">
        <v>1187</v>
      </c>
      <c r="D283" s="369" t="s">
        <v>643</v>
      </c>
      <c r="E283" s="369" t="s">
        <v>644</v>
      </c>
      <c r="F283" s="369" t="s">
        <v>645</v>
      </c>
      <c r="G283" s="367" t="s">
        <v>803</v>
      </c>
      <c r="H283" s="396">
        <v>10</v>
      </c>
      <c r="I283" s="369"/>
      <c r="J283" s="369" t="s">
        <v>695</v>
      </c>
      <c r="K283" s="410" t="s">
        <v>655</v>
      </c>
      <c r="L283" s="396">
        <v>1</v>
      </c>
      <c r="M283" s="592"/>
      <c r="N283" s="257">
        <f>'[2]1.4 Septic'!$F$16</f>
        <v>298</v>
      </c>
      <c r="O283" s="257">
        <f t="shared" si="87"/>
        <v>37.64</v>
      </c>
      <c r="P283" s="258"/>
      <c r="Q283" s="590">
        <f t="shared" si="88"/>
        <v>158.3421891604676</v>
      </c>
    </row>
    <row r="284" spans="1:17" ht="18" customHeight="1">
      <c r="A284" s="396">
        <f t="shared" si="79"/>
        <v>280</v>
      </c>
      <c r="B284" s="396">
        <v>621948</v>
      </c>
      <c r="C284" s="369" t="s">
        <v>1188</v>
      </c>
      <c r="D284" s="369" t="s">
        <v>643</v>
      </c>
      <c r="E284" s="369" t="s">
        <v>644</v>
      </c>
      <c r="F284" s="369" t="s">
        <v>645</v>
      </c>
      <c r="G284" s="367" t="s">
        <v>1058</v>
      </c>
      <c r="H284" s="396">
        <v>3.8</v>
      </c>
      <c r="I284" s="369"/>
      <c r="J284" s="369" t="s">
        <v>658</v>
      </c>
      <c r="K284" s="410" t="s">
        <v>649</v>
      </c>
      <c r="L284" s="396">
        <v>2</v>
      </c>
      <c r="M284" s="592"/>
      <c r="N284" s="257">
        <f>'[2]1.4 Septic'!$F$16</f>
        <v>298</v>
      </c>
      <c r="O284" s="257">
        <f t="shared" si="87"/>
        <v>37.64</v>
      </c>
      <c r="P284" s="258"/>
      <c r="Q284" s="590">
        <f t="shared" si="88"/>
        <v>120.34006376195535</v>
      </c>
    </row>
    <row r="285" spans="1:17" ht="18" customHeight="1">
      <c r="A285" s="396">
        <f t="shared" si="79"/>
        <v>281</v>
      </c>
      <c r="B285" s="396">
        <v>621953</v>
      </c>
      <c r="C285" s="369" t="s">
        <v>1189</v>
      </c>
      <c r="D285" s="369" t="s">
        <v>672</v>
      </c>
      <c r="E285" s="369" t="s">
        <v>644</v>
      </c>
      <c r="F285" s="369" t="s">
        <v>645</v>
      </c>
      <c r="G285" s="369" t="s">
        <v>1190</v>
      </c>
      <c r="H285" s="396">
        <v>2</v>
      </c>
      <c r="I285" s="369"/>
      <c r="J285" s="369" t="s">
        <v>695</v>
      </c>
      <c r="K285" s="410" t="s">
        <v>649</v>
      </c>
      <c r="L285" s="396">
        <v>1</v>
      </c>
      <c r="M285" s="592"/>
      <c r="N285" s="257">
        <f>'[2]1.4 Septic'!$F$16</f>
        <v>298</v>
      </c>
      <c r="O285" s="257">
        <f t="shared" si="87"/>
        <v>37.64</v>
      </c>
      <c r="P285" s="258"/>
      <c r="Q285" s="590">
        <f t="shared" si="88"/>
        <v>31.668437832093517</v>
      </c>
    </row>
    <row r="286" spans="1:17" ht="18" customHeight="1">
      <c r="A286" s="396">
        <f t="shared" si="79"/>
        <v>282</v>
      </c>
      <c r="B286" s="396">
        <v>621955</v>
      </c>
      <c r="C286" s="369" t="s">
        <v>1191</v>
      </c>
      <c r="D286" s="369" t="s">
        <v>643</v>
      </c>
      <c r="E286" s="369" t="s">
        <v>644</v>
      </c>
      <c r="F286" s="369" t="s">
        <v>645</v>
      </c>
      <c r="G286" s="367" t="s">
        <v>746</v>
      </c>
      <c r="H286" s="396">
        <v>5</v>
      </c>
      <c r="I286" s="369"/>
      <c r="J286" s="369" t="s">
        <v>718</v>
      </c>
      <c r="K286" s="410" t="s">
        <v>649</v>
      </c>
      <c r="L286" s="396">
        <v>2</v>
      </c>
      <c r="M286" s="592"/>
      <c r="N286" s="257">
        <f>'[2]1.4 Septic'!$F$16</f>
        <v>298</v>
      </c>
      <c r="O286" s="595">
        <f>$G$491</f>
        <v>32.435000000000002</v>
      </c>
      <c r="P286" s="258"/>
      <c r="Q286" s="590">
        <f>H286*2*L286*N286/O286</f>
        <v>183.75211962386311</v>
      </c>
    </row>
    <row r="287" spans="1:17" ht="18" customHeight="1">
      <c r="A287" s="396">
        <f t="shared" si="79"/>
        <v>283</v>
      </c>
      <c r="B287" s="396">
        <v>628845</v>
      </c>
      <c r="C287" s="369" t="s">
        <v>1192</v>
      </c>
      <c r="D287" s="369" t="s">
        <v>672</v>
      </c>
      <c r="E287" s="369" t="s">
        <v>644</v>
      </c>
      <c r="F287" s="369" t="s">
        <v>645</v>
      </c>
      <c r="G287" s="369" t="s">
        <v>1193</v>
      </c>
      <c r="H287" s="396">
        <v>5</v>
      </c>
      <c r="I287" s="369"/>
      <c r="J287" s="369" t="s">
        <v>1790</v>
      </c>
      <c r="K287" s="410" t="s">
        <v>652</v>
      </c>
      <c r="L287" s="396">
        <v>2</v>
      </c>
      <c r="M287" s="592"/>
      <c r="N287" s="257">
        <f>'[2]1.4 Septic'!$F$16</f>
        <v>298</v>
      </c>
      <c r="O287" s="257">
        <v>6.3689999999999998</v>
      </c>
      <c r="P287" s="590">
        <f>H287*2*L287*N287/O287</f>
        <v>935.78269744072861</v>
      </c>
      <c r="Q287" s="258"/>
    </row>
    <row r="288" spans="1:17" ht="18" customHeight="1">
      <c r="A288" s="396">
        <f t="shared" si="79"/>
        <v>284</v>
      </c>
      <c r="B288" s="396">
        <v>628903</v>
      </c>
      <c r="C288" s="369" t="s">
        <v>1194</v>
      </c>
      <c r="D288" s="369" t="s">
        <v>672</v>
      </c>
      <c r="E288" s="369" t="s">
        <v>644</v>
      </c>
      <c r="F288" s="369" t="s">
        <v>645</v>
      </c>
      <c r="G288" s="369" t="s">
        <v>1195</v>
      </c>
      <c r="H288" s="396">
        <v>9</v>
      </c>
      <c r="I288" s="369"/>
      <c r="J288" s="369" t="s">
        <v>1790</v>
      </c>
      <c r="K288" s="410" t="s">
        <v>652</v>
      </c>
      <c r="L288" s="396">
        <v>1</v>
      </c>
      <c r="M288" s="592"/>
      <c r="N288" s="257">
        <f>'[2]1.4 Septic'!$F$16</f>
        <v>298</v>
      </c>
      <c r="O288" s="257">
        <v>6.3689999999999998</v>
      </c>
      <c r="P288" s="590">
        <f>H288*2*L288*N288/O288</f>
        <v>842.20442769665567</v>
      </c>
      <c r="Q288" s="258"/>
    </row>
    <row r="289" spans="1:17" ht="18" customHeight="1">
      <c r="A289" s="396">
        <f t="shared" si="79"/>
        <v>285</v>
      </c>
      <c r="B289" s="396">
        <v>631967</v>
      </c>
      <c r="C289" s="369" t="s">
        <v>1196</v>
      </c>
      <c r="D289" s="369" t="s">
        <v>643</v>
      </c>
      <c r="E289" s="369" t="s">
        <v>644</v>
      </c>
      <c r="F289" s="369" t="s">
        <v>645</v>
      </c>
      <c r="G289" s="369" t="s">
        <v>1197</v>
      </c>
      <c r="H289" s="396">
        <v>3</v>
      </c>
      <c r="I289" s="369"/>
      <c r="J289" s="369" t="s">
        <v>684</v>
      </c>
      <c r="K289" s="410" t="s">
        <v>649</v>
      </c>
      <c r="L289" s="396">
        <v>2</v>
      </c>
      <c r="M289" s="592"/>
      <c r="N289" s="257">
        <f>'[2]1.4 Septic'!$F$16</f>
        <v>298</v>
      </c>
      <c r="O289" s="257">
        <f>$G$498</f>
        <v>17.77</v>
      </c>
      <c r="P289" s="258"/>
      <c r="Q289" s="590">
        <f t="shared" ref="Q289" si="89">H289*2*L289*N289/O289</f>
        <v>201.23804164321891</v>
      </c>
    </row>
    <row r="290" spans="1:17" ht="18" customHeight="1">
      <c r="A290" s="396">
        <f t="shared" si="79"/>
        <v>286</v>
      </c>
      <c r="B290" s="396">
        <v>631968</v>
      </c>
      <c r="C290" s="369" t="s">
        <v>1198</v>
      </c>
      <c r="D290" s="369" t="s">
        <v>643</v>
      </c>
      <c r="E290" s="369" t="s">
        <v>644</v>
      </c>
      <c r="F290" s="369" t="s">
        <v>645</v>
      </c>
      <c r="G290" s="369" t="s">
        <v>1199</v>
      </c>
      <c r="H290" s="396">
        <v>8</v>
      </c>
      <c r="I290" s="369"/>
      <c r="J290" s="369" t="s">
        <v>695</v>
      </c>
      <c r="K290" s="410" t="s">
        <v>655</v>
      </c>
      <c r="L290" s="396">
        <v>1</v>
      </c>
      <c r="M290" s="592"/>
      <c r="N290" s="257">
        <f>'[2]1.4 Septic'!$F$16</f>
        <v>298</v>
      </c>
      <c r="O290" s="257">
        <f>$G$492</f>
        <v>37.64</v>
      </c>
      <c r="P290" s="258"/>
      <c r="Q290" s="590">
        <f>H290*2*L290*N290/O290</f>
        <v>126.67375132837407</v>
      </c>
    </row>
    <row r="291" spans="1:17" ht="18" customHeight="1">
      <c r="A291" s="396">
        <f t="shared" si="79"/>
        <v>287</v>
      </c>
      <c r="B291" s="396">
        <v>631973</v>
      </c>
      <c r="C291" s="369" t="s">
        <v>1200</v>
      </c>
      <c r="D291" s="369" t="s">
        <v>672</v>
      </c>
      <c r="E291" s="369" t="s">
        <v>644</v>
      </c>
      <c r="F291" s="369" t="s">
        <v>645</v>
      </c>
      <c r="G291" s="369" t="s">
        <v>1201</v>
      </c>
      <c r="H291" s="396">
        <v>7</v>
      </c>
      <c r="I291" s="369"/>
      <c r="J291" s="369" t="s">
        <v>715</v>
      </c>
      <c r="K291" s="410" t="s">
        <v>655</v>
      </c>
      <c r="L291" s="396">
        <v>1</v>
      </c>
      <c r="M291" s="592"/>
      <c r="N291" s="257">
        <f>'[2]1.4 Septic'!$F$16</f>
        <v>298</v>
      </c>
      <c r="O291" s="595">
        <f>$G$491</f>
        <v>32.435000000000002</v>
      </c>
      <c r="P291" s="258"/>
      <c r="Q291" s="590">
        <f>H291*2*L291*N291/O291</f>
        <v>128.62648373670416</v>
      </c>
    </row>
    <row r="292" spans="1:17" ht="18" customHeight="1">
      <c r="A292" s="396">
        <f t="shared" si="79"/>
        <v>288</v>
      </c>
      <c r="B292" s="396">
        <v>631974</v>
      </c>
      <c r="C292" s="369" t="s">
        <v>1202</v>
      </c>
      <c r="D292" s="369" t="s">
        <v>672</v>
      </c>
      <c r="E292" s="369" t="s">
        <v>644</v>
      </c>
      <c r="F292" s="369" t="s">
        <v>645</v>
      </c>
      <c r="G292" s="369" t="s">
        <v>1203</v>
      </c>
      <c r="H292" s="396">
        <v>3</v>
      </c>
      <c r="I292" s="369"/>
      <c r="J292" s="369" t="s">
        <v>695</v>
      </c>
      <c r="K292" s="410" t="s">
        <v>655</v>
      </c>
      <c r="L292" s="396">
        <v>1</v>
      </c>
      <c r="M292" s="592"/>
      <c r="N292" s="257">
        <f>'[2]1.4 Septic'!$F$16</f>
        <v>298</v>
      </c>
      <c r="O292" s="257">
        <f t="shared" ref="O292:O293" si="90">$G$492</f>
        <v>37.64</v>
      </c>
      <c r="P292" s="258"/>
      <c r="Q292" s="590">
        <f t="shared" ref="Q292:Q293" si="91">H292*2*L292*N292/O292</f>
        <v>47.502656748140275</v>
      </c>
    </row>
    <row r="293" spans="1:17" ht="18" customHeight="1">
      <c r="A293" s="396">
        <f t="shared" si="79"/>
        <v>289</v>
      </c>
      <c r="B293" s="396">
        <v>631975</v>
      </c>
      <c r="C293" s="369" t="s">
        <v>1204</v>
      </c>
      <c r="D293" s="369" t="s">
        <v>672</v>
      </c>
      <c r="E293" s="369" t="s">
        <v>644</v>
      </c>
      <c r="F293" s="369" t="s">
        <v>645</v>
      </c>
      <c r="G293" s="367" t="s">
        <v>746</v>
      </c>
      <c r="H293" s="396">
        <v>20</v>
      </c>
      <c r="I293" s="369"/>
      <c r="J293" s="369" t="s">
        <v>658</v>
      </c>
      <c r="K293" s="410" t="s">
        <v>655</v>
      </c>
      <c r="L293" s="396">
        <v>1</v>
      </c>
      <c r="M293" s="592"/>
      <c r="N293" s="257">
        <f>'[2]1.4 Septic'!$F$16</f>
        <v>298</v>
      </c>
      <c r="O293" s="257">
        <f t="shared" si="90"/>
        <v>37.64</v>
      </c>
      <c r="P293" s="258"/>
      <c r="Q293" s="590">
        <f t="shared" si="91"/>
        <v>316.6843783209352</v>
      </c>
    </row>
    <row r="294" spans="1:17" ht="18" customHeight="1">
      <c r="A294" s="396">
        <f t="shared" si="79"/>
        <v>290</v>
      </c>
      <c r="B294" s="396">
        <v>631976</v>
      </c>
      <c r="C294" s="369" t="s">
        <v>1205</v>
      </c>
      <c r="D294" s="369" t="s">
        <v>643</v>
      </c>
      <c r="E294" s="369" t="s">
        <v>644</v>
      </c>
      <c r="F294" s="369" t="s">
        <v>645</v>
      </c>
      <c r="G294" s="369" t="s">
        <v>1206</v>
      </c>
      <c r="H294" s="396">
        <v>4</v>
      </c>
      <c r="I294" s="369"/>
      <c r="J294" s="369" t="s">
        <v>1790</v>
      </c>
      <c r="K294" s="410" t="s">
        <v>652</v>
      </c>
      <c r="L294" s="396">
        <v>1</v>
      </c>
      <c r="M294" s="592"/>
      <c r="N294" s="257">
        <f>'[2]1.4 Septic'!$F$16</f>
        <v>298</v>
      </c>
      <c r="O294" s="257">
        <v>6.3689999999999998</v>
      </c>
      <c r="P294" s="590">
        <f>H294*2*L294*N294/O294</f>
        <v>374.31307897629142</v>
      </c>
      <c r="Q294" s="258"/>
    </row>
    <row r="295" spans="1:17" ht="18" customHeight="1">
      <c r="A295" s="396">
        <f t="shared" si="79"/>
        <v>291</v>
      </c>
      <c r="B295" s="396">
        <v>631985</v>
      </c>
      <c r="C295" s="369" t="s">
        <v>1207</v>
      </c>
      <c r="D295" s="369" t="s">
        <v>672</v>
      </c>
      <c r="E295" s="369" t="s">
        <v>644</v>
      </c>
      <c r="F295" s="369" t="s">
        <v>645</v>
      </c>
      <c r="G295" s="369" t="s">
        <v>1208</v>
      </c>
      <c r="H295" s="396">
        <v>8</v>
      </c>
      <c r="I295" s="369"/>
      <c r="J295" s="369" t="s">
        <v>658</v>
      </c>
      <c r="K295" s="410" t="s">
        <v>655</v>
      </c>
      <c r="L295" s="396">
        <v>1</v>
      </c>
      <c r="M295" s="592"/>
      <c r="N295" s="257">
        <f>'[2]1.4 Septic'!$F$16</f>
        <v>298</v>
      </c>
      <c r="O295" s="257">
        <f t="shared" ref="O295:O298" si="92">$G$492</f>
        <v>37.64</v>
      </c>
      <c r="P295" s="258"/>
      <c r="Q295" s="590">
        <f t="shared" ref="Q295:Q302" si="93">H295*2*L295*N295/O295</f>
        <v>126.67375132837407</v>
      </c>
    </row>
    <row r="296" spans="1:17" ht="18" customHeight="1">
      <c r="A296" s="396">
        <f t="shared" si="79"/>
        <v>292</v>
      </c>
      <c r="B296" s="396">
        <v>631987</v>
      </c>
      <c r="C296" s="369" t="s">
        <v>1209</v>
      </c>
      <c r="D296" s="369" t="s">
        <v>672</v>
      </c>
      <c r="E296" s="369" t="s">
        <v>644</v>
      </c>
      <c r="F296" s="369" t="s">
        <v>645</v>
      </c>
      <c r="G296" s="369" t="s">
        <v>1210</v>
      </c>
      <c r="H296" s="396">
        <v>5</v>
      </c>
      <c r="I296" s="369"/>
      <c r="J296" s="369" t="s">
        <v>658</v>
      </c>
      <c r="K296" s="410" t="s">
        <v>649</v>
      </c>
      <c r="L296" s="396">
        <v>1</v>
      </c>
      <c r="M296" s="592"/>
      <c r="N296" s="257">
        <f>'[2]1.4 Septic'!$F$16</f>
        <v>298</v>
      </c>
      <c r="O296" s="257">
        <f t="shared" si="92"/>
        <v>37.64</v>
      </c>
      <c r="P296" s="258"/>
      <c r="Q296" s="590">
        <f t="shared" si="93"/>
        <v>79.171094580233799</v>
      </c>
    </row>
    <row r="297" spans="1:17" ht="18" customHeight="1">
      <c r="A297" s="396">
        <f t="shared" si="79"/>
        <v>293</v>
      </c>
      <c r="B297" s="396">
        <v>631994</v>
      </c>
      <c r="C297" s="369" t="s">
        <v>1211</v>
      </c>
      <c r="D297" s="369" t="s">
        <v>672</v>
      </c>
      <c r="E297" s="369" t="s">
        <v>644</v>
      </c>
      <c r="F297" s="369" t="s">
        <v>645</v>
      </c>
      <c r="G297" s="369" t="s">
        <v>1212</v>
      </c>
      <c r="H297" s="396">
        <v>3</v>
      </c>
      <c r="I297" s="369"/>
      <c r="J297" s="369" t="s">
        <v>695</v>
      </c>
      <c r="K297" s="410" t="s">
        <v>649</v>
      </c>
      <c r="L297" s="396">
        <v>1</v>
      </c>
      <c r="M297" s="592"/>
      <c r="N297" s="257">
        <f>'[2]1.4 Septic'!$F$16</f>
        <v>298</v>
      </c>
      <c r="O297" s="257">
        <f t="shared" si="92"/>
        <v>37.64</v>
      </c>
      <c r="P297" s="258"/>
      <c r="Q297" s="590">
        <f t="shared" si="93"/>
        <v>47.502656748140275</v>
      </c>
    </row>
    <row r="298" spans="1:17" ht="18" customHeight="1">
      <c r="A298" s="396">
        <f t="shared" si="79"/>
        <v>294</v>
      </c>
      <c r="B298" s="396">
        <v>631998</v>
      </c>
      <c r="C298" s="369" t="s">
        <v>1213</v>
      </c>
      <c r="D298" s="369" t="s">
        <v>643</v>
      </c>
      <c r="E298" s="369" t="s">
        <v>644</v>
      </c>
      <c r="F298" s="369" t="s">
        <v>645</v>
      </c>
      <c r="G298" s="369" t="s">
        <v>1214</v>
      </c>
      <c r="H298" s="396">
        <v>7</v>
      </c>
      <c r="I298" s="369"/>
      <c r="J298" s="369" t="s">
        <v>744</v>
      </c>
      <c r="K298" s="410" t="s">
        <v>655</v>
      </c>
      <c r="L298" s="396">
        <v>2</v>
      </c>
      <c r="M298" s="592"/>
      <c r="N298" s="257">
        <f>'[2]1.4 Septic'!$F$16</f>
        <v>298</v>
      </c>
      <c r="O298" s="257">
        <f t="shared" si="92"/>
        <v>37.64</v>
      </c>
      <c r="P298" s="258"/>
      <c r="Q298" s="590">
        <f t="shared" si="93"/>
        <v>221.67906482465463</v>
      </c>
    </row>
    <row r="299" spans="1:17" ht="18" customHeight="1">
      <c r="A299" s="396">
        <f t="shared" si="79"/>
        <v>295</v>
      </c>
      <c r="B299" s="396">
        <v>632000</v>
      </c>
      <c r="C299" s="369" t="s">
        <v>1215</v>
      </c>
      <c r="D299" s="369" t="s">
        <v>643</v>
      </c>
      <c r="E299" s="369" t="s">
        <v>644</v>
      </c>
      <c r="F299" s="369" t="s">
        <v>645</v>
      </c>
      <c r="G299" s="369" t="s">
        <v>1216</v>
      </c>
      <c r="H299" s="396">
        <v>7</v>
      </c>
      <c r="I299" s="369"/>
      <c r="J299" s="369" t="s">
        <v>718</v>
      </c>
      <c r="K299" s="410" t="s">
        <v>649</v>
      </c>
      <c r="L299" s="396">
        <v>1</v>
      </c>
      <c r="M299" s="592"/>
      <c r="N299" s="257">
        <f>'[2]1.4 Septic'!$F$16</f>
        <v>298</v>
      </c>
      <c r="O299" s="595">
        <f t="shared" ref="O299:O300" si="94">$G$491</f>
        <v>32.435000000000002</v>
      </c>
      <c r="P299" s="258"/>
      <c r="Q299" s="590">
        <f t="shared" si="93"/>
        <v>128.62648373670416</v>
      </c>
    </row>
    <row r="300" spans="1:17" ht="18" customHeight="1">
      <c r="A300" s="396">
        <f t="shared" si="79"/>
        <v>296</v>
      </c>
      <c r="B300" s="396">
        <v>632004</v>
      </c>
      <c r="C300" s="369" t="s">
        <v>1217</v>
      </c>
      <c r="D300" s="369" t="s">
        <v>643</v>
      </c>
      <c r="E300" s="369" t="s">
        <v>644</v>
      </c>
      <c r="F300" s="369" t="s">
        <v>645</v>
      </c>
      <c r="G300" s="369" t="s">
        <v>1218</v>
      </c>
      <c r="H300" s="396">
        <v>10</v>
      </c>
      <c r="I300" s="369"/>
      <c r="J300" s="369" t="s">
        <v>718</v>
      </c>
      <c r="K300" s="410" t="s">
        <v>649</v>
      </c>
      <c r="L300" s="396">
        <v>1</v>
      </c>
      <c r="M300" s="592"/>
      <c r="N300" s="257">
        <f>'[2]1.4 Septic'!$F$16</f>
        <v>298</v>
      </c>
      <c r="O300" s="595">
        <f t="shared" si="94"/>
        <v>32.435000000000002</v>
      </c>
      <c r="P300" s="258"/>
      <c r="Q300" s="590">
        <f t="shared" si="93"/>
        <v>183.75211962386311</v>
      </c>
    </row>
    <row r="301" spans="1:17" ht="18" customHeight="1">
      <c r="A301" s="396">
        <f t="shared" si="79"/>
        <v>297</v>
      </c>
      <c r="B301" s="396">
        <v>632028</v>
      </c>
      <c r="C301" s="369" t="s">
        <v>1219</v>
      </c>
      <c r="D301" s="369" t="s">
        <v>643</v>
      </c>
      <c r="E301" s="369" t="s">
        <v>644</v>
      </c>
      <c r="F301" s="369" t="s">
        <v>645</v>
      </c>
      <c r="G301" s="369" t="s">
        <v>1220</v>
      </c>
      <c r="H301" s="396">
        <v>6</v>
      </c>
      <c r="I301" s="369"/>
      <c r="J301" s="369" t="s">
        <v>695</v>
      </c>
      <c r="K301" s="410" t="s">
        <v>692</v>
      </c>
      <c r="L301" s="396">
        <v>1</v>
      </c>
      <c r="M301" s="592"/>
      <c r="N301" s="257">
        <f>'[2]1.4 Septic'!$F$16</f>
        <v>298</v>
      </c>
      <c r="O301" s="257">
        <f t="shared" ref="O301:O302" si="95">$G$492</f>
        <v>37.64</v>
      </c>
      <c r="P301" s="258"/>
      <c r="Q301" s="590">
        <f t="shared" si="93"/>
        <v>95.00531349628055</v>
      </c>
    </row>
    <row r="302" spans="1:17" ht="18" customHeight="1">
      <c r="A302" s="396">
        <f t="shared" si="79"/>
        <v>298</v>
      </c>
      <c r="B302" s="396">
        <v>632029</v>
      </c>
      <c r="C302" s="369" t="s">
        <v>1221</v>
      </c>
      <c r="D302" s="369" t="s">
        <v>643</v>
      </c>
      <c r="E302" s="369" t="s">
        <v>644</v>
      </c>
      <c r="F302" s="369" t="s">
        <v>645</v>
      </c>
      <c r="G302" s="369" t="s">
        <v>1222</v>
      </c>
      <c r="H302" s="396">
        <v>3</v>
      </c>
      <c r="I302" s="369"/>
      <c r="J302" s="369" t="s">
        <v>695</v>
      </c>
      <c r="K302" s="410" t="s">
        <v>649</v>
      </c>
      <c r="L302" s="396">
        <v>1</v>
      </c>
      <c r="M302" s="592"/>
      <c r="N302" s="257">
        <f>'[2]1.4 Septic'!$F$16</f>
        <v>298</v>
      </c>
      <c r="O302" s="257">
        <f t="shared" si="95"/>
        <v>37.64</v>
      </c>
      <c r="P302" s="258"/>
      <c r="Q302" s="590">
        <f t="shared" si="93"/>
        <v>47.502656748140275</v>
      </c>
    </row>
    <row r="303" spans="1:17" ht="18" customHeight="1">
      <c r="A303" s="396">
        <f t="shared" si="79"/>
        <v>299</v>
      </c>
      <c r="B303" s="396">
        <v>632056</v>
      </c>
      <c r="C303" s="369" t="s">
        <v>1223</v>
      </c>
      <c r="D303" s="369" t="s">
        <v>643</v>
      </c>
      <c r="E303" s="369" t="s">
        <v>644</v>
      </c>
      <c r="F303" s="369" t="s">
        <v>645</v>
      </c>
      <c r="G303" s="369" t="s">
        <v>1224</v>
      </c>
      <c r="H303" s="396">
        <v>8</v>
      </c>
      <c r="I303" s="369"/>
      <c r="J303" s="369" t="s">
        <v>1790</v>
      </c>
      <c r="K303" s="410" t="s">
        <v>652</v>
      </c>
      <c r="L303" s="396">
        <v>1</v>
      </c>
      <c r="M303" s="592"/>
      <c r="N303" s="257">
        <f>'[2]1.4 Septic'!$F$16</f>
        <v>298</v>
      </c>
      <c r="O303" s="257">
        <v>6.3689999999999998</v>
      </c>
      <c r="P303" s="590">
        <f>H303*2*L303*N303/O303</f>
        <v>748.62615795258284</v>
      </c>
      <c r="Q303" s="258"/>
    </row>
    <row r="304" spans="1:17" ht="18" customHeight="1">
      <c r="A304" s="396">
        <f t="shared" si="79"/>
        <v>300</v>
      </c>
      <c r="B304" s="396">
        <v>632067</v>
      </c>
      <c r="C304" s="369" t="s">
        <v>1225</v>
      </c>
      <c r="D304" s="369" t="s">
        <v>672</v>
      </c>
      <c r="E304" s="369" t="s">
        <v>644</v>
      </c>
      <c r="F304" s="369" t="s">
        <v>645</v>
      </c>
      <c r="G304" s="591" t="s">
        <v>1226</v>
      </c>
      <c r="H304" s="396">
        <v>4</v>
      </c>
      <c r="I304" s="369"/>
      <c r="J304" s="369" t="s">
        <v>658</v>
      </c>
      <c r="K304" s="410" t="s">
        <v>655</v>
      </c>
      <c r="L304" s="396">
        <v>2</v>
      </c>
      <c r="M304" s="592"/>
      <c r="N304" s="257">
        <f>'[2]1.4 Septic'!$F$16</f>
        <v>298</v>
      </c>
      <c r="O304" s="257">
        <f>$G$492</f>
        <v>37.64</v>
      </c>
      <c r="P304" s="258"/>
      <c r="Q304" s="590">
        <f>H304*2*L304*N304/O304</f>
        <v>126.67375132837407</v>
      </c>
    </row>
    <row r="305" spans="1:17" ht="18" customHeight="1">
      <c r="A305" s="396">
        <f t="shared" si="79"/>
        <v>301</v>
      </c>
      <c r="B305" s="396">
        <v>632085</v>
      </c>
      <c r="C305" s="369" t="s">
        <v>1227</v>
      </c>
      <c r="D305" s="369" t="s">
        <v>643</v>
      </c>
      <c r="E305" s="369" t="s">
        <v>644</v>
      </c>
      <c r="F305" s="369" t="s">
        <v>645</v>
      </c>
      <c r="G305" s="369" t="s">
        <v>1228</v>
      </c>
      <c r="H305" s="396">
        <v>7</v>
      </c>
      <c r="I305" s="369"/>
      <c r="J305" s="369" t="s">
        <v>1790</v>
      </c>
      <c r="K305" s="410" t="s">
        <v>652</v>
      </c>
      <c r="L305" s="396">
        <v>1</v>
      </c>
      <c r="M305" s="592"/>
      <c r="N305" s="257">
        <f>'[2]1.4 Septic'!$F$16</f>
        <v>298</v>
      </c>
      <c r="O305" s="257">
        <v>6.3689999999999998</v>
      </c>
      <c r="P305" s="590">
        <f>H305*2*L305*N305/O305</f>
        <v>655.04788820851002</v>
      </c>
      <c r="Q305" s="258"/>
    </row>
    <row r="306" spans="1:17" ht="18" customHeight="1">
      <c r="A306" s="396">
        <f t="shared" si="79"/>
        <v>302</v>
      </c>
      <c r="B306" s="396">
        <v>632098</v>
      </c>
      <c r="C306" s="369" t="s">
        <v>1229</v>
      </c>
      <c r="D306" s="369" t="s">
        <v>643</v>
      </c>
      <c r="E306" s="369" t="s">
        <v>644</v>
      </c>
      <c r="F306" s="369" t="s">
        <v>645</v>
      </c>
      <c r="G306" s="369" t="s">
        <v>1230</v>
      </c>
      <c r="H306" s="396">
        <v>20</v>
      </c>
      <c r="I306" s="369"/>
      <c r="J306" s="369" t="s">
        <v>648</v>
      </c>
      <c r="K306" s="410" t="s">
        <v>649</v>
      </c>
      <c r="L306" s="396">
        <v>1</v>
      </c>
      <c r="M306" s="592"/>
      <c r="N306" s="257">
        <f>'[2]1.4 Septic'!$F$16</f>
        <v>298</v>
      </c>
      <c r="O306" s="257">
        <f t="shared" ref="O306" si="96">$G$487</f>
        <v>14.763</v>
      </c>
      <c r="P306" s="258"/>
      <c r="Q306" s="590">
        <f>H306*2*L306*N306/O306</f>
        <v>807.42396531870213</v>
      </c>
    </row>
    <row r="307" spans="1:17" ht="18" customHeight="1">
      <c r="A307" s="396">
        <f t="shared" si="79"/>
        <v>303</v>
      </c>
      <c r="B307" s="396">
        <v>632118</v>
      </c>
      <c r="C307" s="369" t="s">
        <v>1231</v>
      </c>
      <c r="D307" s="369" t="s">
        <v>643</v>
      </c>
      <c r="E307" s="369" t="s">
        <v>644</v>
      </c>
      <c r="F307" s="369" t="s">
        <v>645</v>
      </c>
      <c r="G307" s="369" t="s">
        <v>1232</v>
      </c>
      <c r="H307" s="396">
        <v>10</v>
      </c>
      <c r="I307" s="369"/>
      <c r="J307" s="369" t="s">
        <v>695</v>
      </c>
      <c r="K307" s="410" t="s">
        <v>776</v>
      </c>
      <c r="L307" s="396">
        <v>1</v>
      </c>
      <c r="M307" s="592"/>
      <c r="N307" s="257">
        <f>'[2]1.4 Septic'!$F$16</f>
        <v>298</v>
      </c>
      <c r="O307" s="257">
        <f>$G$492</f>
        <v>37.64</v>
      </c>
      <c r="P307" s="258"/>
      <c r="Q307" s="590">
        <f>H307*2*L307*N307/O307</f>
        <v>158.3421891604676</v>
      </c>
    </row>
    <row r="308" spans="1:17" ht="18" customHeight="1">
      <c r="A308" s="396">
        <f t="shared" si="79"/>
        <v>304</v>
      </c>
      <c r="B308" s="396">
        <v>632132</v>
      </c>
      <c r="C308" s="369" t="s">
        <v>1233</v>
      </c>
      <c r="D308" s="369" t="s">
        <v>643</v>
      </c>
      <c r="E308" s="369" t="s">
        <v>644</v>
      </c>
      <c r="F308" s="369" t="s">
        <v>645</v>
      </c>
      <c r="G308" s="369" t="s">
        <v>1234</v>
      </c>
      <c r="H308" s="396">
        <v>7</v>
      </c>
      <c r="I308" s="369"/>
      <c r="J308" s="369" t="s">
        <v>718</v>
      </c>
      <c r="K308" s="410" t="s">
        <v>649</v>
      </c>
      <c r="L308" s="396">
        <v>2</v>
      </c>
      <c r="M308" s="592"/>
      <c r="N308" s="257">
        <f>'[2]1.4 Septic'!$F$16</f>
        <v>298</v>
      </c>
      <c r="O308" s="595">
        <f>$G$491</f>
        <v>32.435000000000002</v>
      </c>
      <c r="P308" s="258"/>
      <c r="Q308" s="590">
        <f>H308*2*L308*N308/O308</f>
        <v>257.25296747340832</v>
      </c>
    </row>
    <row r="309" spans="1:17" ht="18" customHeight="1">
      <c r="A309" s="396">
        <f t="shared" si="79"/>
        <v>305</v>
      </c>
      <c r="B309" s="396">
        <v>632136</v>
      </c>
      <c r="C309" s="369" t="s">
        <v>1235</v>
      </c>
      <c r="D309" s="369" t="s">
        <v>643</v>
      </c>
      <c r="E309" s="369" t="s">
        <v>644</v>
      </c>
      <c r="F309" s="369" t="s">
        <v>645</v>
      </c>
      <c r="G309" s="369" t="s">
        <v>1236</v>
      </c>
      <c r="H309" s="396">
        <v>7</v>
      </c>
      <c r="I309" s="369"/>
      <c r="J309" s="369" t="s">
        <v>658</v>
      </c>
      <c r="K309" s="410" t="s">
        <v>655</v>
      </c>
      <c r="L309" s="396">
        <v>1</v>
      </c>
      <c r="M309" s="592"/>
      <c r="N309" s="257">
        <f>'[2]1.4 Septic'!$F$16</f>
        <v>298</v>
      </c>
      <c r="O309" s="257">
        <f t="shared" ref="O309:O310" si="97">$G$492</f>
        <v>37.64</v>
      </c>
      <c r="P309" s="258"/>
      <c r="Q309" s="590">
        <f t="shared" ref="Q309:Q310" si="98">H309*2*L309*N309/O309</f>
        <v>110.83953241232732</v>
      </c>
    </row>
    <row r="310" spans="1:17" ht="18" customHeight="1">
      <c r="A310" s="396">
        <f t="shared" si="79"/>
        <v>306</v>
      </c>
      <c r="B310" s="396">
        <v>632144</v>
      </c>
      <c r="C310" s="369" t="s">
        <v>1237</v>
      </c>
      <c r="D310" s="369" t="s">
        <v>643</v>
      </c>
      <c r="E310" s="369" t="s">
        <v>644</v>
      </c>
      <c r="F310" s="369" t="s">
        <v>645</v>
      </c>
      <c r="G310" s="591" t="s">
        <v>1238</v>
      </c>
      <c r="H310" s="396">
        <v>6</v>
      </c>
      <c r="I310" s="369"/>
      <c r="J310" s="369" t="s">
        <v>695</v>
      </c>
      <c r="K310" s="410" t="s">
        <v>655</v>
      </c>
      <c r="L310" s="396">
        <v>2</v>
      </c>
      <c r="M310" s="592"/>
      <c r="N310" s="257">
        <f>'[2]1.4 Septic'!$F$16</f>
        <v>298</v>
      </c>
      <c r="O310" s="257">
        <f t="shared" si="97"/>
        <v>37.64</v>
      </c>
      <c r="P310" s="258"/>
      <c r="Q310" s="590">
        <f t="shared" si="98"/>
        <v>190.0106269925611</v>
      </c>
    </row>
    <row r="311" spans="1:17" ht="18" customHeight="1">
      <c r="A311" s="396">
        <f t="shared" si="79"/>
        <v>307</v>
      </c>
      <c r="B311" s="396">
        <v>632151</v>
      </c>
      <c r="C311" s="369" t="s">
        <v>1239</v>
      </c>
      <c r="D311" s="369" t="s">
        <v>643</v>
      </c>
      <c r="E311" s="369" t="s">
        <v>644</v>
      </c>
      <c r="F311" s="369" t="s">
        <v>645</v>
      </c>
      <c r="G311" s="369" t="s">
        <v>1240</v>
      </c>
      <c r="H311" s="396">
        <v>20</v>
      </c>
      <c r="I311" s="369"/>
      <c r="J311" s="369" t="s">
        <v>1790</v>
      </c>
      <c r="K311" s="410" t="s">
        <v>652</v>
      </c>
      <c r="L311" s="396">
        <v>1</v>
      </c>
      <c r="M311" s="592"/>
      <c r="N311" s="257">
        <f>'[2]1.4 Septic'!$F$16</f>
        <v>298</v>
      </c>
      <c r="O311" s="257">
        <v>6.3689999999999998</v>
      </c>
      <c r="P311" s="590">
        <f>H311*2*L311*N311/O311</f>
        <v>1871.5653948814572</v>
      </c>
      <c r="Q311" s="258"/>
    </row>
    <row r="312" spans="1:17" ht="18" customHeight="1">
      <c r="A312" s="396">
        <f t="shared" si="79"/>
        <v>308</v>
      </c>
      <c r="B312" s="396">
        <v>632154</v>
      </c>
      <c r="C312" s="369" t="s">
        <v>1241</v>
      </c>
      <c r="D312" s="369" t="s">
        <v>643</v>
      </c>
      <c r="E312" s="369" t="s">
        <v>644</v>
      </c>
      <c r="F312" s="369" t="s">
        <v>645</v>
      </c>
      <c r="G312" s="369" t="s">
        <v>1242</v>
      </c>
      <c r="H312" s="396">
        <v>6</v>
      </c>
      <c r="I312" s="369"/>
      <c r="J312" s="369" t="s">
        <v>695</v>
      </c>
      <c r="K312" s="410" t="s">
        <v>649</v>
      </c>
      <c r="L312" s="396">
        <v>1</v>
      </c>
      <c r="M312" s="592"/>
      <c r="N312" s="257">
        <f>'[2]1.4 Septic'!$F$16</f>
        <v>298</v>
      </c>
      <c r="O312" s="257">
        <f>$G$492</f>
        <v>37.64</v>
      </c>
      <c r="P312" s="258"/>
      <c r="Q312" s="590">
        <f>H312*2*L312*N312/O312</f>
        <v>95.00531349628055</v>
      </c>
    </row>
    <row r="313" spans="1:17" ht="18" customHeight="1">
      <c r="A313" s="396">
        <f t="shared" si="79"/>
        <v>309</v>
      </c>
      <c r="B313" s="396">
        <v>632172</v>
      </c>
      <c r="C313" s="369" t="s">
        <v>1243</v>
      </c>
      <c r="D313" s="369" t="s">
        <v>643</v>
      </c>
      <c r="E313" s="369" t="s">
        <v>644</v>
      </c>
      <c r="F313" s="369" t="s">
        <v>645</v>
      </c>
      <c r="G313" s="369" t="s">
        <v>1244</v>
      </c>
      <c r="H313" s="396">
        <v>15</v>
      </c>
      <c r="I313" s="369"/>
      <c r="J313" s="369" t="s">
        <v>718</v>
      </c>
      <c r="K313" s="410" t="s">
        <v>649</v>
      </c>
      <c r="L313" s="396">
        <v>1</v>
      </c>
      <c r="M313" s="592"/>
      <c r="N313" s="257">
        <f>'[2]1.4 Septic'!$F$16</f>
        <v>298</v>
      </c>
      <c r="O313" s="595">
        <f>$G$491</f>
        <v>32.435000000000002</v>
      </c>
      <c r="P313" s="258"/>
      <c r="Q313" s="590">
        <f>H313*2*L313*N313/O313</f>
        <v>275.62817943579466</v>
      </c>
    </row>
    <row r="314" spans="1:17" ht="18" customHeight="1">
      <c r="A314" s="396">
        <f t="shared" si="79"/>
        <v>310</v>
      </c>
      <c r="B314" s="396">
        <v>632178</v>
      </c>
      <c r="C314" s="369" t="s">
        <v>1245</v>
      </c>
      <c r="D314" s="369" t="s">
        <v>672</v>
      </c>
      <c r="E314" s="369" t="s">
        <v>644</v>
      </c>
      <c r="F314" s="369" t="s">
        <v>645</v>
      </c>
      <c r="G314" s="369" t="s">
        <v>1246</v>
      </c>
      <c r="H314" s="396">
        <v>8</v>
      </c>
      <c r="I314" s="369"/>
      <c r="J314" s="369" t="s">
        <v>658</v>
      </c>
      <c r="K314" s="410" t="s">
        <v>649</v>
      </c>
      <c r="L314" s="396">
        <v>1</v>
      </c>
      <c r="M314" s="592"/>
      <c r="N314" s="257">
        <f>'[2]1.4 Septic'!$F$16</f>
        <v>298</v>
      </c>
      <c r="O314" s="257">
        <f>$G$492</f>
        <v>37.64</v>
      </c>
      <c r="P314" s="258"/>
      <c r="Q314" s="590">
        <f>H314*2*L314*N314/O314</f>
        <v>126.67375132837407</v>
      </c>
    </row>
    <row r="315" spans="1:17" ht="18" customHeight="1">
      <c r="A315" s="396">
        <f t="shared" si="79"/>
        <v>311</v>
      </c>
      <c r="B315" s="396">
        <v>632191</v>
      </c>
      <c r="C315" s="369" t="s">
        <v>1247</v>
      </c>
      <c r="D315" s="369" t="s">
        <v>643</v>
      </c>
      <c r="E315" s="369" t="s">
        <v>644</v>
      </c>
      <c r="F315" s="369" t="s">
        <v>645</v>
      </c>
      <c r="G315" s="369" t="s">
        <v>1248</v>
      </c>
      <c r="H315" s="396">
        <v>3</v>
      </c>
      <c r="I315" s="369"/>
      <c r="J315" s="369" t="s">
        <v>718</v>
      </c>
      <c r="K315" s="410" t="s">
        <v>649</v>
      </c>
      <c r="L315" s="396">
        <v>1</v>
      </c>
      <c r="M315" s="592"/>
      <c r="N315" s="257">
        <f>'[2]1.4 Septic'!$F$16</f>
        <v>298</v>
      </c>
      <c r="O315" s="595">
        <f t="shared" ref="O315:O316" si="99">$G$491</f>
        <v>32.435000000000002</v>
      </c>
      <c r="P315" s="258"/>
      <c r="Q315" s="590">
        <f t="shared" ref="Q315:Q318" si="100">H315*2*L315*N315/O315</f>
        <v>55.125635887158928</v>
      </c>
    </row>
    <row r="316" spans="1:17" ht="18" customHeight="1">
      <c r="A316" s="396">
        <f t="shared" si="79"/>
        <v>312</v>
      </c>
      <c r="B316" s="396">
        <v>632193</v>
      </c>
      <c r="C316" s="369" t="s">
        <v>1249</v>
      </c>
      <c r="D316" s="369" t="s">
        <v>643</v>
      </c>
      <c r="E316" s="369" t="s">
        <v>644</v>
      </c>
      <c r="F316" s="369" t="s">
        <v>645</v>
      </c>
      <c r="G316" s="369" t="s">
        <v>1250</v>
      </c>
      <c r="H316" s="396">
        <v>3</v>
      </c>
      <c r="I316" s="369"/>
      <c r="J316" s="369" t="s">
        <v>718</v>
      </c>
      <c r="K316" s="410" t="s">
        <v>649</v>
      </c>
      <c r="L316" s="396">
        <v>1</v>
      </c>
      <c r="M316" s="592"/>
      <c r="N316" s="257">
        <f>'[2]1.4 Septic'!$F$16</f>
        <v>298</v>
      </c>
      <c r="O316" s="595">
        <f t="shared" si="99"/>
        <v>32.435000000000002</v>
      </c>
      <c r="P316" s="258"/>
      <c r="Q316" s="590">
        <f t="shared" si="100"/>
        <v>55.125635887158928</v>
      </c>
    </row>
    <row r="317" spans="1:17" ht="18" customHeight="1">
      <c r="A317" s="396">
        <f t="shared" si="79"/>
        <v>313</v>
      </c>
      <c r="B317" s="396">
        <v>632208</v>
      </c>
      <c r="C317" s="369" t="s">
        <v>1251</v>
      </c>
      <c r="D317" s="369" t="s">
        <v>643</v>
      </c>
      <c r="E317" s="369" t="s">
        <v>644</v>
      </c>
      <c r="F317" s="369" t="s">
        <v>645</v>
      </c>
      <c r="G317" s="369" t="s">
        <v>1252</v>
      </c>
      <c r="H317" s="396">
        <v>6</v>
      </c>
      <c r="I317" s="369"/>
      <c r="J317" s="369" t="s">
        <v>658</v>
      </c>
      <c r="K317" s="410" t="s">
        <v>649</v>
      </c>
      <c r="L317" s="396">
        <v>1</v>
      </c>
      <c r="M317" s="592"/>
      <c r="N317" s="257">
        <f>'[2]1.4 Septic'!$F$16</f>
        <v>298</v>
      </c>
      <c r="O317" s="257">
        <f t="shared" ref="O317:O318" si="101">$G$492</f>
        <v>37.64</v>
      </c>
      <c r="P317" s="258"/>
      <c r="Q317" s="590">
        <f t="shared" si="100"/>
        <v>95.00531349628055</v>
      </c>
    </row>
    <row r="318" spans="1:17" ht="18" customHeight="1">
      <c r="A318" s="396">
        <f t="shared" si="79"/>
        <v>314</v>
      </c>
      <c r="B318" s="396">
        <v>632234</v>
      </c>
      <c r="C318" s="369" t="s">
        <v>1253</v>
      </c>
      <c r="D318" s="369" t="s">
        <v>643</v>
      </c>
      <c r="E318" s="369" t="s">
        <v>644</v>
      </c>
      <c r="F318" s="369" t="s">
        <v>645</v>
      </c>
      <c r="G318" s="369" t="s">
        <v>1254</v>
      </c>
      <c r="H318" s="396">
        <v>6</v>
      </c>
      <c r="I318" s="369"/>
      <c r="J318" s="369" t="s">
        <v>658</v>
      </c>
      <c r="K318" s="410" t="s">
        <v>655</v>
      </c>
      <c r="L318" s="396">
        <v>2</v>
      </c>
      <c r="M318" s="592"/>
      <c r="N318" s="257">
        <f>'[2]1.4 Septic'!$F$16</f>
        <v>298</v>
      </c>
      <c r="O318" s="257">
        <f t="shared" si="101"/>
        <v>37.64</v>
      </c>
      <c r="P318" s="258"/>
      <c r="Q318" s="590">
        <f t="shared" si="100"/>
        <v>190.0106269925611</v>
      </c>
    </row>
    <row r="319" spans="1:17" ht="18" customHeight="1">
      <c r="A319" s="396">
        <f t="shared" si="79"/>
        <v>315</v>
      </c>
      <c r="B319" s="396">
        <v>632245</v>
      </c>
      <c r="C319" s="369" t="s">
        <v>1255</v>
      </c>
      <c r="D319" s="369" t="s">
        <v>643</v>
      </c>
      <c r="E319" s="369" t="s">
        <v>644</v>
      </c>
      <c r="F319" s="369" t="s">
        <v>645</v>
      </c>
      <c r="G319" s="369" t="s">
        <v>1256</v>
      </c>
      <c r="H319" s="396">
        <v>17</v>
      </c>
      <c r="I319" s="369"/>
      <c r="J319" s="369" t="s">
        <v>733</v>
      </c>
      <c r="K319" s="410" t="s">
        <v>655</v>
      </c>
      <c r="L319" s="396">
        <v>1</v>
      </c>
      <c r="M319" s="592"/>
      <c r="N319" s="257">
        <f>'[2]1.4 Septic'!$F$16</f>
        <v>298</v>
      </c>
      <c r="O319" s="595">
        <f>$G$491</f>
        <v>32.435000000000002</v>
      </c>
      <c r="P319" s="258"/>
      <c r="Q319" s="590">
        <f>H319*2*L319*N319/O319</f>
        <v>312.37860336056724</v>
      </c>
    </row>
    <row r="320" spans="1:17" ht="18" customHeight="1">
      <c r="A320" s="396">
        <f t="shared" si="79"/>
        <v>316</v>
      </c>
      <c r="B320" s="396">
        <v>642272</v>
      </c>
      <c r="C320" s="369" t="s">
        <v>1257</v>
      </c>
      <c r="D320" s="369" t="s">
        <v>672</v>
      </c>
      <c r="E320" s="369" t="s">
        <v>644</v>
      </c>
      <c r="F320" s="369" t="s">
        <v>645</v>
      </c>
      <c r="G320" s="369" t="s">
        <v>1258</v>
      </c>
      <c r="H320" s="396">
        <v>7</v>
      </c>
      <c r="I320" s="369"/>
      <c r="J320" s="369" t="s">
        <v>695</v>
      </c>
      <c r="K320" s="410" t="s">
        <v>655</v>
      </c>
      <c r="L320" s="396">
        <v>1</v>
      </c>
      <c r="M320" s="592"/>
      <c r="N320" s="257">
        <f>'[2]1.4 Septic'!$F$16</f>
        <v>298</v>
      </c>
      <c r="O320" s="257">
        <f t="shared" ref="O320:O326" si="102">$G$492</f>
        <v>37.64</v>
      </c>
      <c r="P320" s="258"/>
      <c r="Q320" s="590">
        <f t="shared" ref="Q320:Q326" si="103">H320*2*L320*N320/O320</f>
        <v>110.83953241232732</v>
      </c>
    </row>
    <row r="321" spans="1:17" ht="18" customHeight="1">
      <c r="A321" s="396">
        <f t="shared" si="79"/>
        <v>317</v>
      </c>
      <c r="B321" s="396">
        <v>642273</v>
      </c>
      <c r="C321" s="369" t="s">
        <v>1259</v>
      </c>
      <c r="D321" s="369" t="s">
        <v>643</v>
      </c>
      <c r="E321" s="369" t="s">
        <v>644</v>
      </c>
      <c r="F321" s="369" t="s">
        <v>645</v>
      </c>
      <c r="G321" s="369" t="s">
        <v>1260</v>
      </c>
      <c r="H321" s="396">
        <v>8.6</v>
      </c>
      <c r="I321" s="369"/>
      <c r="J321" s="369" t="s">
        <v>658</v>
      </c>
      <c r="K321" s="410" t="s">
        <v>655</v>
      </c>
      <c r="L321" s="396">
        <v>1</v>
      </c>
      <c r="M321" s="592"/>
      <c r="N321" s="257">
        <f>'[2]1.4 Septic'!$F$16</f>
        <v>298</v>
      </c>
      <c r="O321" s="257">
        <f t="shared" si="102"/>
        <v>37.64</v>
      </c>
      <c r="P321" s="258"/>
      <c r="Q321" s="590">
        <f t="shared" si="103"/>
        <v>136.1742826780021</v>
      </c>
    </row>
    <row r="322" spans="1:17" ht="18" customHeight="1">
      <c r="A322" s="396">
        <f t="shared" si="79"/>
        <v>318</v>
      </c>
      <c r="B322" s="396">
        <v>642275</v>
      </c>
      <c r="C322" s="369" t="s">
        <v>1261</v>
      </c>
      <c r="D322" s="369" t="s">
        <v>672</v>
      </c>
      <c r="E322" s="369" t="s">
        <v>644</v>
      </c>
      <c r="F322" s="369" t="s">
        <v>645</v>
      </c>
      <c r="G322" s="369" t="s">
        <v>1262</v>
      </c>
      <c r="H322" s="396">
        <v>7</v>
      </c>
      <c r="I322" s="369"/>
      <c r="J322" s="369" t="s">
        <v>658</v>
      </c>
      <c r="K322" s="410" t="s">
        <v>655</v>
      </c>
      <c r="L322" s="396">
        <v>1</v>
      </c>
      <c r="M322" s="592"/>
      <c r="N322" s="257">
        <f>'[2]1.4 Septic'!$F$16</f>
        <v>298</v>
      </c>
      <c r="O322" s="257">
        <f t="shared" si="102"/>
        <v>37.64</v>
      </c>
      <c r="P322" s="258"/>
      <c r="Q322" s="590">
        <f t="shared" si="103"/>
        <v>110.83953241232732</v>
      </c>
    </row>
    <row r="323" spans="1:17" ht="18" customHeight="1">
      <c r="A323" s="396">
        <f t="shared" si="79"/>
        <v>319</v>
      </c>
      <c r="B323" s="396">
        <v>642276</v>
      </c>
      <c r="C323" s="369" t="s">
        <v>1263</v>
      </c>
      <c r="D323" s="369" t="s">
        <v>672</v>
      </c>
      <c r="E323" s="369" t="s">
        <v>644</v>
      </c>
      <c r="F323" s="369" t="s">
        <v>645</v>
      </c>
      <c r="G323" s="369" t="s">
        <v>1264</v>
      </c>
      <c r="H323" s="396">
        <v>6</v>
      </c>
      <c r="I323" s="369"/>
      <c r="J323" s="369" t="s">
        <v>658</v>
      </c>
      <c r="K323" s="410" t="s">
        <v>649</v>
      </c>
      <c r="L323" s="396">
        <v>1</v>
      </c>
      <c r="M323" s="592"/>
      <c r="N323" s="257">
        <f>'[2]1.4 Septic'!$F$16</f>
        <v>298</v>
      </c>
      <c r="O323" s="257">
        <f t="shared" si="102"/>
        <v>37.64</v>
      </c>
      <c r="P323" s="258"/>
      <c r="Q323" s="590">
        <f t="shared" si="103"/>
        <v>95.00531349628055</v>
      </c>
    </row>
    <row r="324" spans="1:17" ht="18" customHeight="1">
      <c r="A324" s="396">
        <f t="shared" si="79"/>
        <v>320</v>
      </c>
      <c r="B324" s="396">
        <v>642292</v>
      </c>
      <c r="C324" s="369" t="s">
        <v>1265</v>
      </c>
      <c r="D324" s="369" t="s">
        <v>672</v>
      </c>
      <c r="E324" s="369" t="s">
        <v>644</v>
      </c>
      <c r="F324" s="369" t="s">
        <v>645</v>
      </c>
      <c r="G324" s="369" t="s">
        <v>1266</v>
      </c>
      <c r="H324" s="396">
        <v>5</v>
      </c>
      <c r="I324" s="369"/>
      <c r="J324" s="369" t="s">
        <v>658</v>
      </c>
      <c r="K324" s="410" t="s">
        <v>655</v>
      </c>
      <c r="L324" s="396">
        <v>2</v>
      </c>
      <c r="M324" s="592"/>
      <c r="N324" s="257">
        <f>'[2]1.4 Septic'!$F$16</f>
        <v>298</v>
      </c>
      <c r="O324" s="257">
        <f t="shared" si="102"/>
        <v>37.64</v>
      </c>
      <c r="P324" s="258"/>
      <c r="Q324" s="590">
        <f t="shared" si="103"/>
        <v>158.3421891604676</v>
      </c>
    </row>
    <row r="325" spans="1:17" ht="18" customHeight="1">
      <c r="A325" s="396">
        <f t="shared" si="79"/>
        <v>321</v>
      </c>
      <c r="B325" s="396">
        <v>642295</v>
      </c>
      <c r="C325" s="369" t="s">
        <v>1267</v>
      </c>
      <c r="D325" s="369" t="s">
        <v>672</v>
      </c>
      <c r="E325" s="369" t="s">
        <v>644</v>
      </c>
      <c r="F325" s="369" t="s">
        <v>645</v>
      </c>
      <c r="G325" s="369" t="s">
        <v>701</v>
      </c>
      <c r="H325" s="396">
        <v>4</v>
      </c>
      <c r="I325" s="369"/>
      <c r="J325" s="369" t="s">
        <v>658</v>
      </c>
      <c r="K325" s="410" t="s">
        <v>655</v>
      </c>
      <c r="L325" s="396">
        <v>1</v>
      </c>
      <c r="M325" s="592"/>
      <c r="N325" s="257">
        <f>'[2]1.4 Septic'!$F$16</f>
        <v>298</v>
      </c>
      <c r="O325" s="257">
        <f t="shared" si="102"/>
        <v>37.64</v>
      </c>
      <c r="P325" s="258"/>
      <c r="Q325" s="590">
        <f t="shared" si="103"/>
        <v>63.336875664187033</v>
      </c>
    </row>
    <row r="326" spans="1:17" ht="18" customHeight="1">
      <c r="A326" s="396">
        <f t="shared" ref="A326:A389" si="104">+A325+1</f>
        <v>322</v>
      </c>
      <c r="B326" s="396">
        <v>642297</v>
      </c>
      <c r="C326" s="369" t="s">
        <v>1268</v>
      </c>
      <c r="D326" s="369" t="s">
        <v>672</v>
      </c>
      <c r="E326" s="369" t="s">
        <v>644</v>
      </c>
      <c r="F326" s="369" t="s">
        <v>645</v>
      </c>
      <c r="G326" s="369" t="s">
        <v>1269</v>
      </c>
      <c r="H326" s="396">
        <v>5</v>
      </c>
      <c r="I326" s="369"/>
      <c r="J326" s="369" t="s">
        <v>658</v>
      </c>
      <c r="K326" s="410" t="s">
        <v>649</v>
      </c>
      <c r="L326" s="396">
        <v>1</v>
      </c>
      <c r="M326" s="592" t="s">
        <v>664</v>
      </c>
      <c r="N326" s="257">
        <f>'[2]1.4 Septic'!$F$34</f>
        <v>247</v>
      </c>
      <c r="O326" s="257">
        <f t="shared" si="102"/>
        <v>37.64</v>
      </c>
      <c r="P326" s="258"/>
      <c r="Q326" s="590">
        <f t="shared" si="103"/>
        <v>65.621679064824647</v>
      </c>
    </row>
    <row r="327" spans="1:17" ht="18" customHeight="1">
      <c r="A327" s="396">
        <f t="shared" si="104"/>
        <v>323</v>
      </c>
      <c r="B327" s="396">
        <v>642299</v>
      </c>
      <c r="C327" s="369" t="s">
        <v>1270</v>
      </c>
      <c r="D327" s="369" t="s">
        <v>643</v>
      </c>
      <c r="E327" s="369" t="s">
        <v>644</v>
      </c>
      <c r="F327" s="369" t="s">
        <v>645</v>
      </c>
      <c r="G327" s="369" t="s">
        <v>1271</v>
      </c>
      <c r="H327" s="396">
        <v>15</v>
      </c>
      <c r="I327" s="369"/>
      <c r="J327" s="369" t="s">
        <v>648</v>
      </c>
      <c r="K327" s="410" t="s">
        <v>649</v>
      </c>
      <c r="L327" s="396">
        <v>2</v>
      </c>
      <c r="M327" s="592"/>
      <c r="N327" s="257">
        <f>'[2]1.4 Septic'!$F$16</f>
        <v>298</v>
      </c>
      <c r="O327" s="257">
        <f>$G$487</f>
        <v>14.763</v>
      </c>
      <c r="P327" s="258"/>
      <c r="Q327" s="590">
        <f>H327*2*L327*N327/O327</f>
        <v>1211.1359479780533</v>
      </c>
    </row>
    <row r="328" spans="1:17" ht="18" customHeight="1">
      <c r="A328" s="396">
        <f t="shared" si="104"/>
        <v>324</v>
      </c>
      <c r="B328" s="396">
        <v>642302</v>
      </c>
      <c r="C328" s="369" t="s">
        <v>1272</v>
      </c>
      <c r="D328" s="369" t="s">
        <v>672</v>
      </c>
      <c r="E328" s="369" t="s">
        <v>644</v>
      </c>
      <c r="F328" s="369" t="s">
        <v>645</v>
      </c>
      <c r="G328" s="369" t="s">
        <v>1273</v>
      </c>
      <c r="H328" s="396">
        <v>3</v>
      </c>
      <c r="I328" s="369"/>
      <c r="J328" s="369" t="s">
        <v>658</v>
      </c>
      <c r="K328" s="410" t="s">
        <v>649</v>
      </c>
      <c r="L328" s="396">
        <v>1</v>
      </c>
      <c r="M328" s="592"/>
      <c r="N328" s="257">
        <f>'[2]1.4 Septic'!$F$16</f>
        <v>298</v>
      </c>
      <c r="O328" s="257">
        <f>$G$492</f>
        <v>37.64</v>
      </c>
      <c r="P328" s="258"/>
      <c r="Q328" s="590">
        <f>H328*2*L328*N328/O328</f>
        <v>47.502656748140275</v>
      </c>
    </row>
    <row r="329" spans="1:17" ht="18" customHeight="1">
      <c r="A329" s="396">
        <f t="shared" si="104"/>
        <v>325</v>
      </c>
      <c r="B329" s="396">
        <v>642310</v>
      </c>
      <c r="C329" s="369" t="s">
        <v>1274</v>
      </c>
      <c r="D329" s="369" t="s">
        <v>643</v>
      </c>
      <c r="E329" s="369" t="s">
        <v>644</v>
      </c>
      <c r="F329" s="369" t="s">
        <v>645</v>
      </c>
      <c r="G329" s="369" t="s">
        <v>1275</v>
      </c>
      <c r="H329" s="396">
        <v>9</v>
      </c>
      <c r="I329" s="369"/>
      <c r="J329" s="369" t="s">
        <v>648</v>
      </c>
      <c r="K329" s="410" t="s">
        <v>649</v>
      </c>
      <c r="L329" s="396">
        <v>1</v>
      </c>
      <c r="M329" s="592"/>
      <c r="N329" s="257">
        <f>'[2]1.4 Septic'!$F$16</f>
        <v>298</v>
      </c>
      <c r="O329" s="257">
        <f>$G$487</f>
        <v>14.763</v>
      </c>
      <c r="P329" s="258"/>
      <c r="Q329" s="590">
        <f>H329*2*L329*N329/O329</f>
        <v>363.34078439341596</v>
      </c>
    </row>
    <row r="330" spans="1:17" ht="18" customHeight="1">
      <c r="A330" s="396">
        <f t="shared" si="104"/>
        <v>326</v>
      </c>
      <c r="B330" s="396">
        <v>642312</v>
      </c>
      <c r="C330" s="369" t="s">
        <v>1276</v>
      </c>
      <c r="D330" s="369" t="s">
        <v>643</v>
      </c>
      <c r="E330" s="369" t="s">
        <v>644</v>
      </c>
      <c r="F330" s="369" t="s">
        <v>645</v>
      </c>
      <c r="G330" s="369" t="s">
        <v>1277</v>
      </c>
      <c r="H330" s="396">
        <v>16</v>
      </c>
      <c r="I330" s="369"/>
      <c r="J330" s="369" t="s">
        <v>658</v>
      </c>
      <c r="K330" s="410" t="s">
        <v>655</v>
      </c>
      <c r="L330" s="396">
        <v>1</v>
      </c>
      <c r="M330" s="592"/>
      <c r="N330" s="257">
        <f>'[2]1.4 Septic'!$F$16</f>
        <v>298</v>
      </c>
      <c r="O330" s="257">
        <f>$G$492</f>
        <v>37.64</v>
      </c>
      <c r="P330" s="258"/>
      <c r="Q330" s="590">
        <f>H330*2*L330*N330/O330</f>
        <v>253.34750265674813</v>
      </c>
    </row>
    <row r="331" spans="1:17" ht="18" customHeight="1">
      <c r="A331" s="396">
        <f t="shared" si="104"/>
        <v>327</v>
      </c>
      <c r="B331" s="396">
        <v>642319</v>
      </c>
      <c r="C331" s="369" t="s">
        <v>1278</v>
      </c>
      <c r="D331" s="369" t="s">
        <v>643</v>
      </c>
      <c r="E331" s="369" t="s">
        <v>644</v>
      </c>
      <c r="F331" s="369" t="s">
        <v>645</v>
      </c>
      <c r="G331" s="369" t="s">
        <v>1279</v>
      </c>
      <c r="H331" s="396">
        <v>7</v>
      </c>
      <c r="I331" s="369"/>
      <c r="J331" s="369" t="s">
        <v>1790</v>
      </c>
      <c r="K331" s="410" t="s">
        <v>652</v>
      </c>
      <c r="L331" s="396">
        <v>1</v>
      </c>
      <c r="M331" s="592"/>
      <c r="N331" s="257">
        <f>'[2]1.4 Septic'!$F$16</f>
        <v>298</v>
      </c>
      <c r="O331" s="257">
        <v>6.3689999999999998</v>
      </c>
      <c r="P331" s="590">
        <f>H331*2*L331*N331/O331</f>
        <v>655.04788820851002</v>
      </c>
      <c r="Q331" s="258"/>
    </row>
    <row r="332" spans="1:17" ht="18" customHeight="1">
      <c r="A332" s="396">
        <f t="shared" si="104"/>
        <v>328</v>
      </c>
      <c r="B332" s="396">
        <v>642320</v>
      </c>
      <c r="C332" s="369" t="s">
        <v>1280</v>
      </c>
      <c r="D332" s="369" t="s">
        <v>643</v>
      </c>
      <c r="E332" s="369" t="s">
        <v>644</v>
      </c>
      <c r="F332" s="369" t="s">
        <v>645</v>
      </c>
      <c r="G332" s="369" t="s">
        <v>1281</v>
      </c>
      <c r="H332" s="396">
        <v>10</v>
      </c>
      <c r="I332" s="369"/>
      <c r="J332" s="369" t="s">
        <v>718</v>
      </c>
      <c r="K332" s="410" t="s">
        <v>649</v>
      </c>
      <c r="L332" s="396">
        <v>1</v>
      </c>
      <c r="M332" s="592"/>
      <c r="N332" s="257">
        <f>'[2]1.4 Septic'!$F$16</f>
        <v>298</v>
      </c>
      <c r="O332" s="595">
        <f>$G$491</f>
        <v>32.435000000000002</v>
      </c>
      <c r="P332" s="258"/>
      <c r="Q332" s="590">
        <f>H332*2*L332*N332/O332</f>
        <v>183.75211962386311</v>
      </c>
    </row>
    <row r="333" spans="1:17" ht="18" customHeight="1">
      <c r="A333" s="396">
        <f t="shared" si="104"/>
        <v>329</v>
      </c>
      <c r="B333" s="396">
        <v>642326</v>
      </c>
      <c r="C333" s="369" t="s">
        <v>1282</v>
      </c>
      <c r="D333" s="369" t="s">
        <v>643</v>
      </c>
      <c r="E333" s="369" t="s">
        <v>644</v>
      </c>
      <c r="F333" s="369" t="s">
        <v>645</v>
      </c>
      <c r="G333" s="369" t="s">
        <v>1283</v>
      </c>
      <c r="H333" s="396">
        <v>50</v>
      </c>
      <c r="I333" s="369"/>
      <c r="J333" s="369" t="s">
        <v>648</v>
      </c>
      <c r="K333" s="410" t="s">
        <v>649</v>
      </c>
      <c r="L333" s="396">
        <v>1</v>
      </c>
      <c r="M333" s="592" t="s">
        <v>664</v>
      </c>
      <c r="N333" s="257">
        <f>'[2]1.4 Septic'!$F$34</f>
        <v>247</v>
      </c>
      <c r="O333" s="257">
        <f>$G$487</f>
        <v>14.763</v>
      </c>
      <c r="P333" s="258"/>
      <c r="Q333" s="590">
        <f>H333*2*L333*N333/O333</f>
        <v>1673.1016731016732</v>
      </c>
    </row>
    <row r="334" spans="1:17" ht="18" customHeight="1">
      <c r="A334" s="396">
        <f t="shared" si="104"/>
        <v>330</v>
      </c>
      <c r="B334" s="396">
        <v>642336</v>
      </c>
      <c r="C334" s="369" t="s">
        <v>1284</v>
      </c>
      <c r="D334" s="369" t="s">
        <v>643</v>
      </c>
      <c r="E334" s="369" t="s">
        <v>644</v>
      </c>
      <c r="F334" s="369" t="s">
        <v>645</v>
      </c>
      <c r="G334" s="369" t="s">
        <v>1285</v>
      </c>
      <c r="H334" s="396">
        <v>15</v>
      </c>
      <c r="I334" s="369"/>
      <c r="J334" s="369" t="s">
        <v>695</v>
      </c>
      <c r="K334" s="410" t="s">
        <v>655</v>
      </c>
      <c r="L334" s="396">
        <v>1</v>
      </c>
      <c r="M334" s="592"/>
      <c r="N334" s="257">
        <f>'[2]1.4 Septic'!$F$16</f>
        <v>298</v>
      </c>
      <c r="O334" s="257">
        <f t="shared" ref="O334:O337" si="105">$G$492</f>
        <v>37.64</v>
      </c>
      <c r="P334" s="258"/>
      <c r="Q334" s="590">
        <f t="shared" ref="Q334:Q337" si="106">H334*2*L334*N334/O334</f>
        <v>237.51328374070138</v>
      </c>
    </row>
    <row r="335" spans="1:17" ht="18" customHeight="1">
      <c r="A335" s="396">
        <f t="shared" si="104"/>
        <v>331</v>
      </c>
      <c r="B335" s="396">
        <v>642338</v>
      </c>
      <c r="C335" s="369" t="s">
        <v>1286</v>
      </c>
      <c r="D335" s="369" t="s">
        <v>643</v>
      </c>
      <c r="E335" s="369" t="s">
        <v>644</v>
      </c>
      <c r="F335" s="369" t="s">
        <v>645</v>
      </c>
      <c r="G335" s="369" t="s">
        <v>1287</v>
      </c>
      <c r="H335" s="396">
        <v>5</v>
      </c>
      <c r="I335" s="369"/>
      <c r="J335" s="369" t="s">
        <v>658</v>
      </c>
      <c r="K335" s="410" t="s">
        <v>649</v>
      </c>
      <c r="L335" s="396">
        <v>2</v>
      </c>
      <c r="M335" s="592"/>
      <c r="N335" s="257">
        <f>'[2]1.4 Septic'!$F$16</f>
        <v>298</v>
      </c>
      <c r="O335" s="257">
        <f t="shared" si="105"/>
        <v>37.64</v>
      </c>
      <c r="P335" s="258"/>
      <c r="Q335" s="590">
        <f t="shared" si="106"/>
        <v>158.3421891604676</v>
      </c>
    </row>
    <row r="336" spans="1:17" ht="18" customHeight="1">
      <c r="A336" s="396">
        <f t="shared" si="104"/>
        <v>332</v>
      </c>
      <c r="B336" s="396">
        <v>642343</v>
      </c>
      <c r="C336" s="369" t="s">
        <v>1288</v>
      </c>
      <c r="D336" s="369" t="s">
        <v>643</v>
      </c>
      <c r="E336" s="369" t="s">
        <v>644</v>
      </c>
      <c r="F336" s="369" t="s">
        <v>645</v>
      </c>
      <c r="G336" s="369" t="s">
        <v>1289</v>
      </c>
      <c r="H336" s="396">
        <v>15</v>
      </c>
      <c r="I336" s="369"/>
      <c r="J336" s="369" t="s">
        <v>695</v>
      </c>
      <c r="K336" s="410" t="s">
        <v>649</v>
      </c>
      <c r="L336" s="396">
        <v>2</v>
      </c>
      <c r="M336" s="592"/>
      <c r="N336" s="257">
        <f>'[2]1.4 Septic'!$F$16</f>
        <v>298</v>
      </c>
      <c r="O336" s="257">
        <f t="shared" si="105"/>
        <v>37.64</v>
      </c>
      <c r="P336" s="258"/>
      <c r="Q336" s="590">
        <f t="shared" si="106"/>
        <v>475.02656748140276</v>
      </c>
    </row>
    <row r="337" spans="1:17" ht="18" customHeight="1">
      <c r="A337" s="396">
        <f t="shared" si="104"/>
        <v>333</v>
      </c>
      <c r="B337" s="396">
        <v>642351</v>
      </c>
      <c r="C337" s="369" t="s">
        <v>1290</v>
      </c>
      <c r="D337" s="369" t="s">
        <v>643</v>
      </c>
      <c r="E337" s="369" t="s">
        <v>644</v>
      </c>
      <c r="F337" s="369" t="s">
        <v>645</v>
      </c>
      <c r="G337" s="369" t="s">
        <v>1291</v>
      </c>
      <c r="H337" s="396">
        <v>3</v>
      </c>
      <c r="I337" s="369"/>
      <c r="J337" s="369" t="s">
        <v>658</v>
      </c>
      <c r="K337" s="410" t="s">
        <v>649</v>
      </c>
      <c r="L337" s="396">
        <v>1</v>
      </c>
      <c r="M337" s="592"/>
      <c r="N337" s="257">
        <f>'[2]1.4 Septic'!$F$16</f>
        <v>298</v>
      </c>
      <c r="O337" s="257">
        <f t="shared" si="105"/>
        <v>37.64</v>
      </c>
      <c r="P337" s="258"/>
      <c r="Q337" s="590">
        <f t="shared" si="106"/>
        <v>47.502656748140275</v>
      </c>
    </row>
    <row r="338" spans="1:17" ht="18" customHeight="1">
      <c r="A338" s="396">
        <f t="shared" si="104"/>
        <v>334</v>
      </c>
      <c r="B338" s="396">
        <v>642353</v>
      </c>
      <c r="C338" s="369" t="s">
        <v>1292</v>
      </c>
      <c r="D338" s="369" t="s">
        <v>672</v>
      </c>
      <c r="E338" s="369" t="s">
        <v>644</v>
      </c>
      <c r="F338" s="369" t="s">
        <v>645</v>
      </c>
      <c r="G338" s="591" t="s">
        <v>1293</v>
      </c>
      <c r="H338" s="396">
        <v>10</v>
      </c>
      <c r="I338" s="369"/>
      <c r="J338" s="369" t="s">
        <v>663</v>
      </c>
      <c r="K338" s="410" t="s">
        <v>692</v>
      </c>
      <c r="L338" s="396">
        <v>1</v>
      </c>
      <c r="M338" s="592"/>
      <c r="N338" s="257">
        <f>'[2]1.4 Septic'!$F$16</f>
        <v>298</v>
      </c>
      <c r="O338" s="257">
        <f>$G$495</f>
        <v>12.247999999999999</v>
      </c>
      <c r="P338" s="258"/>
      <c r="Q338" s="590">
        <f>H338*2*L338*N338/O338</f>
        <v>486.61005878510781</v>
      </c>
    </row>
    <row r="339" spans="1:17" ht="18" customHeight="1">
      <c r="A339" s="396">
        <f t="shared" si="104"/>
        <v>335</v>
      </c>
      <c r="B339" s="396">
        <v>642359</v>
      </c>
      <c r="C339" s="369" t="s">
        <v>1294</v>
      </c>
      <c r="D339" s="369" t="s">
        <v>643</v>
      </c>
      <c r="E339" s="369" t="s">
        <v>644</v>
      </c>
      <c r="F339" s="369" t="s">
        <v>645</v>
      </c>
      <c r="G339" s="369" t="s">
        <v>1295</v>
      </c>
      <c r="H339" s="396">
        <v>5</v>
      </c>
      <c r="I339" s="369"/>
      <c r="J339" s="369" t="s">
        <v>658</v>
      </c>
      <c r="K339" s="410" t="s">
        <v>655</v>
      </c>
      <c r="L339" s="396">
        <v>2</v>
      </c>
      <c r="M339" s="592"/>
      <c r="N339" s="257">
        <f>'[2]1.4 Septic'!$F$16</f>
        <v>298</v>
      </c>
      <c r="O339" s="257">
        <f>$G$492</f>
        <v>37.64</v>
      </c>
      <c r="P339" s="258"/>
      <c r="Q339" s="590">
        <f>H339*2*L339*N339/O339</f>
        <v>158.3421891604676</v>
      </c>
    </row>
    <row r="340" spans="1:17" ht="18" customHeight="1">
      <c r="A340" s="396">
        <f t="shared" si="104"/>
        <v>336</v>
      </c>
      <c r="B340" s="396">
        <v>642361</v>
      </c>
      <c r="C340" s="369" t="s">
        <v>1296</v>
      </c>
      <c r="D340" s="369" t="s">
        <v>643</v>
      </c>
      <c r="E340" s="369" t="s">
        <v>644</v>
      </c>
      <c r="F340" s="369" t="s">
        <v>645</v>
      </c>
      <c r="G340" s="369" t="s">
        <v>1297</v>
      </c>
      <c r="H340" s="396">
        <v>3</v>
      </c>
      <c r="I340" s="369"/>
      <c r="J340" s="369" t="s">
        <v>684</v>
      </c>
      <c r="K340" s="410" t="s">
        <v>649</v>
      </c>
      <c r="L340" s="396">
        <v>2</v>
      </c>
      <c r="M340" s="592"/>
      <c r="N340" s="257">
        <f>'[2]1.4 Septic'!$F$16</f>
        <v>298</v>
      </c>
      <c r="O340" s="257">
        <f>$G$498</f>
        <v>17.77</v>
      </c>
      <c r="P340" s="258"/>
      <c r="Q340" s="590">
        <f t="shared" ref="Q340:Q342" si="107">H340*2*L340*N340/O340</f>
        <v>201.23804164321891</v>
      </c>
    </row>
    <row r="341" spans="1:17" ht="18" customHeight="1">
      <c r="A341" s="396">
        <f t="shared" si="104"/>
        <v>337</v>
      </c>
      <c r="B341" s="396">
        <v>642362</v>
      </c>
      <c r="C341" s="369" t="s">
        <v>1298</v>
      </c>
      <c r="D341" s="369" t="s">
        <v>643</v>
      </c>
      <c r="E341" s="369" t="s">
        <v>644</v>
      </c>
      <c r="F341" s="369" t="s">
        <v>645</v>
      </c>
      <c r="G341" s="369" t="s">
        <v>1299</v>
      </c>
      <c r="H341" s="396">
        <v>3</v>
      </c>
      <c r="I341" s="369"/>
      <c r="J341" s="369" t="s">
        <v>658</v>
      </c>
      <c r="K341" s="410" t="s">
        <v>708</v>
      </c>
      <c r="L341" s="396">
        <v>2</v>
      </c>
      <c r="M341" s="592"/>
      <c r="N341" s="257">
        <f>'[2]1.4 Septic'!$F$16</f>
        <v>298</v>
      </c>
      <c r="O341" s="257">
        <f t="shared" ref="O341:O342" si="108">$G$492</f>
        <v>37.64</v>
      </c>
      <c r="P341" s="258"/>
      <c r="Q341" s="590">
        <f t="shared" si="107"/>
        <v>95.00531349628055</v>
      </c>
    </row>
    <row r="342" spans="1:17" ht="18" customHeight="1">
      <c r="A342" s="396">
        <f t="shared" si="104"/>
        <v>338</v>
      </c>
      <c r="B342" s="396">
        <v>642365</v>
      </c>
      <c r="C342" s="369" t="s">
        <v>1300</v>
      </c>
      <c r="D342" s="369" t="s">
        <v>643</v>
      </c>
      <c r="E342" s="369" t="s">
        <v>644</v>
      </c>
      <c r="F342" s="369" t="s">
        <v>645</v>
      </c>
      <c r="G342" s="369" t="s">
        <v>1301</v>
      </c>
      <c r="H342" s="396">
        <v>9</v>
      </c>
      <c r="I342" s="369"/>
      <c r="J342" s="369" t="s">
        <v>695</v>
      </c>
      <c r="K342" s="410" t="s">
        <v>649</v>
      </c>
      <c r="L342" s="396">
        <v>1</v>
      </c>
      <c r="M342" s="592"/>
      <c r="N342" s="257">
        <f>'[2]1.4 Septic'!$F$16</f>
        <v>298</v>
      </c>
      <c r="O342" s="257">
        <f t="shared" si="108"/>
        <v>37.64</v>
      </c>
      <c r="P342" s="258"/>
      <c r="Q342" s="590">
        <f t="shared" si="107"/>
        <v>142.50797024442082</v>
      </c>
    </row>
    <row r="343" spans="1:17" ht="18" customHeight="1">
      <c r="A343" s="396">
        <f t="shared" si="104"/>
        <v>339</v>
      </c>
      <c r="B343" s="396">
        <v>642371</v>
      </c>
      <c r="C343" s="369" t="s">
        <v>1302</v>
      </c>
      <c r="D343" s="369" t="s">
        <v>643</v>
      </c>
      <c r="E343" s="369" t="s">
        <v>644</v>
      </c>
      <c r="F343" s="369" t="s">
        <v>645</v>
      </c>
      <c r="G343" s="369" t="s">
        <v>1303</v>
      </c>
      <c r="H343" s="396">
        <v>6</v>
      </c>
      <c r="I343" s="369"/>
      <c r="J343" s="369" t="s">
        <v>1790</v>
      </c>
      <c r="K343" s="410" t="s">
        <v>652</v>
      </c>
      <c r="L343" s="396">
        <v>1</v>
      </c>
      <c r="M343" s="592"/>
      <c r="N343" s="257">
        <f>'[2]1.4 Septic'!$F$16</f>
        <v>298</v>
      </c>
      <c r="O343" s="257">
        <v>6.3689999999999998</v>
      </c>
      <c r="P343" s="590">
        <f>H343*2*L343*N343/O343</f>
        <v>561.46961846443719</v>
      </c>
      <c r="Q343" s="258"/>
    </row>
    <row r="344" spans="1:17" ht="18" customHeight="1">
      <c r="A344" s="396">
        <f t="shared" si="104"/>
        <v>340</v>
      </c>
      <c r="B344" s="396">
        <v>642387</v>
      </c>
      <c r="C344" s="369" t="s">
        <v>1304</v>
      </c>
      <c r="D344" s="369" t="s">
        <v>672</v>
      </c>
      <c r="E344" s="369" t="s">
        <v>644</v>
      </c>
      <c r="F344" s="369" t="s">
        <v>645</v>
      </c>
      <c r="G344" s="369" t="s">
        <v>1305</v>
      </c>
      <c r="H344" s="396">
        <v>5.7</v>
      </c>
      <c r="I344" s="369"/>
      <c r="J344" s="369" t="s">
        <v>648</v>
      </c>
      <c r="K344" s="410" t="s">
        <v>692</v>
      </c>
      <c r="L344" s="396">
        <v>1</v>
      </c>
      <c r="M344" s="592"/>
      <c r="N344" s="257">
        <f>'[2]1.4 Septic'!$F$16</f>
        <v>298</v>
      </c>
      <c r="O344" s="257">
        <f t="shared" ref="O344" si="109">$G$487</f>
        <v>14.763</v>
      </c>
      <c r="P344" s="258"/>
      <c r="Q344" s="590">
        <f>H344*2*L344*N344/O344</f>
        <v>230.11583011583014</v>
      </c>
    </row>
    <row r="345" spans="1:17" ht="18" customHeight="1">
      <c r="A345" s="396">
        <f t="shared" si="104"/>
        <v>341</v>
      </c>
      <c r="B345" s="396">
        <v>652388</v>
      </c>
      <c r="C345" s="369" t="s">
        <v>1306</v>
      </c>
      <c r="D345" s="369" t="s">
        <v>672</v>
      </c>
      <c r="E345" s="369" t="s">
        <v>644</v>
      </c>
      <c r="F345" s="369" t="s">
        <v>645</v>
      </c>
      <c r="G345" s="369" t="s">
        <v>1307</v>
      </c>
      <c r="H345" s="396">
        <v>10</v>
      </c>
      <c r="I345" s="369"/>
      <c r="J345" s="369" t="s">
        <v>695</v>
      </c>
      <c r="K345" s="410" t="s">
        <v>655</v>
      </c>
      <c r="L345" s="396">
        <v>1</v>
      </c>
      <c r="M345" s="592"/>
      <c r="N345" s="257">
        <f>'[2]1.4 Septic'!$F$16</f>
        <v>298</v>
      </c>
      <c r="O345" s="257">
        <f t="shared" ref="O345:O346" si="110">$G$492</f>
        <v>37.64</v>
      </c>
      <c r="P345" s="258"/>
      <c r="Q345" s="590">
        <f t="shared" ref="Q345:Q346" si="111">H345*2*L345*N345/O345</f>
        <v>158.3421891604676</v>
      </c>
    </row>
    <row r="346" spans="1:17" ht="18" customHeight="1">
      <c r="A346" s="396">
        <f t="shared" si="104"/>
        <v>342</v>
      </c>
      <c r="B346" s="396">
        <v>652396</v>
      </c>
      <c r="C346" s="369" t="s">
        <v>1308</v>
      </c>
      <c r="D346" s="369" t="s">
        <v>643</v>
      </c>
      <c r="E346" s="369" t="s">
        <v>644</v>
      </c>
      <c r="F346" s="369" t="s">
        <v>645</v>
      </c>
      <c r="G346" s="369" t="s">
        <v>1309</v>
      </c>
      <c r="H346" s="396">
        <v>7</v>
      </c>
      <c r="I346" s="369"/>
      <c r="J346" s="369" t="s">
        <v>658</v>
      </c>
      <c r="K346" s="410" t="s">
        <v>649</v>
      </c>
      <c r="L346" s="396">
        <v>2</v>
      </c>
      <c r="M346" s="592"/>
      <c r="N346" s="257">
        <f>'[2]1.4 Septic'!$F$16</f>
        <v>298</v>
      </c>
      <c r="O346" s="257">
        <f t="shared" si="110"/>
        <v>37.64</v>
      </c>
      <c r="P346" s="258"/>
      <c r="Q346" s="590">
        <f t="shared" si="111"/>
        <v>221.67906482465463</v>
      </c>
    </row>
    <row r="347" spans="1:17" ht="18" customHeight="1">
      <c r="A347" s="396">
        <f t="shared" si="104"/>
        <v>343</v>
      </c>
      <c r="B347" s="396">
        <v>652401</v>
      </c>
      <c r="C347" s="369" t="s">
        <v>1310</v>
      </c>
      <c r="D347" s="369" t="s">
        <v>643</v>
      </c>
      <c r="E347" s="369" t="s">
        <v>644</v>
      </c>
      <c r="F347" s="369" t="s">
        <v>645</v>
      </c>
      <c r="G347" s="367" t="s">
        <v>803</v>
      </c>
      <c r="H347" s="396">
        <v>9</v>
      </c>
      <c r="I347" s="369"/>
      <c r="J347" s="369" t="s">
        <v>1790</v>
      </c>
      <c r="K347" s="410" t="s">
        <v>652</v>
      </c>
      <c r="L347" s="396">
        <v>1</v>
      </c>
      <c r="M347" s="592"/>
      <c r="N347" s="257">
        <f>'[2]1.4 Septic'!$F$16</f>
        <v>298</v>
      </c>
      <c r="O347" s="257">
        <v>6.3689999999999998</v>
      </c>
      <c r="P347" s="590">
        <f>H347*2*L347*N347/O347</f>
        <v>842.20442769665567</v>
      </c>
      <c r="Q347" s="258"/>
    </row>
    <row r="348" spans="1:17" ht="18" customHeight="1">
      <c r="A348" s="396">
        <f t="shared" si="104"/>
        <v>344</v>
      </c>
      <c r="B348" s="396">
        <v>652403</v>
      </c>
      <c r="C348" s="369" t="s">
        <v>1311</v>
      </c>
      <c r="D348" s="369" t="s">
        <v>672</v>
      </c>
      <c r="E348" s="369" t="s">
        <v>644</v>
      </c>
      <c r="F348" s="369" t="s">
        <v>645</v>
      </c>
      <c r="G348" s="369" t="s">
        <v>1312</v>
      </c>
      <c r="H348" s="396">
        <v>16</v>
      </c>
      <c r="I348" s="369"/>
      <c r="J348" s="369" t="s">
        <v>684</v>
      </c>
      <c r="K348" s="410" t="s">
        <v>655</v>
      </c>
      <c r="L348" s="396">
        <v>1</v>
      </c>
      <c r="M348" s="592"/>
      <c r="N348" s="257">
        <f>'[2]1.4 Septic'!$F$16</f>
        <v>298</v>
      </c>
      <c r="O348" s="257">
        <f>$G$498</f>
        <v>17.77</v>
      </c>
      <c r="P348" s="258"/>
      <c r="Q348" s="590">
        <f t="shared" ref="Q348" si="112">H348*2*L348*N348/O348</f>
        <v>536.63477771525038</v>
      </c>
    </row>
    <row r="349" spans="1:17" ht="18" customHeight="1">
      <c r="A349" s="396">
        <f t="shared" si="104"/>
        <v>345</v>
      </c>
      <c r="B349" s="396">
        <v>652411</v>
      </c>
      <c r="C349" s="369" t="s">
        <v>1313</v>
      </c>
      <c r="D349" s="369" t="s">
        <v>672</v>
      </c>
      <c r="E349" s="369" t="s">
        <v>644</v>
      </c>
      <c r="F349" s="369" t="s">
        <v>645</v>
      </c>
      <c r="G349" s="369" t="s">
        <v>1314</v>
      </c>
      <c r="H349" s="396">
        <v>13</v>
      </c>
      <c r="I349" s="369"/>
      <c r="J349" s="369" t="s">
        <v>658</v>
      </c>
      <c r="K349" s="410" t="s">
        <v>655</v>
      </c>
      <c r="L349" s="396">
        <v>1</v>
      </c>
      <c r="M349" s="592"/>
      <c r="N349" s="257">
        <f>'[2]1.4 Septic'!$F$16</f>
        <v>298</v>
      </c>
      <c r="O349" s="257">
        <f>$G$492</f>
        <v>37.64</v>
      </c>
      <c r="P349" s="258"/>
      <c r="Q349" s="590">
        <f>H349*2*L349*N349/O349</f>
        <v>205.84484590860785</v>
      </c>
    </row>
    <row r="350" spans="1:17" ht="18" customHeight="1">
      <c r="A350" s="396">
        <f t="shared" si="104"/>
        <v>346</v>
      </c>
      <c r="B350" s="396">
        <v>652413</v>
      </c>
      <c r="C350" s="369" t="s">
        <v>1315</v>
      </c>
      <c r="D350" s="369" t="s">
        <v>643</v>
      </c>
      <c r="E350" s="369" t="s">
        <v>644</v>
      </c>
      <c r="F350" s="369" t="s">
        <v>645</v>
      </c>
      <c r="G350" s="369" t="s">
        <v>1316</v>
      </c>
      <c r="H350" s="396">
        <v>5</v>
      </c>
      <c r="I350" s="369"/>
      <c r="J350" s="369" t="s">
        <v>718</v>
      </c>
      <c r="K350" s="410" t="s">
        <v>649</v>
      </c>
      <c r="L350" s="396">
        <v>1</v>
      </c>
      <c r="M350" s="592"/>
      <c r="N350" s="257">
        <f>'[2]1.4 Septic'!$F$16</f>
        <v>298</v>
      </c>
      <c r="O350" s="595">
        <f>$G$491</f>
        <v>32.435000000000002</v>
      </c>
      <c r="P350" s="258"/>
      <c r="Q350" s="590">
        <f>H350*2*L350*N350/O350</f>
        <v>91.876059811931555</v>
      </c>
    </row>
    <row r="351" spans="1:17" ht="18" customHeight="1">
      <c r="A351" s="396">
        <f t="shared" si="104"/>
        <v>347</v>
      </c>
      <c r="B351" s="396">
        <v>652429</v>
      </c>
      <c r="C351" s="369" t="s">
        <v>1317</v>
      </c>
      <c r="D351" s="369" t="s">
        <v>643</v>
      </c>
      <c r="E351" s="369" t="s">
        <v>644</v>
      </c>
      <c r="F351" s="369" t="s">
        <v>645</v>
      </c>
      <c r="G351" s="369" t="s">
        <v>1318</v>
      </c>
      <c r="H351" s="396">
        <v>4</v>
      </c>
      <c r="I351" s="369"/>
      <c r="J351" s="369" t="s">
        <v>658</v>
      </c>
      <c r="K351" s="410" t="s">
        <v>649</v>
      </c>
      <c r="L351" s="396">
        <v>2</v>
      </c>
      <c r="M351" s="592"/>
      <c r="N351" s="257">
        <f>'[2]1.4 Septic'!$F$16</f>
        <v>298</v>
      </c>
      <c r="O351" s="257">
        <f t="shared" ref="O351:O352" si="113">$G$492</f>
        <v>37.64</v>
      </c>
      <c r="P351" s="258"/>
      <c r="Q351" s="590">
        <f t="shared" ref="Q351:Q352" si="114">H351*2*L351*N351/O351</f>
        <v>126.67375132837407</v>
      </c>
    </row>
    <row r="352" spans="1:17" ht="18" customHeight="1">
      <c r="A352" s="396">
        <f t="shared" si="104"/>
        <v>348</v>
      </c>
      <c r="B352" s="396">
        <v>652430</v>
      </c>
      <c r="C352" s="369" t="s">
        <v>1319</v>
      </c>
      <c r="D352" s="369" t="s">
        <v>643</v>
      </c>
      <c r="E352" s="369" t="s">
        <v>644</v>
      </c>
      <c r="F352" s="369" t="s">
        <v>645</v>
      </c>
      <c r="G352" s="367" t="s">
        <v>746</v>
      </c>
      <c r="H352" s="396">
        <v>20</v>
      </c>
      <c r="I352" s="369"/>
      <c r="J352" s="369" t="s">
        <v>658</v>
      </c>
      <c r="K352" s="410" t="s">
        <v>655</v>
      </c>
      <c r="L352" s="396">
        <v>1</v>
      </c>
      <c r="M352" s="592"/>
      <c r="N352" s="257">
        <f>'[2]1.4 Septic'!$F$16</f>
        <v>298</v>
      </c>
      <c r="O352" s="257">
        <f t="shared" si="113"/>
        <v>37.64</v>
      </c>
      <c r="P352" s="258"/>
      <c r="Q352" s="590">
        <f t="shared" si="114"/>
        <v>316.6843783209352</v>
      </c>
    </row>
    <row r="353" spans="1:17" ht="18" customHeight="1">
      <c r="A353" s="396">
        <f t="shared" si="104"/>
        <v>349</v>
      </c>
      <c r="B353" s="396">
        <v>652434</v>
      </c>
      <c r="C353" s="369" t="s">
        <v>1320</v>
      </c>
      <c r="D353" s="369" t="s">
        <v>643</v>
      </c>
      <c r="E353" s="369" t="s">
        <v>644</v>
      </c>
      <c r="F353" s="369" t="s">
        <v>645</v>
      </c>
      <c r="G353" s="369" t="s">
        <v>1321</v>
      </c>
      <c r="H353" s="396">
        <v>6</v>
      </c>
      <c r="I353" s="369"/>
      <c r="J353" s="369" t="s">
        <v>718</v>
      </c>
      <c r="K353" s="410" t="s">
        <v>655</v>
      </c>
      <c r="L353" s="396">
        <v>1</v>
      </c>
      <c r="M353" s="592"/>
      <c r="N353" s="257">
        <f>'[2]1.4 Septic'!$F$16</f>
        <v>298</v>
      </c>
      <c r="O353" s="595">
        <f>$G$491</f>
        <v>32.435000000000002</v>
      </c>
      <c r="P353" s="258"/>
      <c r="Q353" s="590">
        <f>H353*2*L353*N353/O353</f>
        <v>110.25127177431786</v>
      </c>
    </row>
    <row r="354" spans="1:17" ht="18" customHeight="1">
      <c r="A354" s="396">
        <f t="shared" si="104"/>
        <v>350</v>
      </c>
      <c r="B354" s="396">
        <v>652435</v>
      </c>
      <c r="C354" s="369" t="s">
        <v>1322</v>
      </c>
      <c r="D354" s="369" t="s">
        <v>643</v>
      </c>
      <c r="E354" s="369" t="s">
        <v>644</v>
      </c>
      <c r="F354" s="369" t="s">
        <v>645</v>
      </c>
      <c r="G354" s="369" t="s">
        <v>1323</v>
      </c>
      <c r="H354" s="396">
        <v>2</v>
      </c>
      <c r="I354" s="369"/>
      <c r="J354" s="369" t="s">
        <v>695</v>
      </c>
      <c r="K354" s="410" t="s">
        <v>655</v>
      </c>
      <c r="L354" s="396">
        <v>1</v>
      </c>
      <c r="M354" s="592"/>
      <c r="N354" s="257">
        <f>'[2]1.4 Septic'!$F$16</f>
        <v>298</v>
      </c>
      <c r="O354" s="257">
        <f t="shared" ref="O354:O359" si="115">$G$492</f>
        <v>37.64</v>
      </c>
      <c r="P354" s="258"/>
      <c r="Q354" s="590">
        <f t="shared" ref="Q354:Q359" si="116">H354*2*L354*N354/O354</f>
        <v>31.668437832093517</v>
      </c>
    </row>
    <row r="355" spans="1:17" ht="18" customHeight="1">
      <c r="A355" s="396">
        <f t="shared" si="104"/>
        <v>351</v>
      </c>
      <c r="B355" s="396">
        <v>652439</v>
      </c>
      <c r="C355" s="369" t="s">
        <v>1324</v>
      </c>
      <c r="D355" s="369" t="s">
        <v>643</v>
      </c>
      <c r="E355" s="369" t="s">
        <v>644</v>
      </c>
      <c r="F355" s="369" t="s">
        <v>645</v>
      </c>
      <c r="G355" s="369" t="s">
        <v>1325</v>
      </c>
      <c r="H355" s="396">
        <v>5</v>
      </c>
      <c r="I355" s="369"/>
      <c r="J355" s="369" t="s">
        <v>695</v>
      </c>
      <c r="K355" s="410" t="s">
        <v>655</v>
      </c>
      <c r="L355" s="396">
        <v>2</v>
      </c>
      <c r="M355" s="592"/>
      <c r="N355" s="257">
        <f>'[2]1.4 Septic'!$F$16</f>
        <v>298</v>
      </c>
      <c r="O355" s="257">
        <f t="shared" si="115"/>
        <v>37.64</v>
      </c>
      <c r="P355" s="258"/>
      <c r="Q355" s="590">
        <f t="shared" si="116"/>
        <v>158.3421891604676</v>
      </c>
    </row>
    <row r="356" spans="1:17" ht="18" customHeight="1">
      <c r="A356" s="396">
        <f t="shared" si="104"/>
        <v>352</v>
      </c>
      <c r="B356" s="396">
        <v>652442</v>
      </c>
      <c r="C356" s="369" t="s">
        <v>1326</v>
      </c>
      <c r="D356" s="369" t="s">
        <v>643</v>
      </c>
      <c r="E356" s="369" t="s">
        <v>644</v>
      </c>
      <c r="F356" s="369" t="s">
        <v>645</v>
      </c>
      <c r="G356" s="369" t="s">
        <v>1327</v>
      </c>
      <c r="H356" s="396">
        <v>6</v>
      </c>
      <c r="I356" s="369"/>
      <c r="J356" s="369" t="s">
        <v>658</v>
      </c>
      <c r="K356" s="410" t="s">
        <v>655</v>
      </c>
      <c r="L356" s="396">
        <v>1</v>
      </c>
      <c r="M356" s="592"/>
      <c r="N356" s="257">
        <f>'[2]1.4 Septic'!$F$16</f>
        <v>298</v>
      </c>
      <c r="O356" s="257">
        <f t="shared" si="115"/>
        <v>37.64</v>
      </c>
      <c r="P356" s="258"/>
      <c r="Q356" s="590">
        <f t="shared" si="116"/>
        <v>95.00531349628055</v>
      </c>
    </row>
    <row r="357" spans="1:17" ht="18" customHeight="1">
      <c r="A357" s="396">
        <f t="shared" si="104"/>
        <v>353</v>
      </c>
      <c r="B357" s="396">
        <v>652447</v>
      </c>
      <c r="C357" s="369" t="s">
        <v>1328</v>
      </c>
      <c r="D357" s="369" t="s">
        <v>672</v>
      </c>
      <c r="E357" s="369" t="s">
        <v>644</v>
      </c>
      <c r="F357" s="369" t="s">
        <v>645</v>
      </c>
      <c r="G357" s="367" t="s">
        <v>746</v>
      </c>
      <c r="H357" s="396">
        <v>7</v>
      </c>
      <c r="I357" s="369"/>
      <c r="J357" s="369" t="s">
        <v>695</v>
      </c>
      <c r="K357" s="410" t="s">
        <v>655</v>
      </c>
      <c r="L357" s="396">
        <v>1</v>
      </c>
      <c r="M357" s="592"/>
      <c r="N357" s="257">
        <f>'[2]1.4 Septic'!$F$16</f>
        <v>298</v>
      </c>
      <c r="O357" s="257">
        <f t="shared" si="115"/>
        <v>37.64</v>
      </c>
      <c r="P357" s="258"/>
      <c r="Q357" s="590">
        <f t="shared" si="116"/>
        <v>110.83953241232732</v>
      </c>
    </row>
    <row r="358" spans="1:17" ht="18" customHeight="1">
      <c r="A358" s="396">
        <f t="shared" si="104"/>
        <v>354</v>
      </c>
      <c r="B358" s="396">
        <v>652448</v>
      </c>
      <c r="C358" s="369" t="s">
        <v>1329</v>
      </c>
      <c r="D358" s="369" t="s">
        <v>672</v>
      </c>
      <c r="E358" s="369" t="s">
        <v>644</v>
      </c>
      <c r="F358" s="369" t="s">
        <v>645</v>
      </c>
      <c r="G358" s="369" t="s">
        <v>1330</v>
      </c>
      <c r="H358" s="396">
        <v>6</v>
      </c>
      <c r="I358" s="369"/>
      <c r="J358" s="369" t="s">
        <v>695</v>
      </c>
      <c r="K358" s="410" t="s">
        <v>655</v>
      </c>
      <c r="L358" s="396">
        <v>1</v>
      </c>
      <c r="M358" s="592"/>
      <c r="N358" s="257">
        <f>'[2]1.4 Septic'!$F$16</f>
        <v>298</v>
      </c>
      <c r="O358" s="257">
        <f t="shared" si="115"/>
        <v>37.64</v>
      </c>
      <c r="P358" s="258"/>
      <c r="Q358" s="590">
        <f t="shared" si="116"/>
        <v>95.00531349628055</v>
      </c>
    </row>
    <row r="359" spans="1:17" ht="18" customHeight="1">
      <c r="A359" s="396">
        <f t="shared" si="104"/>
        <v>355</v>
      </c>
      <c r="B359" s="396">
        <v>652449</v>
      </c>
      <c r="C359" s="369" t="s">
        <v>1331</v>
      </c>
      <c r="D359" s="369" t="s">
        <v>672</v>
      </c>
      <c r="E359" s="369" t="s">
        <v>644</v>
      </c>
      <c r="F359" s="369" t="s">
        <v>645</v>
      </c>
      <c r="G359" s="369" t="s">
        <v>1152</v>
      </c>
      <c r="H359" s="396">
        <v>8</v>
      </c>
      <c r="I359" s="369"/>
      <c r="J359" s="369" t="s">
        <v>658</v>
      </c>
      <c r="K359" s="410" t="s">
        <v>649</v>
      </c>
      <c r="L359" s="396">
        <v>1</v>
      </c>
      <c r="M359" s="592"/>
      <c r="N359" s="257">
        <f>'[2]1.4 Septic'!$F$16</f>
        <v>298</v>
      </c>
      <c r="O359" s="257">
        <f t="shared" si="115"/>
        <v>37.64</v>
      </c>
      <c r="P359" s="258"/>
      <c r="Q359" s="590">
        <f t="shared" si="116"/>
        <v>126.67375132837407</v>
      </c>
    </row>
    <row r="360" spans="1:17" ht="18" customHeight="1">
      <c r="A360" s="396">
        <f t="shared" si="104"/>
        <v>356</v>
      </c>
      <c r="B360" s="396">
        <v>652452</v>
      </c>
      <c r="C360" s="369" t="s">
        <v>1332</v>
      </c>
      <c r="D360" s="369" t="s">
        <v>643</v>
      </c>
      <c r="E360" s="369" t="s">
        <v>644</v>
      </c>
      <c r="F360" s="369" t="s">
        <v>645</v>
      </c>
      <c r="G360" s="369" t="s">
        <v>1333</v>
      </c>
      <c r="H360" s="396">
        <v>10</v>
      </c>
      <c r="I360" s="369"/>
      <c r="J360" s="369" t="s">
        <v>1790</v>
      </c>
      <c r="K360" s="410" t="s">
        <v>652</v>
      </c>
      <c r="L360" s="396">
        <v>1</v>
      </c>
      <c r="M360" s="592"/>
      <c r="N360" s="257">
        <f>'[2]1.4 Septic'!$F$16</f>
        <v>298</v>
      </c>
      <c r="O360" s="257">
        <v>6.3689999999999998</v>
      </c>
      <c r="P360" s="590">
        <f>H360*2*L360*N360/O360</f>
        <v>935.78269744072861</v>
      </c>
      <c r="Q360" s="258"/>
    </row>
    <row r="361" spans="1:17" ht="18" customHeight="1">
      <c r="A361" s="396">
        <f t="shared" si="104"/>
        <v>357</v>
      </c>
      <c r="B361" s="396">
        <v>652457</v>
      </c>
      <c r="C361" s="369" t="s">
        <v>1334</v>
      </c>
      <c r="D361" s="369" t="s">
        <v>672</v>
      </c>
      <c r="E361" s="369" t="s">
        <v>644</v>
      </c>
      <c r="F361" s="369" t="s">
        <v>645</v>
      </c>
      <c r="G361" s="369" t="s">
        <v>1335</v>
      </c>
      <c r="H361" s="396">
        <v>5</v>
      </c>
      <c r="I361" s="369"/>
      <c r="J361" s="369" t="s">
        <v>695</v>
      </c>
      <c r="K361" s="410" t="s">
        <v>649</v>
      </c>
      <c r="L361" s="396">
        <v>1</v>
      </c>
      <c r="M361" s="592"/>
      <c r="N361" s="257">
        <f>'[2]1.4 Septic'!$F$16</f>
        <v>298</v>
      </c>
      <c r="O361" s="257">
        <f t="shared" ref="O361:O369" si="117">$G$492</f>
        <v>37.64</v>
      </c>
      <c r="P361" s="258"/>
      <c r="Q361" s="590">
        <f t="shared" ref="Q361:Q369" si="118">H361*2*L361*N361/O361</f>
        <v>79.171094580233799</v>
      </c>
    </row>
    <row r="362" spans="1:17" ht="18" customHeight="1">
      <c r="A362" s="396">
        <f t="shared" si="104"/>
        <v>358</v>
      </c>
      <c r="B362" s="396">
        <v>652458</v>
      </c>
      <c r="C362" s="369" t="s">
        <v>1336</v>
      </c>
      <c r="D362" s="369" t="s">
        <v>672</v>
      </c>
      <c r="E362" s="369" t="s">
        <v>644</v>
      </c>
      <c r="F362" s="369" t="s">
        <v>645</v>
      </c>
      <c r="G362" s="369" t="s">
        <v>1337</v>
      </c>
      <c r="H362" s="396">
        <v>5</v>
      </c>
      <c r="I362" s="369"/>
      <c r="J362" s="369" t="s">
        <v>695</v>
      </c>
      <c r="K362" s="410" t="s">
        <v>655</v>
      </c>
      <c r="L362" s="396">
        <v>1</v>
      </c>
      <c r="M362" s="592"/>
      <c r="N362" s="257">
        <f>'[2]1.4 Septic'!$F$16</f>
        <v>298</v>
      </c>
      <c r="O362" s="257">
        <f t="shared" si="117"/>
        <v>37.64</v>
      </c>
      <c r="P362" s="258"/>
      <c r="Q362" s="590">
        <f t="shared" si="118"/>
        <v>79.171094580233799</v>
      </c>
    </row>
    <row r="363" spans="1:17" ht="18" customHeight="1">
      <c r="A363" s="396">
        <f t="shared" si="104"/>
        <v>359</v>
      </c>
      <c r="B363" s="396">
        <v>652460</v>
      </c>
      <c r="C363" s="369" t="s">
        <v>1338</v>
      </c>
      <c r="D363" s="369" t="s">
        <v>672</v>
      </c>
      <c r="E363" s="369" t="s">
        <v>644</v>
      </c>
      <c r="F363" s="369" t="s">
        <v>645</v>
      </c>
      <c r="G363" s="369" t="s">
        <v>1339</v>
      </c>
      <c r="H363" s="396">
        <v>3</v>
      </c>
      <c r="I363" s="369"/>
      <c r="J363" s="369" t="s">
        <v>658</v>
      </c>
      <c r="K363" s="410" t="s">
        <v>649</v>
      </c>
      <c r="L363" s="396">
        <v>1</v>
      </c>
      <c r="M363" s="592"/>
      <c r="N363" s="257">
        <f>'[2]1.4 Septic'!$F$16</f>
        <v>298</v>
      </c>
      <c r="O363" s="257">
        <f t="shared" si="117"/>
        <v>37.64</v>
      </c>
      <c r="P363" s="258"/>
      <c r="Q363" s="590">
        <f t="shared" si="118"/>
        <v>47.502656748140275</v>
      </c>
    </row>
    <row r="364" spans="1:17" ht="18" customHeight="1">
      <c r="A364" s="396">
        <f t="shared" si="104"/>
        <v>360</v>
      </c>
      <c r="B364" s="396">
        <v>652463</v>
      </c>
      <c r="C364" s="369" t="s">
        <v>1340</v>
      </c>
      <c r="D364" s="369" t="s">
        <v>672</v>
      </c>
      <c r="E364" s="369" t="s">
        <v>644</v>
      </c>
      <c r="F364" s="369" t="s">
        <v>645</v>
      </c>
      <c r="G364" s="369" t="s">
        <v>1341</v>
      </c>
      <c r="H364" s="396">
        <v>7</v>
      </c>
      <c r="I364" s="369"/>
      <c r="J364" s="369" t="s">
        <v>658</v>
      </c>
      <c r="K364" s="410" t="s">
        <v>649</v>
      </c>
      <c r="L364" s="396">
        <v>1</v>
      </c>
      <c r="M364" s="592"/>
      <c r="N364" s="257">
        <f>'[2]1.4 Septic'!$F$16</f>
        <v>298</v>
      </c>
      <c r="O364" s="257">
        <f t="shared" si="117"/>
        <v>37.64</v>
      </c>
      <c r="P364" s="258"/>
      <c r="Q364" s="590">
        <f t="shared" si="118"/>
        <v>110.83953241232732</v>
      </c>
    </row>
    <row r="365" spans="1:17" ht="18" customHeight="1">
      <c r="A365" s="396">
        <f t="shared" si="104"/>
        <v>361</v>
      </c>
      <c r="B365" s="396">
        <v>652465</v>
      </c>
      <c r="C365" s="369" t="s">
        <v>1342</v>
      </c>
      <c r="D365" s="369" t="s">
        <v>672</v>
      </c>
      <c r="E365" s="369" t="s">
        <v>644</v>
      </c>
      <c r="F365" s="369" t="s">
        <v>645</v>
      </c>
      <c r="G365" s="369" t="s">
        <v>1343</v>
      </c>
      <c r="H365" s="396">
        <v>3</v>
      </c>
      <c r="I365" s="369"/>
      <c r="J365" s="369" t="s">
        <v>658</v>
      </c>
      <c r="K365" s="410" t="s">
        <v>655</v>
      </c>
      <c r="L365" s="396">
        <v>1</v>
      </c>
      <c r="M365" s="592"/>
      <c r="N365" s="257">
        <f>'[2]1.4 Septic'!$F$16</f>
        <v>298</v>
      </c>
      <c r="O365" s="257">
        <f t="shared" si="117"/>
        <v>37.64</v>
      </c>
      <c r="P365" s="258"/>
      <c r="Q365" s="590">
        <f t="shared" si="118"/>
        <v>47.502656748140275</v>
      </c>
    </row>
    <row r="366" spans="1:17" ht="18" customHeight="1">
      <c r="A366" s="396">
        <f t="shared" si="104"/>
        <v>362</v>
      </c>
      <c r="B366" s="396">
        <v>652467</v>
      </c>
      <c r="C366" s="369" t="s">
        <v>1344</v>
      </c>
      <c r="D366" s="369" t="s">
        <v>672</v>
      </c>
      <c r="E366" s="369" t="s">
        <v>644</v>
      </c>
      <c r="F366" s="369" t="s">
        <v>645</v>
      </c>
      <c r="G366" s="369" t="s">
        <v>1345</v>
      </c>
      <c r="H366" s="396">
        <v>6</v>
      </c>
      <c r="I366" s="369"/>
      <c r="J366" s="369" t="s">
        <v>658</v>
      </c>
      <c r="K366" s="410" t="s">
        <v>649</v>
      </c>
      <c r="L366" s="396">
        <v>1</v>
      </c>
      <c r="M366" s="592"/>
      <c r="N366" s="257">
        <f>'[2]1.4 Septic'!$F$16</f>
        <v>298</v>
      </c>
      <c r="O366" s="257">
        <f t="shared" si="117"/>
        <v>37.64</v>
      </c>
      <c r="P366" s="258"/>
      <c r="Q366" s="590">
        <f t="shared" si="118"/>
        <v>95.00531349628055</v>
      </c>
    </row>
    <row r="367" spans="1:17" ht="18" customHeight="1">
      <c r="A367" s="396">
        <f t="shared" si="104"/>
        <v>363</v>
      </c>
      <c r="B367" s="396">
        <v>652472</v>
      </c>
      <c r="C367" s="369" t="s">
        <v>1346</v>
      </c>
      <c r="D367" s="369" t="s">
        <v>643</v>
      </c>
      <c r="E367" s="369" t="s">
        <v>644</v>
      </c>
      <c r="F367" s="369" t="s">
        <v>645</v>
      </c>
      <c r="G367" s="369" t="s">
        <v>1347</v>
      </c>
      <c r="H367" s="396">
        <v>12</v>
      </c>
      <c r="I367" s="369"/>
      <c r="J367" s="369" t="s">
        <v>658</v>
      </c>
      <c r="K367" s="410" t="s">
        <v>655</v>
      </c>
      <c r="L367" s="396">
        <v>1</v>
      </c>
      <c r="M367" s="592"/>
      <c r="N367" s="257">
        <f>'[2]1.4 Septic'!$F$16</f>
        <v>298</v>
      </c>
      <c r="O367" s="257">
        <f t="shared" si="117"/>
        <v>37.64</v>
      </c>
      <c r="P367" s="258"/>
      <c r="Q367" s="590">
        <f t="shared" si="118"/>
        <v>190.0106269925611</v>
      </c>
    </row>
    <row r="368" spans="1:17" ht="18" customHeight="1">
      <c r="A368" s="396">
        <f t="shared" si="104"/>
        <v>364</v>
      </c>
      <c r="B368" s="396">
        <v>652479</v>
      </c>
      <c r="C368" s="369" t="s">
        <v>1348</v>
      </c>
      <c r="D368" s="369" t="s">
        <v>643</v>
      </c>
      <c r="E368" s="369" t="s">
        <v>644</v>
      </c>
      <c r="F368" s="369" t="s">
        <v>645</v>
      </c>
      <c r="G368" s="369" t="s">
        <v>1349</v>
      </c>
      <c r="H368" s="396">
        <v>5</v>
      </c>
      <c r="I368" s="369"/>
      <c r="J368" s="369" t="s">
        <v>658</v>
      </c>
      <c r="K368" s="410" t="s">
        <v>649</v>
      </c>
      <c r="L368" s="396">
        <v>2</v>
      </c>
      <c r="M368" s="592"/>
      <c r="N368" s="257">
        <f>'[2]1.4 Septic'!$F$16</f>
        <v>298</v>
      </c>
      <c r="O368" s="257">
        <f t="shared" si="117"/>
        <v>37.64</v>
      </c>
      <c r="P368" s="258"/>
      <c r="Q368" s="590">
        <f t="shared" si="118"/>
        <v>158.3421891604676</v>
      </c>
    </row>
    <row r="369" spans="1:17" ht="18" customHeight="1">
      <c r="A369" s="396">
        <f t="shared" si="104"/>
        <v>365</v>
      </c>
      <c r="B369" s="396">
        <v>652484</v>
      </c>
      <c r="C369" s="369" t="s">
        <v>1350</v>
      </c>
      <c r="D369" s="369" t="s">
        <v>643</v>
      </c>
      <c r="E369" s="369" t="s">
        <v>644</v>
      </c>
      <c r="F369" s="369" t="s">
        <v>645</v>
      </c>
      <c r="G369" s="369" t="s">
        <v>1351</v>
      </c>
      <c r="H369" s="396">
        <v>10</v>
      </c>
      <c r="I369" s="369"/>
      <c r="J369" s="369" t="s">
        <v>695</v>
      </c>
      <c r="K369" s="410" t="s">
        <v>649</v>
      </c>
      <c r="L369" s="396">
        <v>1</v>
      </c>
      <c r="M369" s="592"/>
      <c r="N369" s="257">
        <f>'[2]1.4 Septic'!$F$16</f>
        <v>298</v>
      </c>
      <c r="O369" s="257">
        <f t="shared" si="117"/>
        <v>37.64</v>
      </c>
      <c r="P369" s="258"/>
      <c r="Q369" s="590">
        <f t="shared" si="118"/>
        <v>158.3421891604676</v>
      </c>
    </row>
    <row r="370" spans="1:17" ht="18" customHeight="1">
      <c r="A370" s="396">
        <f t="shared" si="104"/>
        <v>366</v>
      </c>
      <c r="B370" s="396">
        <v>652487</v>
      </c>
      <c r="C370" s="369" t="s">
        <v>1352</v>
      </c>
      <c r="D370" s="369" t="s">
        <v>643</v>
      </c>
      <c r="E370" s="369" t="s">
        <v>644</v>
      </c>
      <c r="F370" s="369" t="s">
        <v>645</v>
      </c>
      <c r="G370" s="369" t="s">
        <v>1353</v>
      </c>
      <c r="H370" s="396">
        <v>15</v>
      </c>
      <c r="I370" s="369"/>
      <c r="J370" s="369" t="s">
        <v>1790</v>
      </c>
      <c r="K370" s="410" t="s">
        <v>652</v>
      </c>
      <c r="L370" s="396">
        <v>1</v>
      </c>
      <c r="M370" s="592"/>
      <c r="N370" s="257">
        <f>'[2]1.4 Septic'!$F$16</f>
        <v>298</v>
      </c>
      <c r="O370" s="257">
        <v>6.3689999999999998</v>
      </c>
      <c r="P370" s="590">
        <f>H370*2*L370*N370/O370</f>
        <v>1403.6740461610927</v>
      </c>
      <c r="Q370" s="258"/>
    </row>
    <row r="371" spans="1:17" ht="18" customHeight="1">
      <c r="A371" s="396">
        <f t="shared" si="104"/>
        <v>367</v>
      </c>
      <c r="B371" s="396">
        <v>652489</v>
      </c>
      <c r="C371" s="369" t="s">
        <v>1354</v>
      </c>
      <c r="D371" s="369" t="s">
        <v>643</v>
      </c>
      <c r="E371" s="369" t="s">
        <v>644</v>
      </c>
      <c r="F371" s="369" t="s">
        <v>645</v>
      </c>
      <c r="G371" s="369" t="s">
        <v>1355</v>
      </c>
      <c r="H371" s="396">
        <v>6</v>
      </c>
      <c r="I371" s="369"/>
      <c r="J371" s="369" t="s">
        <v>718</v>
      </c>
      <c r="K371" s="410" t="s">
        <v>649</v>
      </c>
      <c r="L371" s="396">
        <v>1</v>
      </c>
      <c r="M371" s="592"/>
      <c r="N371" s="257">
        <f>'[2]1.4 Septic'!$F$16</f>
        <v>298</v>
      </c>
      <c r="O371" s="595">
        <f>$G$491</f>
        <v>32.435000000000002</v>
      </c>
      <c r="P371" s="258"/>
      <c r="Q371" s="590">
        <f>H371*2*L371*N371/O371</f>
        <v>110.25127177431786</v>
      </c>
    </row>
    <row r="372" spans="1:17" ht="18" customHeight="1">
      <c r="A372" s="396">
        <f t="shared" si="104"/>
        <v>368</v>
      </c>
      <c r="B372" s="396">
        <v>652490</v>
      </c>
      <c r="C372" s="369" t="s">
        <v>1356</v>
      </c>
      <c r="D372" s="369" t="s">
        <v>643</v>
      </c>
      <c r="E372" s="369" t="s">
        <v>644</v>
      </c>
      <c r="F372" s="369" t="s">
        <v>645</v>
      </c>
      <c r="G372" s="369" t="s">
        <v>1357</v>
      </c>
      <c r="H372" s="396">
        <v>7</v>
      </c>
      <c r="I372" s="369"/>
      <c r="J372" s="369" t="s">
        <v>695</v>
      </c>
      <c r="K372" s="410" t="s">
        <v>655</v>
      </c>
      <c r="L372" s="396">
        <v>2</v>
      </c>
      <c r="M372" s="592"/>
      <c r="N372" s="257">
        <f>'[2]1.4 Septic'!$F$16</f>
        <v>298</v>
      </c>
      <c r="O372" s="257">
        <f t="shared" ref="O372:O374" si="119">$G$492</f>
        <v>37.64</v>
      </c>
      <c r="P372" s="258"/>
      <c r="Q372" s="590">
        <f t="shared" ref="Q372:Q374" si="120">H372*2*L372*N372/O372</f>
        <v>221.67906482465463</v>
      </c>
    </row>
    <row r="373" spans="1:17" ht="18" customHeight="1">
      <c r="A373" s="396">
        <f t="shared" si="104"/>
        <v>369</v>
      </c>
      <c r="B373" s="396">
        <v>652500</v>
      </c>
      <c r="C373" s="369" t="s">
        <v>1358</v>
      </c>
      <c r="D373" s="369" t="s">
        <v>643</v>
      </c>
      <c r="E373" s="369" t="s">
        <v>644</v>
      </c>
      <c r="F373" s="369" t="s">
        <v>645</v>
      </c>
      <c r="G373" s="369" t="s">
        <v>1359</v>
      </c>
      <c r="H373" s="396">
        <v>0.25</v>
      </c>
      <c r="I373" s="369"/>
      <c r="J373" s="369" t="s">
        <v>658</v>
      </c>
      <c r="K373" s="410" t="s">
        <v>649</v>
      </c>
      <c r="L373" s="396">
        <v>1</v>
      </c>
      <c r="M373" s="592"/>
      <c r="N373" s="257">
        <f>'[2]1.4 Septic'!$F$16</f>
        <v>298</v>
      </c>
      <c r="O373" s="257">
        <f t="shared" si="119"/>
        <v>37.64</v>
      </c>
      <c r="P373" s="258"/>
      <c r="Q373" s="590">
        <f t="shared" si="120"/>
        <v>3.9585547290116896</v>
      </c>
    </row>
    <row r="374" spans="1:17" ht="18" customHeight="1">
      <c r="A374" s="396">
        <f t="shared" si="104"/>
        <v>370</v>
      </c>
      <c r="B374" s="396">
        <v>652502</v>
      </c>
      <c r="C374" s="369" t="s">
        <v>1360</v>
      </c>
      <c r="D374" s="369" t="s">
        <v>643</v>
      </c>
      <c r="E374" s="369" t="s">
        <v>644</v>
      </c>
      <c r="F374" s="369" t="s">
        <v>645</v>
      </c>
      <c r="G374" s="369" t="s">
        <v>1361</v>
      </c>
      <c r="H374" s="396">
        <v>10</v>
      </c>
      <c r="I374" s="369"/>
      <c r="J374" s="369" t="s">
        <v>658</v>
      </c>
      <c r="K374" s="410" t="s">
        <v>655</v>
      </c>
      <c r="L374" s="396">
        <v>1</v>
      </c>
      <c r="M374" s="592"/>
      <c r="N374" s="257">
        <f>'[2]1.4 Septic'!$F$16</f>
        <v>298</v>
      </c>
      <c r="O374" s="257">
        <f t="shared" si="119"/>
        <v>37.64</v>
      </c>
      <c r="P374" s="258"/>
      <c r="Q374" s="590">
        <f t="shared" si="120"/>
        <v>158.3421891604676</v>
      </c>
    </row>
    <row r="375" spans="1:17" ht="18" customHeight="1">
      <c r="A375" s="396">
        <f t="shared" si="104"/>
        <v>371</v>
      </c>
      <c r="B375" s="396">
        <v>652521</v>
      </c>
      <c r="C375" s="369" t="s">
        <v>1362</v>
      </c>
      <c r="D375" s="369" t="s">
        <v>643</v>
      </c>
      <c r="E375" s="369" t="s">
        <v>644</v>
      </c>
      <c r="F375" s="369" t="s">
        <v>645</v>
      </c>
      <c r="G375" s="369" t="s">
        <v>1363</v>
      </c>
      <c r="H375" s="396">
        <v>7</v>
      </c>
      <c r="I375" s="369"/>
      <c r="J375" s="369" t="s">
        <v>718</v>
      </c>
      <c r="K375" s="410" t="s">
        <v>649</v>
      </c>
      <c r="L375" s="396">
        <v>2</v>
      </c>
      <c r="M375" s="592"/>
      <c r="N375" s="257">
        <f>'[2]1.4 Septic'!$F$16</f>
        <v>298</v>
      </c>
      <c r="O375" s="595">
        <f>$G$491</f>
        <v>32.435000000000002</v>
      </c>
      <c r="P375" s="258"/>
      <c r="Q375" s="590">
        <f>H375*2*L375*N375/O375</f>
        <v>257.25296747340832</v>
      </c>
    </row>
    <row r="376" spans="1:17" ht="18" customHeight="1">
      <c r="A376" s="396">
        <f t="shared" si="104"/>
        <v>372</v>
      </c>
      <c r="B376" s="396">
        <v>652526</v>
      </c>
      <c r="C376" s="369" t="s">
        <v>1364</v>
      </c>
      <c r="D376" s="369" t="s">
        <v>672</v>
      </c>
      <c r="E376" s="369" t="s">
        <v>644</v>
      </c>
      <c r="F376" s="369" t="s">
        <v>645</v>
      </c>
      <c r="G376" s="369" t="s">
        <v>1365</v>
      </c>
      <c r="H376" s="396">
        <v>10</v>
      </c>
      <c r="I376" s="369"/>
      <c r="J376" s="369" t="s">
        <v>658</v>
      </c>
      <c r="K376" s="410" t="s">
        <v>655</v>
      </c>
      <c r="L376" s="396">
        <v>1</v>
      </c>
      <c r="M376" s="592"/>
      <c r="N376" s="257">
        <f>'[2]1.4 Septic'!$F$16</f>
        <v>298</v>
      </c>
      <c r="O376" s="257">
        <f>$G$492</f>
        <v>37.64</v>
      </c>
      <c r="P376" s="258"/>
      <c r="Q376" s="590">
        <f>H376*2*L376*N376/O376</f>
        <v>158.3421891604676</v>
      </c>
    </row>
    <row r="377" spans="1:17" ht="18" customHeight="1">
      <c r="A377" s="396">
        <f t="shared" si="104"/>
        <v>373</v>
      </c>
      <c r="B377" s="396">
        <v>652533</v>
      </c>
      <c r="C377" s="369" t="s">
        <v>1366</v>
      </c>
      <c r="D377" s="369" t="s">
        <v>643</v>
      </c>
      <c r="E377" s="369" t="s">
        <v>644</v>
      </c>
      <c r="F377" s="369" t="s">
        <v>645</v>
      </c>
      <c r="G377" s="369" t="s">
        <v>1367</v>
      </c>
      <c r="H377" s="396">
        <v>8</v>
      </c>
      <c r="I377" s="369"/>
      <c r="J377" s="369" t="s">
        <v>718</v>
      </c>
      <c r="K377" s="410" t="s">
        <v>649</v>
      </c>
      <c r="L377" s="396">
        <v>1</v>
      </c>
      <c r="M377" s="592"/>
      <c r="N377" s="257">
        <f>'[2]1.4 Septic'!$F$16</f>
        <v>298</v>
      </c>
      <c r="O377" s="595">
        <f t="shared" ref="O377:O378" si="121">$G$491</f>
        <v>32.435000000000002</v>
      </c>
      <c r="P377" s="258"/>
      <c r="Q377" s="590">
        <f t="shared" ref="Q377:Q378" si="122">H377*2*L377*N377/O377</f>
        <v>147.00169569909048</v>
      </c>
    </row>
    <row r="378" spans="1:17" ht="18" customHeight="1">
      <c r="A378" s="396">
        <f t="shared" si="104"/>
        <v>374</v>
      </c>
      <c r="B378" s="396">
        <v>652535</v>
      </c>
      <c r="C378" s="369" t="s">
        <v>1368</v>
      </c>
      <c r="D378" s="369" t="s">
        <v>643</v>
      </c>
      <c r="E378" s="369" t="s">
        <v>644</v>
      </c>
      <c r="F378" s="369" t="s">
        <v>645</v>
      </c>
      <c r="G378" s="369" t="s">
        <v>1369</v>
      </c>
      <c r="H378" s="396">
        <v>7</v>
      </c>
      <c r="I378" s="369"/>
      <c r="J378" s="369" t="s">
        <v>718</v>
      </c>
      <c r="K378" s="410" t="s">
        <v>649</v>
      </c>
      <c r="L378" s="396">
        <v>1</v>
      </c>
      <c r="M378" s="592"/>
      <c r="N378" s="257">
        <f>'[2]1.4 Septic'!$F$16</f>
        <v>298</v>
      </c>
      <c r="O378" s="595">
        <f t="shared" si="121"/>
        <v>32.435000000000002</v>
      </c>
      <c r="P378" s="258"/>
      <c r="Q378" s="590">
        <f t="shared" si="122"/>
        <v>128.62648373670416</v>
      </c>
    </row>
    <row r="379" spans="1:17" ht="18" customHeight="1">
      <c r="A379" s="396">
        <f t="shared" si="104"/>
        <v>375</v>
      </c>
      <c r="B379" s="396">
        <v>652536</v>
      </c>
      <c r="C379" s="369" t="s">
        <v>1370</v>
      </c>
      <c r="D379" s="369" t="s">
        <v>643</v>
      </c>
      <c r="E379" s="369" t="s">
        <v>644</v>
      </c>
      <c r="F379" s="369" t="s">
        <v>645</v>
      </c>
      <c r="G379" s="369" t="s">
        <v>1371</v>
      </c>
      <c r="H379" s="396">
        <v>5</v>
      </c>
      <c r="I379" s="369"/>
      <c r="J379" s="369" t="s">
        <v>648</v>
      </c>
      <c r="K379" s="410" t="s">
        <v>649</v>
      </c>
      <c r="L379" s="396">
        <v>1</v>
      </c>
      <c r="M379" s="592"/>
      <c r="N379" s="257">
        <f>'[2]1.4 Septic'!$F$16</f>
        <v>298</v>
      </c>
      <c r="O379" s="257">
        <f>$G$487</f>
        <v>14.763</v>
      </c>
      <c r="P379" s="258"/>
      <c r="Q379" s="590">
        <f>H379*2*L379*N379/O379</f>
        <v>201.85599132967553</v>
      </c>
    </row>
    <row r="380" spans="1:17" ht="18" customHeight="1">
      <c r="A380" s="396">
        <f t="shared" si="104"/>
        <v>376</v>
      </c>
      <c r="B380" s="396">
        <v>652540</v>
      </c>
      <c r="C380" s="369" t="s">
        <v>1372</v>
      </c>
      <c r="D380" s="369" t="s">
        <v>672</v>
      </c>
      <c r="E380" s="369" t="s">
        <v>644</v>
      </c>
      <c r="F380" s="369" t="s">
        <v>645</v>
      </c>
      <c r="G380" s="369" t="s">
        <v>1373</v>
      </c>
      <c r="H380" s="396">
        <v>7.5</v>
      </c>
      <c r="I380" s="369"/>
      <c r="J380" s="369" t="s">
        <v>658</v>
      </c>
      <c r="K380" s="410" t="s">
        <v>655</v>
      </c>
      <c r="L380" s="396">
        <v>1</v>
      </c>
      <c r="M380" s="592"/>
      <c r="N380" s="257">
        <f>'[2]1.4 Septic'!$F$16</f>
        <v>298</v>
      </c>
      <c r="O380" s="257">
        <f>$G$492</f>
        <v>37.64</v>
      </c>
      <c r="P380" s="258"/>
      <c r="Q380" s="590">
        <f>H380*2*L380*N380/O380</f>
        <v>118.75664187035069</v>
      </c>
    </row>
    <row r="381" spans="1:17" ht="18" customHeight="1">
      <c r="A381" s="396">
        <f t="shared" si="104"/>
        <v>377</v>
      </c>
      <c r="B381" s="396">
        <v>652556</v>
      </c>
      <c r="C381" s="369" t="s">
        <v>1374</v>
      </c>
      <c r="D381" s="369" t="s">
        <v>643</v>
      </c>
      <c r="E381" s="369" t="s">
        <v>644</v>
      </c>
      <c r="F381" s="369" t="s">
        <v>645</v>
      </c>
      <c r="G381" s="369" t="s">
        <v>1375</v>
      </c>
      <c r="H381" s="396">
        <v>6.3</v>
      </c>
      <c r="I381" s="369"/>
      <c r="J381" s="369" t="s">
        <v>718</v>
      </c>
      <c r="K381" s="410" t="s">
        <v>649</v>
      </c>
      <c r="L381" s="396">
        <v>1</v>
      </c>
      <c r="M381" s="592"/>
      <c r="N381" s="257">
        <f>'[2]1.4 Septic'!$F$16</f>
        <v>298</v>
      </c>
      <c r="O381" s="595">
        <f t="shared" ref="O381:O382" si="123">$G$491</f>
        <v>32.435000000000002</v>
      </c>
      <c r="P381" s="258"/>
      <c r="Q381" s="590">
        <f t="shared" ref="Q381:Q386" si="124">H381*2*L381*N381/O381</f>
        <v>115.76383536303375</v>
      </c>
    </row>
    <row r="382" spans="1:17" ht="18" customHeight="1">
      <c r="A382" s="396">
        <f t="shared" si="104"/>
        <v>378</v>
      </c>
      <c r="B382" s="396">
        <v>652564</v>
      </c>
      <c r="C382" s="369" t="s">
        <v>1376</v>
      </c>
      <c r="D382" s="369" t="s">
        <v>643</v>
      </c>
      <c r="E382" s="369" t="s">
        <v>644</v>
      </c>
      <c r="F382" s="369" t="s">
        <v>645</v>
      </c>
      <c r="G382" s="369" t="s">
        <v>801</v>
      </c>
      <c r="H382" s="396">
        <v>3</v>
      </c>
      <c r="I382" s="369"/>
      <c r="J382" s="369" t="s">
        <v>718</v>
      </c>
      <c r="K382" s="410" t="s">
        <v>649</v>
      </c>
      <c r="L382" s="396">
        <v>1</v>
      </c>
      <c r="M382" s="592"/>
      <c r="N382" s="257">
        <f>'[2]1.4 Septic'!$F$16</f>
        <v>298</v>
      </c>
      <c r="O382" s="595">
        <f t="shared" si="123"/>
        <v>32.435000000000002</v>
      </c>
      <c r="P382" s="258"/>
      <c r="Q382" s="590">
        <f t="shared" si="124"/>
        <v>55.125635887158928</v>
      </c>
    </row>
    <row r="383" spans="1:17" ht="18" customHeight="1">
      <c r="A383" s="396">
        <f t="shared" si="104"/>
        <v>379</v>
      </c>
      <c r="B383" s="396">
        <v>652567</v>
      </c>
      <c r="C383" s="369" t="s">
        <v>1377</v>
      </c>
      <c r="D383" s="369" t="s">
        <v>643</v>
      </c>
      <c r="E383" s="369" t="s">
        <v>644</v>
      </c>
      <c r="F383" s="369" t="s">
        <v>645</v>
      </c>
      <c r="G383" s="369" t="s">
        <v>1378</v>
      </c>
      <c r="H383" s="396">
        <v>10</v>
      </c>
      <c r="I383" s="369"/>
      <c r="J383" s="369" t="s">
        <v>695</v>
      </c>
      <c r="K383" s="410" t="s">
        <v>649</v>
      </c>
      <c r="L383" s="396">
        <v>1</v>
      </c>
      <c r="M383" s="592"/>
      <c r="N383" s="257">
        <f>'[2]1.4 Septic'!$F$16</f>
        <v>298</v>
      </c>
      <c r="O383" s="257">
        <f t="shared" ref="O383:O386" si="125">$G$492</f>
        <v>37.64</v>
      </c>
      <c r="P383" s="258"/>
      <c r="Q383" s="590">
        <f t="shared" si="124"/>
        <v>158.3421891604676</v>
      </c>
    </row>
    <row r="384" spans="1:17" ht="18" customHeight="1">
      <c r="A384" s="396">
        <f t="shared" si="104"/>
        <v>380</v>
      </c>
      <c r="B384" s="396">
        <v>652577</v>
      </c>
      <c r="C384" s="369" t="s">
        <v>1379</v>
      </c>
      <c r="D384" s="369" t="s">
        <v>672</v>
      </c>
      <c r="E384" s="369" t="s">
        <v>644</v>
      </c>
      <c r="F384" s="369" t="s">
        <v>645</v>
      </c>
      <c r="G384" s="369" t="s">
        <v>1380</v>
      </c>
      <c r="H384" s="396">
        <v>6</v>
      </c>
      <c r="I384" s="369"/>
      <c r="J384" s="369" t="s">
        <v>695</v>
      </c>
      <c r="K384" s="410" t="s">
        <v>655</v>
      </c>
      <c r="L384" s="396">
        <v>1</v>
      </c>
      <c r="M384" s="592"/>
      <c r="N384" s="257">
        <f>'[2]1.4 Septic'!$F$16</f>
        <v>298</v>
      </c>
      <c r="O384" s="257">
        <f t="shared" si="125"/>
        <v>37.64</v>
      </c>
      <c r="P384" s="258"/>
      <c r="Q384" s="590">
        <f t="shared" si="124"/>
        <v>95.00531349628055</v>
      </c>
    </row>
    <row r="385" spans="1:17" ht="18" customHeight="1">
      <c r="A385" s="396">
        <f t="shared" si="104"/>
        <v>381</v>
      </c>
      <c r="B385" s="396">
        <v>652578</v>
      </c>
      <c r="C385" s="369" t="s">
        <v>1381</v>
      </c>
      <c r="D385" s="369" t="s">
        <v>643</v>
      </c>
      <c r="E385" s="369" t="s">
        <v>644</v>
      </c>
      <c r="F385" s="369" t="s">
        <v>645</v>
      </c>
      <c r="G385" s="369" t="s">
        <v>1382</v>
      </c>
      <c r="H385" s="396">
        <v>2</v>
      </c>
      <c r="I385" s="369"/>
      <c r="J385" s="369" t="s">
        <v>658</v>
      </c>
      <c r="K385" s="410" t="s">
        <v>649</v>
      </c>
      <c r="L385" s="396">
        <v>1</v>
      </c>
      <c r="M385" s="592"/>
      <c r="N385" s="257">
        <f>'[2]1.4 Septic'!$F$16</f>
        <v>298</v>
      </c>
      <c r="O385" s="257">
        <f t="shared" si="125"/>
        <v>37.64</v>
      </c>
      <c r="P385" s="258"/>
      <c r="Q385" s="590">
        <f t="shared" si="124"/>
        <v>31.668437832093517</v>
      </c>
    </row>
    <row r="386" spans="1:17" ht="18" customHeight="1">
      <c r="A386" s="396">
        <f t="shared" si="104"/>
        <v>382</v>
      </c>
      <c r="B386" s="396">
        <v>652595</v>
      </c>
      <c r="C386" s="369" t="s">
        <v>1383</v>
      </c>
      <c r="D386" s="369" t="s">
        <v>643</v>
      </c>
      <c r="E386" s="369" t="s">
        <v>644</v>
      </c>
      <c r="F386" s="369" t="s">
        <v>645</v>
      </c>
      <c r="G386" s="369" t="s">
        <v>1384</v>
      </c>
      <c r="H386" s="396">
        <v>9</v>
      </c>
      <c r="I386" s="369"/>
      <c r="J386" s="369" t="s">
        <v>695</v>
      </c>
      <c r="K386" s="410" t="s">
        <v>655</v>
      </c>
      <c r="L386" s="396">
        <v>1</v>
      </c>
      <c r="M386" s="592"/>
      <c r="N386" s="257">
        <f>'[2]1.4 Septic'!$F$16</f>
        <v>298</v>
      </c>
      <c r="O386" s="257">
        <f t="shared" si="125"/>
        <v>37.64</v>
      </c>
      <c r="P386" s="258"/>
      <c r="Q386" s="590">
        <f t="shared" si="124"/>
        <v>142.50797024442082</v>
      </c>
    </row>
    <row r="387" spans="1:17" ht="18" customHeight="1">
      <c r="A387" s="396">
        <f t="shared" si="104"/>
        <v>383</v>
      </c>
      <c r="B387" s="396">
        <v>652597</v>
      </c>
      <c r="C387" s="369" t="s">
        <v>1385</v>
      </c>
      <c r="D387" s="369" t="s">
        <v>672</v>
      </c>
      <c r="E387" s="369" t="s">
        <v>644</v>
      </c>
      <c r="F387" s="369" t="s">
        <v>645</v>
      </c>
      <c r="G387" s="369" t="s">
        <v>1386</v>
      </c>
      <c r="H387" s="396">
        <v>11</v>
      </c>
      <c r="I387" s="369"/>
      <c r="J387" s="369" t="s">
        <v>648</v>
      </c>
      <c r="K387" s="410" t="s">
        <v>692</v>
      </c>
      <c r="L387" s="396">
        <v>1</v>
      </c>
      <c r="M387" s="592"/>
      <c r="N387" s="257">
        <f>'[2]1.4 Septic'!$F$16</f>
        <v>298</v>
      </c>
      <c r="O387" s="257">
        <f>$G$487</f>
        <v>14.763</v>
      </c>
      <c r="P387" s="258"/>
      <c r="Q387" s="590">
        <f>H387*2*L387*N387/O387</f>
        <v>444.08318092528617</v>
      </c>
    </row>
    <row r="388" spans="1:17" ht="18" customHeight="1">
      <c r="A388" s="396">
        <f t="shared" si="104"/>
        <v>384</v>
      </c>
      <c r="B388" s="396">
        <v>652601</v>
      </c>
      <c r="C388" s="369" t="s">
        <v>1387</v>
      </c>
      <c r="D388" s="369" t="s">
        <v>643</v>
      </c>
      <c r="E388" s="369" t="s">
        <v>644</v>
      </c>
      <c r="F388" s="369" t="s">
        <v>645</v>
      </c>
      <c r="G388" s="369" t="s">
        <v>1388</v>
      </c>
      <c r="H388" s="396">
        <v>45</v>
      </c>
      <c r="I388" s="369"/>
      <c r="J388" s="369" t="s">
        <v>658</v>
      </c>
      <c r="K388" s="410" t="s">
        <v>649</v>
      </c>
      <c r="L388" s="396">
        <v>1</v>
      </c>
      <c r="M388" s="592" t="s">
        <v>664</v>
      </c>
      <c r="N388" s="257">
        <f>'[2]1.4 Septic'!$F$34</f>
        <v>247</v>
      </c>
      <c r="O388" s="257">
        <f t="shared" ref="O388:O391" si="126">$G$492</f>
        <v>37.64</v>
      </c>
      <c r="P388" s="258"/>
      <c r="Q388" s="590">
        <f t="shared" ref="Q388:Q391" si="127">H388*2*L388*N388/O388</f>
        <v>590.59511158342184</v>
      </c>
    </row>
    <row r="389" spans="1:17" ht="18" customHeight="1">
      <c r="A389" s="396">
        <f t="shared" si="104"/>
        <v>385</v>
      </c>
      <c r="B389" s="396">
        <v>659782</v>
      </c>
      <c r="C389" s="369" t="s">
        <v>1389</v>
      </c>
      <c r="D389" s="369"/>
      <c r="E389" s="369" t="s">
        <v>644</v>
      </c>
      <c r="F389" s="369"/>
      <c r="G389" s="369" t="s">
        <v>1390</v>
      </c>
      <c r="H389" s="396">
        <v>5</v>
      </c>
      <c r="I389" s="369"/>
      <c r="J389" s="369" t="s">
        <v>695</v>
      </c>
      <c r="K389" s="410" t="s">
        <v>655</v>
      </c>
      <c r="L389" s="396">
        <v>1</v>
      </c>
      <c r="M389" s="592"/>
      <c r="N389" s="257">
        <f>'[2]1.4 Septic'!$F$16</f>
        <v>298</v>
      </c>
      <c r="O389" s="257">
        <f t="shared" si="126"/>
        <v>37.64</v>
      </c>
      <c r="P389" s="258"/>
      <c r="Q389" s="590">
        <f t="shared" si="127"/>
        <v>79.171094580233799</v>
      </c>
    </row>
    <row r="390" spans="1:17" ht="18" customHeight="1">
      <c r="A390" s="396">
        <f t="shared" ref="A390:A453" si="128">+A389+1</f>
        <v>386</v>
      </c>
      <c r="B390" s="396">
        <v>660004</v>
      </c>
      <c r="C390" s="369" t="s">
        <v>1391</v>
      </c>
      <c r="D390" s="369" t="s">
        <v>643</v>
      </c>
      <c r="E390" s="369" t="s">
        <v>644</v>
      </c>
      <c r="F390" s="369" t="s">
        <v>645</v>
      </c>
      <c r="G390" s="369" t="s">
        <v>1392</v>
      </c>
      <c r="H390" s="396">
        <v>8</v>
      </c>
      <c r="I390" s="369"/>
      <c r="J390" s="369" t="s">
        <v>695</v>
      </c>
      <c r="K390" s="410" t="s">
        <v>655</v>
      </c>
      <c r="L390" s="396">
        <v>1</v>
      </c>
      <c r="M390" s="592"/>
      <c r="N390" s="257">
        <f>'[2]1.4 Septic'!$F$16</f>
        <v>298</v>
      </c>
      <c r="O390" s="257">
        <f t="shared" si="126"/>
        <v>37.64</v>
      </c>
      <c r="P390" s="258"/>
      <c r="Q390" s="590">
        <f t="shared" si="127"/>
        <v>126.67375132837407</v>
      </c>
    </row>
    <row r="391" spans="1:17" ht="18" customHeight="1">
      <c r="A391" s="396">
        <f t="shared" si="128"/>
        <v>387</v>
      </c>
      <c r="B391" s="396">
        <v>662015</v>
      </c>
      <c r="C391" s="369" t="s">
        <v>1393</v>
      </c>
      <c r="D391" s="369" t="s">
        <v>643</v>
      </c>
      <c r="E391" s="369" t="s">
        <v>644</v>
      </c>
      <c r="F391" s="369" t="s">
        <v>645</v>
      </c>
      <c r="G391" s="369" t="s">
        <v>1394</v>
      </c>
      <c r="H391" s="396">
        <v>5</v>
      </c>
      <c r="I391" s="369"/>
      <c r="J391" s="369" t="s">
        <v>658</v>
      </c>
      <c r="K391" s="410" t="s">
        <v>649</v>
      </c>
      <c r="L391" s="396">
        <v>1</v>
      </c>
      <c r="M391" s="592"/>
      <c r="N391" s="257">
        <f>'[2]1.4 Septic'!$F$16</f>
        <v>298</v>
      </c>
      <c r="O391" s="257">
        <f t="shared" si="126"/>
        <v>37.64</v>
      </c>
      <c r="P391" s="258"/>
      <c r="Q391" s="590">
        <f t="shared" si="127"/>
        <v>79.171094580233799</v>
      </c>
    </row>
    <row r="392" spans="1:17" ht="18" customHeight="1">
      <c r="A392" s="396">
        <f t="shared" si="128"/>
        <v>388</v>
      </c>
      <c r="B392" s="396">
        <v>662017</v>
      </c>
      <c r="C392" s="369" t="s">
        <v>1395</v>
      </c>
      <c r="D392" s="369" t="s">
        <v>643</v>
      </c>
      <c r="E392" s="369" t="s">
        <v>644</v>
      </c>
      <c r="F392" s="369" t="s">
        <v>645</v>
      </c>
      <c r="G392" s="369" t="s">
        <v>1396</v>
      </c>
      <c r="H392" s="396">
        <v>8</v>
      </c>
      <c r="I392" s="369"/>
      <c r="J392" s="369" t="s">
        <v>1790</v>
      </c>
      <c r="K392" s="410" t="s">
        <v>652</v>
      </c>
      <c r="L392" s="396">
        <v>1</v>
      </c>
      <c r="M392" s="592"/>
      <c r="N392" s="257">
        <f>'[2]1.4 Septic'!$F$16</f>
        <v>298</v>
      </c>
      <c r="O392" s="257">
        <v>6.3689999999999998</v>
      </c>
      <c r="P392" s="590">
        <f>H392*2*L392*N392/O392</f>
        <v>748.62615795258284</v>
      </c>
      <c r="Q392" s="258"/>
    </row>
    <row r="393" spans="1:17" ht="18" customHeight="1">
      <c r="A393" s="396">
        <f t="shared" si="128"/>
        <v>389</v>
      </c>
      <c r="B393" s="396">
        <v>662607</v>
      </c>
      <c r="C393" s="369" t="s">
        <v>1397</v>
      </c>
      <c r="D393" s="369" t="s">
        <v>1398</v>
      </c>
      <c r="E393" s="369" t="s">
        <v>644</v>
      </c>
      <c r="F393" s="369"/>
      <c r="G393" s="369" t="s">
        <v>1399</v>
      </c>
      <c r="H393" s="396">
        <v>18</v>
      </c>
      <c r="I393" s="369"/>
      <c r="J393" s="369" t="s">
        <v>1790</v>
      </c>
      <c r="K393" s="410" t="s">
        <v>652</v>
      </c>
      <c r="L393" s="396">
        <v>1</v>
      </c>
      <c r="M393" s="592"/>
      <c r="N393" s="257">
        <f>'[2]1.4 Septic'!$F$16</f>
        <v>298</v>
      </c>
      <c r="O393" s="257">
        <v>6.3689999999999998</v>
      </c>
      <c r="P393" s="590">
        <f>H393*2*L393*N393/O393</f>
        <v>1684.4088553933113</v>
      </c>
      <c r="Q393" s="258"/>
    </row>
    <row r="394" spans="1:17" ht="18" customHeight="1">
      <c r="A394" s="396">
        <f t="shared" si="128"/>
        <v>390</v>
      </c>
      <c r="B394" s="396">
        <v>662609</v>
      </c>
      <c r="C394" s="369" t="s">
        <v>1400</v>
      </c>
      <c r="D394" s="369"/>
      <c r="E394" s="369" t="s">
        <v>644</v>
      </c>
      <c r="F394" s="369"/>
      <c r="G394" s="369" t="s">
        <v>1401</v>
      </c>
      <c r="H394" s="396">
        <v>20</v>
      </c>
      <c r="I394" s="369"/>
      <c r="J394" s="369" t="s">
        <v>689</v>
      </c>
      <c r="K394" s="410" t="s">
        <v>649</v>
      </c>
      <c r="L394" s="396">
        <v>1</v>
      </c>
      <c r="M394" s="592"/>
      <c r="N394" s="257">
        <f>'[2]1.4 Septic'!$F$16</f>
        <v>298</v>
      </c>
      <c r="O394" s="257">
        <f>$G$496</f>
        <v>13.795999999999999</v>
      </c>
      <c r="P394" s="258"/>
      <c r="Q394" s="590">
        <f>H394*2*L394*N394/O394</f>
        <v>864.01855610321832</v>
      </c>
    </row>
    <row r="395" spans="1:17" ht="18" customHeight="1">
      <c r="A395" s="396">
        <f t="shared" si="128"/>
        <v>391</v>
      </c>
      <c r="B395" s="396">
        <v>662612</v>
      </c>
      <c r="C395" s="369" t="s">
        <v>1389</v>
      </c>
      <c r="D395" s="369" t="s">
        <v>672</v>
      </c>
      <c r="E395" s="369" t="s">
        <v>644</v>
      </c>
      <c r="F395" s="369" t="s">
        <v>645</v>
      </c>
      <c r="G395" s="369" t="s">
        <v>1390</v>
      </c>
      <c r="H395" s="396">
        <v>5</v>
      </c>
      <c r="I395" s="369"/>
      <c r="J395" s="369" t="s">
        <v>658</v>
      </c>
      <c r="K395" s="410" t="s">
        <v>655</v>
      </c>
      <c r="L395" s="396">
        <v>1</v>
      </c>
      <c r="M395" s="592"/>
      <c r="N395" s="257">
        <f>'[2]1.4 Septic'!$F$16</f>
        <v>298</v>
      </c>
      <c r="O395" s="257">
        <f>$G$492</f>
        <v>37.64</v>
      </c>
      <c r="P395" s="258"/>
      <c r="Q395" s="590">
        <f>H395*2*L395*N395/O395</f>
        <v>79.171094580233799</v>
      </c>
    </row>
    <row r="396" spans="1:17" ht="18" customHeight="1">
      <c r="A396" s="396">
        <f t="shared" si="128"/>
        <v>392</v>
      </c>
      <c r="B396" s="396">
        <v>662613</v>
      </c>
      <c r="C396" s="369" t="s">
        <v>1402</v>
      </c>
      <c r="D396" s="369" t="s">
        <v>643</v>
      </c>
      <c r="E396" s="369" t="s">
        <v>644</v>
      </c>
      <c r="F396" s="369" t="s">
        <v>645</v>
      </c>
      <c r="G396" s="369" t="s">
        <v>1403</v>
      </c>
      <c r="H396" s="396">
        <v>9</v>
      </c>
      <c r="I396" s="369"/>
      <c r="J396" s="369" t="s">
        <v>1404</v>
      </c>
      <c r="K396" s="410" t="s">
        <v>649</v>
      </c>
      <c r="L396" s="396">
        <v>1</v>
      </c>
      <c r="M396" s="592"/>
      <c r="N396" s="257">
        <f>'[2]1.4 Septic'!$F$16</f>
        <v>298</v>
      </c>
      <c r="O396" s="595">
        <f>$G$491</f>
        <v>32.435000000000002</v>
      </c>
      <c r="P396" s="258"/>
      <c r="Q396" s="258"/>
    </row>
    <row r="397" spans="1:17" ht="18" customHeight="1">
      <c r="A397" s="396">
        <f t="shared" si="128"/>
        <v>393</v>
      </c>
      <c r="B397" s="396">
        <v>662619</v>
      </c>
      <c r="C397" s="369" t="s">
        <v>1405</v>
      </c>
      <c r="D397" s="369" t="s">
        <v>643</v>
      </c>
      <c r="E397" s="369" t="s">
        <v>644</v>
      </c>
      <c r="F397" s="369" t="s">
        <v>645</v>
      </c>
      <c r="G397" s="369" t="s">
        <v>1406</v>
      </c>
      <c r="H397" s="396">
        <v>7</v>
      </c>
      <c r="I397" s="369"/>
      <c r="J397" s="369" t="s">
        <v>658</v>
      </c>
      <c r="K397" s="410" t="s">
        <v>649</v>
      </c>
      <c r="L397" s="396">
        <v>1</v>
      </c>
      <c r="M397" s="592"/>
      <c r="N397" s="257">
        <f>'[2]1.4 Septic'!$F$16</f>
        <v>298</v>
      </c>
      <c r="O397" s="257">
        <f t="shared" ref="O397:O398" si="129">$G$492</f>
        <v>37.64</v>
      </c>
      <c r="P397" s="258"/>
      <c r="Q397" s="590">
        <f t="shared" ref="Q397:Q398" si="130">H397*2*L397*N397/O397</f>
        <v>110.83953241232732</v>
      </c>
    </row>
    <row r="398" spans="1:17" ht="18" customHeight="1">
      <c r="A398" s="396">
        <f t="shared" si="128"/>
        <v>394</v>
      </c>
      <c r="B398" s="396">
        <v>662620</v>
      </c>
      <c r="C398" s="369" t="s">
        <v>1407</v>
      </c>
      <c r="D398" s="369" t="s">
        <v>643</v>
      </c>
      <c r="E398" s="369" t="s">
        <v>644</v>
      </c>
      <c r="F398" s="369" t="s">
        <v>645</v>
      </c>
      <c r="G398" s="369" t="s">
        <v>1408</v>
      </c>
      <c r="H398" s="396">
        <v>15</v>
      </c>
      <c r="I398" s="369"/>
      <c r="J398" s="369" t="s">
        <v>658</v>
      </c>
      <c r="K398" s="410" t="s">
        <v>655</v>
      </c>
      <c r="L398" s="396">
        <v>1</v>
      </c>
      <c r="M398" s="592"/>
      <c r="N398" s="257">
        <f>'[2]1.4 Septic'!$F$16</f>
        <v>298</v>
      </c>
      <c r="O398" s="257">
        <f t="shared" si="129"/>
        <v>37.64</v>
      </c>
      <c r="P398" s="258"/>
      <c r="Q398" s="590">
        <f t="shared" si="130"/>
        <v>237.51328374070138</v>
      </c>
    </row>
    <row r="399" spans="1:17" ht="18" customHeight="1">
      <c r="A399" s="396">
        <f t="shared" si="128"/>
        <v>395</v>
      </c>
      <c r="B399" s="396">
        <v>662621</v>
      </c>
      <c r="C399" s="369" t="s">
        <v>1409</v>
      </c>
      <c r="D399" s="369" t="s">
        <v>643</v>
      </c>
      <c r="E399" s="369" t="s">
        <v>644</v>
      </c>
      <c r="F399" s="369" t="s">
        <v>645</v>
      </c>
      <c r="G399" s="369" t="s">
        <v>1410</v>
      </c>
      <c r="H399" s="396">
        <v>15</v>
      </c>
      <c r="I399" s="369"/>
      <c r="J399" s="369" t="s">
        <v>715</v>
      </c>
      <c r="K399" s="410" t="s">
        <v>649</v>
      </c>
      <c r="L399" s="396">
        <v>1</v>
      </c>
      <c r="M399" s="592"/>
      <c r="N399" s="257">
        <f>'[2]1.4 Septic'!$F$16</f>
        <v>298</v>
      </c>
      <c r="O399" s="595">
        <f>$G$491</f>
        <v>32.435000000000002</v>
      </c>
      <c r="P399" s="258"/>
      <c r="Q399" s="590">
        <f>H399*2*L399*N399/O399</f>
        <v>275.62817943579466</v>
      </c>
    </row>
    <row r="400" spans="1:17" ht="18" customHeight="1">
      <c r="A400" s="396">
        <f t="shared" si="128"/>
        <v>396</v>
      </c>
      <c r="B400" s="396">
        <v>662623</v>
      </c>
      <c r="C400" s="369" t="s">
        <v>1411</v>
      </c>
      <c r="D400" s="369" t="s">
        <v>643</v>
      </c>
      <c r="E400" s="369" t="s">
        <v>644</v>
      </c>
      <c r="F400" s="369" t="s">
        <v>645</v>
      </c>
      <c r="G400" s="369" t="s">
        <v>1412</v>
      </c>
      <c r="H400" s="396">
        <v>5</v>
      </c>
      <c r="I400" s="369"/>
      <c r="J400" s="369" t="s">
        <v>658</v>
      </c>
      <c r="K400" s="410" t="s">
        <v>649</v>
      </c>
      <c r="L400" s="396">
        <v>1</v>
      </c>
      <c r="M400" s="592"/>
      <c r="N400" s="257">
        <f>'[2]1.4 Septic'!$F$16</f>
        <v>298</v>
      </c>
      <c r="O400" s="257">
        <f t="shared" ref="O400:O401" si="131">$G$492</f>
        <v>37.64</v>
      </c>
      <c r="P400" s="258"/>
      <c r="Q400" s="590">
        <f t="shared" ref="Q400:Q401" si="132">H400*2*L400*N400/O400</f>
        <v>79.171094580233799</v>
      </c>
    </row>
    <row r="401" spans="1:17" ht="18" customHeight="1">
      <c r="A401" s="396">
        <f t="shared" si="128"/>
        <v>397</v>
      </c>
      <c r="B401" s="396">
        <v>662624</v>
      </c>
      <c r="C401" s="369" t="s">
        <v>1413</v>
      </c>
      <c r="D401" s="369" t="s">
        <v>643</v>
      </c>
      <c r="E401" s="369" t="s">
        <v>644</v>
      </c>
      <c r="F401" s="369" t="s">
        <v>645</v>
      </c>
      <c r="G401" s="369" t="s">
        <v>1414</v>
      </c>
      <c r="H401" s="396">
        <v>6</v>
      </c>
      <c r="I401" s="369"/>
      <c r="J401" s="369" t="s">
        <v>695</v>
      </c>
      <c r="K401" s="410" t="s">
        <v>649</v>
      </c>
      <c r="L401" s="396">
        <v>1</v>
      </c>
      <c r="M401" s="592"/>
      <c r="N401" s="257">
        <f>'[2]1.4 Septic'!$F$16</f>
        <v>298</v>
      </c>
      <c r="O401" s="257">
        <f t="shared" si="131"/>
        <v>37.64</v>
      </c>
      <c r="P401" s="258"/>
      <c r="Q401" s="590">
        <f t="shared" si="132"/>
        <v>95.00531349628055</v>
      </c>
    </row>
    <row r="402" spans="1:17" ht="18" customHeight="1">
      <c r="A402" s="396">
        <f t="shared" si="128"/>
        <v>398</v>
      </c>
      <c r="B402" s="396">
        <v>662625</v>
      </c>
      <c r="C402" s="369" t="s">
        <v>1415</v>
      </c>
      <c r="D402" s="369" t="s">
        <v>643</v>
      </c>
      <c r="E402" s="369" t="s">
        <v>644</v>
      </c>
      <c r="F402" s="369" t="s">
        <v>645</v>
      </c>
      <c r="G402" s="369" t="s">
        <v>1416</v>
      </c>
      <c r="H402" s="396">
        <v>8</v>
      </c>
      <c r="I402" s="369"/>
      <c r="J402" s="369" t="s">
        <v>1790</v>
      </c>
      <c r="K402" s="410" t="s">
        <v>649</v>
      </c>
      <c r="L402" s="396">
        <v>1</v>
      </c>
      <c r="M402" s="592"/>
      <c r="N402" s="257">
        <f>'[2]1.4 Septic'!$F$16</f>
        <v>298</v>
      </c>
      <c r="O402" s="257">
        <v>6.3689999999999998</v>
      </c>
      <c r="P402" s="590">
        <f>H402*2*L402*N402/O402</f>
        <v>748.62615795258284</v>
      </c>
      <c r="Q402" s="258"/>
    </row>
    <row r="403" spans="1:17" ht="18" customHeight="1">
      <c r="A403" s="396">
        <f t="shared" si="128"/>
        <v>399</v>
      </c>
      <c r="B403" s="396">
        <v>662626</v>
      </c>
      <c r="C403" s="369" t="s">
        <v>1417</v>
      </c>
      <c r="D403" s="369" t="s">
        <v>643</v>
      </c>
      <c r="E403" s="369" t="s">
        <v>644</v>
      </c>
      <c r="F403" s="369" t="s">
        <v>645</v>
      </c>
      <c r="G403" s="369" t="s">
        <v>1418</v>
      </c>
      <c r="H403" s="396">
        <v>15</v>
      </c>
      <c r="I403" s="369"/>
      <c r="J403" s="369" t="s">
        <v>695</v>
      </c>
      <c r="K403" s="410" t="s">
        <v>649</v>
      </c>
      <c r="L403" s="396">
        <v>1</v>
      </c>
      <c r="M403" s="592"/>
      <c r="N403" s="257">
        <f>'[2]1.4 Septic'!$F$16</f>
        <v>298</v>
      </c>
      <c r="O403" s="257">
        <f t="shared" ref="O403:O404" si="133">$G$492</f>
        <v>37.64</v>
      </c>
      <c r="P403" s="258"/>
      <c r="Q403" s="590">
        <f t="shared" ref="Q403:Q404" si="134">H403*2*L403*N403/O403</f>
        <v>237.51328374070138</v>
      </c>
    </row>
    <row r="404" spans="1:17" ht="18" customHeight="1">
      <c r="A404" s="396">
        <f t="shared" si="128"/>
        <v>400</v>
      </c>
      <c r="B404" s="396">
        <v>672628</v>
      </c>
      <c r="C404" s="369" t="s">
        <v>1419</v>
      </c>
      <c r="D404" s="369" t="s">
        <v>672</v>
      </c>
      <c r="E404" s="369" t="s">
        <v>644</v>
      </c>
      <c r="F404" s="369" t="s">
        <v>645</v>
      </c>
      <c r="G404" s="369" t="s">
        <v>1420</v>
      </c>
      <c r="H404" s="396">
        <v>9</v>
      </c>
      <c r="I404" s="369"/>
      <c r="J404" s="369" t="s">
        <v>658</v>
      </c>
      <c r="K404" s="410" t="s">
        <v>649</v>
      </c>
      <c r="L404" s="396">
        <v>1</v>
      </c>
      <c r="M404" s="592"/>
      <c r="N404" s="257">
        <f>'[2]1.4 Septic'!$F$16</f>
        <v>298</v>
      </c>
      <c r="O404" s="257">
        <f t="shared" si="133"/>
        <v>37.64</v>
      </c>
      <c r="P404" s="258"/>
      <c r="Q404" s="590">
        <f t="shared" si="134"/>
        <v>142.50797024442082</v>
      </c>
    </row>
    <row r="405" spans="1:17" ht="18" customHeight="1">
      <c r="A405" s="396">
        <f t="shared" si="128"/>
        <v>401</v>
      </c>
      <c r="B405" s="396">
        <v>530722</v>
      </c>
      <c r="C405" s="369" t="s">
        <v>1421</v>
      </c>
      <c r="D405" s="369" t="s">
        <v>672</v>
      </c>
      <c r="E405" s="369" t="s">
        <v>1422</v>
      </c>
      <c r="F405" s="369" t="s">
        <v>645</v>
      </c>
      <c r="G405" s="369" t="s">
        <v>814</v>
      </c>
      <c r="H405" s="396">
        <v>8</v>
      </c>
      <c r="I405" s="369"/>
      <c r="J405" s="369" t="s">
        <v>718</v>
      </c>
      <c r="K405" s="410" t="s">
        <v>649</v>
      </c>
      <c r="L405" s="396">
        <v>1</v>
      </c>
      <c r="M405" s="592"/>
      <c r="N405" s="257">
        <f>'[2]1.4 Septic'!$F$16</f>
        <v>298</v>
      </c>
      <c r="O405" s="595">
        <f>$G$491</f>
        <v>32.435000000000002</v>
      </c>
      <c r="P405" s="258"/>
      <c r="Q405" s="590">
        <f>H405*2*L405*N405/O405</f>
        <v>147.00169569909048</v>
      </c>
    </row>
    <row r="406" spans="1:17" ht="18" customHeight="1">
      <c r="A406" s="396">
        <f t="shared" si="128"/>
        <v>402</v>
      </c>
      <c r="B406" s="396">
        <v>557068</v>
      </c>
      <c r="C406" s="369" t="s">
        <v>1423</v>
      </c>
      <c r="D406" s="369" t="s">
        <v>672</v>
      </c>
      <c r="E406" s="369" t="s">
        <v>1422</v>
      </c>
      <c r="F406" s="369" t="s">
        <v>645</v>
      </c>
      <c r="G406" s="369" t="s">
        <v>1424</v>
      </c>
      <c r="H406" s="396">
        <v>8</v>
      </c>
      <c r="I406" s="369"/>
      <c r="J406" s="369" t="s">
        <v>695</v>
      </c>
      <c r="K406" s="410" t="s">
        <v>655</v>
      </c>
      <c r="L406" s="396">
        <v>2</v>
      </c>
      <c r="M406" s="592"/>
      <c r="N406" s="257">
        <f>'[2]1.4 Septic'!$F$16</f>
        <v>298</v>
      </c>
      <c r="O406" s="257">
        <f t="shared" ref="O406:O413" si="135">$G$492</f>
        <v>37.64</v>
      </c>
      <c r="P406" s="258"/>
      <c r="Q406" s="590">
        <f t="shared" ref="Q406:Q421" si="136">H406*2*L406*N406/O406</f>
        <v>253.34750265674813</v>
      </c>
    </row>
    <row r="407" spans="1:17" ht="18" customHeight="1">
      <c r="A407" s="396">
        <f t="shared" si="128"/>
        <v>403</v>
      </c>
      <c r="B407" s="396">
        <v>587881</v>
      </c>
      <c r="C407" s="369" t="s">
        <v>1425</v>
      </c>
      <c r="D407" s="369" t="s">
        <v>672</v>
      </c>
      <c r="E407" s="369" t="s">
        <v>1422</v>
      </c>
      <c r="F407" s="369" t="s">
        <v>645</v>
      </c>
      <c r="G407" s="367" t="s">
        <v>1058</v>
      </c>
      <c r="H407" s="396">
        <v>7</v>
      </c>
      <c r="I407" s="369"/>
      <c r="J407" s="369" t="s">
        <v>695</v>
      </c>
      <c r="K407" s="410" t="s">
        <v>649</v>
      </c>
      <c r="L407" s="396">
        <v>1</v>
      </c>
      <c r="M407" s="592"/>
      <c r="N407" s="257">
        <f>'[2]1.4 Septic'!$F$16</f>
        <v>298</v>
      </c>
      <c r="O407" s="257">
        <f t="shared" si="135"/>
        <v>37.64</v>
      </c>
      <c r="P407" s="258"/>
      <c r="Q407" s="590">
        <f t="shared" si="136"/>
        <v>110.83953241232732</v>
      </c>
    </row>
    <row r="408" spans="1:17" ht="18" customHeight="1">
      <c r="A408" s="396">
        <f t="shared" si="128"/>
        <v>404</v>
      </c>
      <c r="B408" s="396">
        <v>598233</v>
      </c>
      <c r="C408" s="369" t="s">
        <v>1426</v>
      </c>
      <c r="D408" s="369" t="s">
        <v>672</v>
      </c>
      <c r="E408" s="369" t="s">
        <v>1422</v>
      </c>
      <c r="F408" s="369" t="s">
        <v>645</v>
      </c>
      <c r="G408" s="367" t="s">
        <v>1021</v>
      </c>
      <c r="H408" s="396">
        <v>5</v>
      </c>
      <c r="I408" s="369"/>
      <c r="J408" s="369" t="s">
        <v>658</v>
      </c>
      <c r="K408" s="410" t="s">
        <v>649</v>
      </c>
      <c r="L408" s="396">
        <v>2</v>
      </c>
      <c r="M408" s="592"/>
      <c r="N408" s="257">
        <f>'[2]1.4 Septic'!$F$16</f>
        <v>298</v>
      </c>
      <c r="O408" s="257">
        <f t="shared" si="135"/>
        <v>37.64</v>
      </c>
      <c r="P408" s="258"/>
      <c r="Q408" s="590">
        <f t="shared" si="136"/>
        <v>158.3421891604676</v>
      </c>
    </row>
    <row r="409" spans="1:17" ht="18" customHeight="1">
      <c r="A409" s="396">
        <f t="shared" si="128"/>
        <v>405</v>
      </c>
      <c r="B409" s="396">
        <v>608370</v>
      </c>
      <c r="C409" s="369" t="s">
        <v>1427</v>
      </c>
      <c r="D409" s="369" t="s">
        <v>672</v>
      </c>
      <c r="E409" s="369" t="s">
        <v>1422</v>
      </c>
      <c r="F409" s="369" t="s">
        <v>645</v>
      </c>
      <c r="G409" s="369" t="s">
        <v>1428</v>
      </c>
      <c r="H409" s="396">
        <v>4</v>
      </c>
      <c r="I409" s="369"/>
      <c r="J409" s="369" t="s">
        <v>658</v>
      </c>
      <c r="K409" s="410" t="s">
        <v>649</v>
      </c>
      <c r="L409" s="396">
        <v>1</v>
      </c>
      <c r="M409" s="592"/>
      <c r="N409" s="257">
        <f>'[2]1.4 Septic'!$F$16</f>
        <v>298</v>
      </c>
      <c r="O409" s="257">
        <f t="shared" si="135"/>
        <v>37.64</v>
      </c>
      <c r="P409" s="258"/>
      <c r="Q409" s="590">
        <f t="shared" si="136"/>
        <v>63.336875664187033</v>
      </c>
    </row>
    <row r="410" spans="1:17" ht="18" customHeight="1">
      <c r="A410" s="396">
        <f t="shared" si="128"/>
        <v>406</v>
      </c>
      <c r="B410" s="396">
        <v>608422</v>
      </c>
      <c r="C410" s="369" t="s">
        <v>1429</v>
      </c>
      <c r="D410" s="369" t="s">
        <v>672</v>
      </c>
      <c r="E410" s="369" t="s">
        <v>1422</v>
      </c>
      <c r="F410" s="369" t="s">
        <v>645</v>
      </c>
      <c r="G410" s="369" t="s">
        <v>1430</v>
      </c>
      <c r="H410" s="396">
        <v>7</v>
      </c>
      <c r="I410" s="369"/>
      <c r="J410" s="369" t="s">
        <v>695</v>
      </c>
      <c r="K410" s="410" t="s">
        <v>655</v>
      </c>
      <c r="L410" s="396">
        <v>1</v>
      </c>
      <c r="M410" s="592"/>
      <c r="N410" s="257">
        <f>'[2]1.4 Septic'!$F$16</f>
        <v>298</v>
      </c>
      <c r="O410" s="257">
        <f t="shared" si="135"/>
        <v>37.64</v>
      </c>
      <c r="P410" s="258"/>
      <c r="Q410" s="590">
        <f t="shared" si="136"/>
        <v>110.83953241232732</v>
      </c>
    </row>
    <row r="411" spans="1:17" ht="18" customHeight="1">
      <c r="A411" s="396">
        <f t="shared" si="128"/>
        <v>407</v>
      </c>
      <c r="B411" s="396">
        <v>608594</v>
      </c>
      <c r="C411" s="369" t="s">
        <v>1431</v>
      </c>
      <c r="D411" s="369" t="s">
        <v>672</v>
      </c>
      <c r="E411" s="369" t="s">
        <v>1422</v>
      </c>
      <c r="F411" s="369" t="s">
        <v>645</v>
      </c>
      <c r="G411" s="369" t="s">
        <v>1432</v>
      </c>
      <c r="H411" s="396">
        <v>4</v>
      </c>
      <c r="I411" s="369"/>
      <c r="J411" s="369" t="s">
        <v>658</v>
      </c>
      <c r="K411" s="410" t="s">
        <v>649</v>
      </c>
      <c r="L411" s="396">
        <v>1</v>
      </c>
      <c r="M411" s="592"/>
      <c r="N411" s="257">
        <f>'[2]1.4 Septic'!$F$16</f>
        <v>298</v>
      </c>
      <c r="O411" s="257">
        <f t="shared" si="135"/>
        <v>37.64</v>
      </c>
      <c r="P411" s="258"/>
      <c r="Q411" s="590">
        <f t="shared" si="136"/>
        <v>63.336875664187033</v>
      </c>
    </row>
    <row r="412" spans="1:17" ht="18" customHeight="1">
      <c r="A412" s="396">
        <f t="shared" si="128"/>
        <v>408</v>
      </c>
      <c r="B412" s="396">
        <v>608610</v>
      </c>
      <c r="C412" s="369" t="s">
        <v>1433</v>
      </c>
      <c r="D412" s="369" t="s">
        <v>672</v>
      </c>
      <c r="E412" s="369" t="s">
        <v>1422</v>
      </c>
      <c r="F412" s="369" t="s">
        <v>645</v>
      </c>
      <c r="G412" s="369" t="s">
        <v>1434</v>
      </c>
      <c r="H412" s="396">
        <v>14</v>
      </c>
      <c r="I412" s="369"/>
      <c r="J412" s="369" t="s">
        <v>695</v>
      </c>
      <c r="K412" s="410" t="s">
        <v>655</v>
      </c>
      <c r="L412" s="396">
        <v>1</v>
      </c>
      <c r="M412" s="592"/>
      <c r="N412" s="257">
        <f>'[2]1.4 Septic'!$F$16</f>
        <v>298</v>
      </c>
      <c r="O412" s="257">
        <f t="shared" si="135"/>
        <v>37.64</v>
      </c>
      <c r="P412" s="258"/>
      <c r="Q412" s="590">
        <f t="shared" si="136"/>
        <v>221.67906482465463</v>
      </c>
    </row>
    <row r="413" spans="1:17" ht="18" customHeight="1">
      <c r="A413" s="396">
        <f t="shared" si="128"/>
        <v>409</v>
      </c>
      <c r="B413" s="396">
        <v>618707</v>
      </c>
      <c r="C413" s="369" t="s">
        <v>1435</v>
      </c>
      <c r="D413" s="369" t="s">
        <v>672</v>
      </c>
      <c r="E413" s="369" t="s">
        <v>1422</v>
      </c>
      <c r="F413" s="369" t="s">
        <v>645</v>
      </c>
      <c r="G413" s="367" t="s">
        <v>746</v>
      </c>
      <c r="H413" s="396">
        <v>3</v>
      </c>
      <c r="I413" s="369"/>
      <c r="J413" s="369" t="s">
        <v>695</v>
      </c>
      <c r="K413" s="410" t="s">
        <v>655</v>
      </c>
      <c r="L413" s="396">
        <v>1</v>
      </c>
      <c r="M413" s="592"/>
      <c r="N413" s="257">
        <f>'[2]1.4 Septic'!$F$16</f>
        <v>298</v>
      </c>
      <c r="O413" s="257">
        <f t="shared" si="135"/>
        <v>37.64</v>
      </c>
      <c r="P413" s="258"/>
      <c r="Q413" s="590">
        <f t="shared" si="136"/>
        <v>47.502656748140275</v>
      </c>
    </row>
    <row r="414" spans="1:17" ht="18" customHeight="1">
      <c r="A414" s="396">
        <f t="shared" si="128"/>
        <v>410</v>
      </c>
      <c r="B414" s="396">
        <v>628870</v>
      </c>
      <c r="C414" s="369" t="s">
        <v>1436</v>
      </c>
      <c r="D414" s="369" t="s">
        <v>672</v>
      </c>
      <c r="E414" s="369" t="s">
        <v>1422</v>
      </c>
      <c r="F414" s="369" t="s">
        <v>645</v>
      </c>
      <c r="G414" s="369" t="s">
        <v>1437</v>
      </c>
      <c r="H414" s="396">
        <v>5</v>
      </c>
      <c r="I414" s="369"/>
      <c r="J414" s="369" t="s">
        <v>718</v>
      </c>
      <c r="K414" s="410" t="s">
        <v>649</v>
      </c>
      <c r="L414" s="396">
        <v>1</v>
      </c>
      <c r="M414" s="592"/>
      <c r="N414" s="257">
        <f>'[2]1.4 Septic'!$F$16</f>
        <v>298</v>
      </c>
      <c r="O414" s="595">
        <f t="shared" ref="O414:O415" si="137">$G$491</f>
        <v>32.435000000000002</v>
      </c>
      <c r="P414" s="258"/>
      <c r="Q414" s="590">
        <f t="shared" si="136"/>
        <v>91.876059811931555</v>
      </c>
    </row>
    <row r="415" spans="1:17" ht="18" customHeight="1">
      <c r="A415" s="396">
        <f t="shared" si="128"/>
        <v>411</v>
      </c>
      <c r="B415" s="396">
        <v>628942</v>
      </c>
      <c r="C415" s="369" t="s">
        <v>1438</v>
      </c>
      <c r="D415" s="369" t="s">
        <v>672</v>
      </c>
      <c r="E415" s="369" t="s">
        <v>1422</v>
      </c>
      <c r="F415" s="369" t="s">
        <v>645</v>
      </c>
      <c r="G415" s="369" t="s">
        <v>1439</v>
      </c>
      <c r="H415" s="396">
        <v>7</v>
      </c>
      <c r="I415" s="369"/>
      <c r="J415" s="369" t="s">
        <v>718</v>
      </c>
      <c r="K415" s="410" t="s">
        <v>655</v>
      </c>
      <c r="L415" s="396">
        <v>1</v>
      </c>
      <c r="M415" s="592"/>
      <c r="N415" s="257">
        <f>'[2]1.4 Septic'!$F$16</f>
        <v>298</v>
      </c>
      <c r="O415" s="595">
        <f t="shared" si="137"/>
        <v>32.435000000000002</v>
      </c>
      <c r="P415" s="258"/>
      <c r="Q415" s="590">
        <f t="shared" si="136"/>
        <v>128.62648373670416</v>
      </c>
    </row>
    <row r="416" spans="1:17" ht="18" customHeight="1">
      <c r="A416" s="396">
        <f t="shared" si="128"/>
        <v>412</v>
      </c>
      <c r="B416" s="396">
        <v>628976</v>
      </c>
      <c r="C416" s="369" t="s">
        <v>1440</v>
      </c>
      <c r="D416" s="369" t="s">
        <v>643</v>
      </c>
      <c r="E416" s="369" t="s">
        <v>1422</v>
      </c>
      <c r="F416" s="369" t="s">
        <v>645</v>
      </c>
      <c r="G416" s="367" t="s">
        <v>746</v>
      </c>
      <c r="H416" s="396">
        <v>14</v>
      </c>
      <c r="I416" s="369"/>
      <c r="J416" s="369" t="s">
        <v>695</v>
      </c>
      <c r="K416" s="410" t="s">
        <v>655</v>
      </c>
      <c r="L416" s="396">
        <v>1</v>
      </c>
      <c r="M416" s="592"/>
      <c r="N416" s="257">
        <f>'[2]1.4 Septic'!$F$16</f>
        <v>298</v>
      </c>
      <c r="O416" s="257">
        <f t="shared" ref="O416:O421" si="138">$G$492</f>
        <v>37.64</v>
      </c>
      <c r="P416" s="258"/>
      <c r="Q416" s="590">
        <f t="shared" si="136"/>
        <v>221.67906482465463</v>
      </c>
    </row>
    <row r="417" spans="1:17" ht="18" customHeight="1">
      <c r="A417" s="396">
        <f t="shared" si="128"/>
        <v>413</v>
      </c>
      <c r="B417" s="396">
        <v>628982</v>
      </c>
      <c r="C417" s="369" t="s">
        <v>1441</v>
      </c>
      <c r="D417" s="369" t="s">
        <v>672</v>
      </c>
      <c r="E417" s="369" t="s">
        <v>1422</v>
      </c>
      <c r="F417" s="369" t="s">
        <v>645</v>
      </c>
      <c r="G417" s="369" t="s">
        <v>1442</v>
      </c>
      <c r="H417" s="396">
        <v>15</v>
      </c>
      <c r="I417" s="369"/>
      <c r="J417" s="369" t="s">
        <v>658</v>
      </c>
      <c r="K417" s="410" t="s">
        <v>649</v>
      </c>
      <c r="L417" s="396">
        <v>1</v>
      </c>
      <c r="M417" s="592"/>
      <c r="N417" s="257">
        <f>'[2]1.4 Septic'!$F$16</f>
        <v>298</v>
      </c>
      <c r="O417" s="257">
        <f t="shared" si="138"/>
        <v>37.64</v>
      </c>
      <c r="P417" s="258"/>
      <c r="Q417" s="590">
        <f t="shared" si="136"/>
        <v>237.51328374070138</v>
      </c>
    </row>
    <row r="418" spans="1:17" ht="18" customHeight="1">
      <c r="A418" s="396">
        <f t="shared" si="128"/>
        <v>414</v>
      </c>
      <c r="B418" s="396">
        <v>628985</v>
      </c>
      <c r="C418" s="369" t="s">
        <v>1443</v>
      </c>
      <c r="D418" s="369" t="s">
        <v>672</v>
      </c>
      <c r="E418" s="369" t="s">
        <v>1422</v>
      </c>
      <c r="F418" s="369" t="s">
        <v>645</v>
      </c>
      <c r="G418" s="367" t="s">
        <v>769</v>
      </c>
      <c r="H418" s="396">
        <v>4</v>
      </c>
      <c r="I418" s="369"/>
      <c r="J418" s="369" t="s">
        <v>695</v>
      </c>
      <c r="K418" s="410" t="s">
        <v>655</v>
      </c>
      <c r="L418" s="396">
        <v>2</v>
      </c>
      <c r="M418" s="592"/>
      <c r="N418" s="257">
        <f>'[2]1.4 Septic'!$F$16</f>
        <v>298</v>
      </c>
      <c r="O418" s="257">
        <f t="shared" si="138"/>
        <v>37.64</v>
      </c>
      <c r="P418" s="258"/>
      <c r="Q418" s="590">
        <f t="shared" si="136"/>
        <v>126.67375132837407</v>
      </c>
    </row>
    <row r="419" spans="1:17" ht="18" customHeight="1">
      <c r="A419" s="396">
        <f t="shared" si="128"/>
        <v>415</v>
      </c>
      <c r="B419" s="396">
        <v>629004</v>
      </c>
      <c r="C419" s="369" t="s">
        <v>1444</v>
      </c>
      <c r="D419" s="369" t="s">
        <v>672</v>
      </c>
      <c r="E419" s="369" t="s">
        <v>1422</v>
      </c>
      <c r="F419" s="369" t="s">
        <v>645</v>
      </c>
      <c r="G419" s="367" t="s">
        <v>769</v>
      </c>
      <c r="H419" s="396">
        <v>6</v>
      </c>
      <c r="I419" s="369"/>
      <c r="J419" s="369" t="s">
        <v>695</v>
      </c>
      <c r="K419" s="410" t="s">
        <v>649</v>
      </c>
      <c r="L419" s="396">
        <v>1</v>
      </c>
      <c r="M419" s="592"/>
      <c r="N419" s="257">
        <f>'[2]1.4 Septic'!$F$16</f>
        <v>298</v>
      </c>
      <c r="O419" s="257">
        <f t="shared" si="138"/>
        <v>37.64</v>
      </c>
      <c r="P419" s="258"/>
      <c r="Q419" s="590">
        <f t="shared" si="136"/>
        <v>95.00531349628055</v>
      </c>
    </row>
    <row r="420" spans="1:17" ht="18" customHeight="1">
      <c r="A420" s="396">
        <f t="shared" si="128"/>
        <v>416</v>
      </c>
      <c r="B420" s="396">
        <v>629030</v>
      </c>
      <c r="C420" s="369" t="s">
        <v>1445</v>
      </c>
      <c r="D420" s="369" t="s">
        <v>672</v>
      </c>
      <c r="E420" s="369" t="s">
        <v>1422</v>
      </c>
      <c r="F420" s="369" t="s">
        <v>645</v>
      </c>
      <c r="G420" s="369" t="s">
        <v>1446</v>
      </c>
      <c r="H420" s="396">
        <v>4</v>
      </c>
      <c r="I420" s="369"/>
      <c r="J420" s="369" t="s">
        <v>658</v>
      </c>
      <c r="K420" s="410" t="s">
        <v>655</v>
      </c>
      <c r="L420" s="396">
        <v>1</v>
      </c>
      <c r="M420" s="592"/>
      <c r="N420" s="257">
        <f>'[2]1.4 Septic'!$F$16</f>
        <v>298</v>
      </c>
      <c r="O420" s="257">
        <f t="shared" si="138"/>
        <v>37.64</v>
      </c>
      <c r="P420" s="258"/>
      <c r="Q420" s="590">
        <f t="shared" si="136"/>
        <v>63.336875664187033</v>
      </c>
    </row>
    <row r="421" spans="1:17" ht="18" customHeight="1">
      <c r="A421" s="396">
        <f t="shared" si="128"/>
        <v>417</v>
      </c>
      <c r="B421" s="396">
        <v>629107</v>
      </c>
      <c r="C421" s="369" t="s">
        <v>1447</v>
      </c>
      <c r="D421" s="369" t="s">
        <v>672</v>
      </c>
      <c r="E421" s="369" t="s">
        <v>1422</v>
      </c>
      <c r="F421" s="369" t="s">
        <v>645</v>
      </c>
      <c r="G421" s="369" t="s">
        <v>1448</v>
      </c>
      <c r="H421" s="396">
        <v>4</v>
      </c>
      <c r="I421" s="369"/>
      <c r="J421" s="369" t="s">
        <v>695</v>
      </c>
      <c r="K421" s="410" t="s">
        <v>649</v>
      </c>
      <c r="L421" s="396">
        <v>1</v>
      </c>
      <c r="M421" s="592"/>
      <c r="N421" s="257">
        <f>'[2]1.4 Septic'!$F$16</f>
        <v>298</v>
      </c>
      <c r="O421" s="257">
        <f t="shared" si="138"/>
        <v>37.64</v>
      </c>
      <c r="P421" s="258"/>
      <c r="Q421" s="590">
        <f t="shared" si="136"/>
        <v>63.336875664187033</v>
      </c>
    </row>
    <row r="422" spans="1:17" ht="18" customHeight="1">
      <c r="A422" s="396">
        <f t="shared" si="128"/>
        <v>418</v>
      </c>
      <c r="B422" s="396">
        <v>639121</v>
      </c>
      <c r="C422" s="369" t="s">
        <v>1449</v>
      </c>
      <c r="D422" s="369" t="s">
        <v>643</v>
      </c>
      <c r="E422" s="369" t="s">
        <v>1422</v>
      </c>
      <c r="F422" s="369" t="s">
        <v>645</v>
      </c>
      <c r="G422" s="369" t="s">
        <v>1450</v>
      </c>
      <c r="H422" s="396">
        <v>8</v>
      </c>
      <c r="I422" s="369"/>
      <c r="J422" s="369" t="s">
        <v>689</v>
      </c>
      <c r="K422" s="410" t="s">
        <v>649</v>
      </c>
      <c r="L422" s="396">
        <v>2</v>
      </c>
      <c r="M422" s="592"/>
      <c r="N422" s="257">
        <f>'[2]1.4 Septic'!$F$16</f>
        <v>298</v>
      </c>
      <c r="O422" s="257">
        <f>$G$496</f>
        <v>13.795999999999999</v>
      </c>
      <c r="P422" s="258"/>
      <c r="Q422" s="590">
        <f>H422*2*L422*N422/O422</f>
        <v>691.21484488257465</v>
      </c>
    </row>
    <row r="423" spans="1:17" ht="18" customHeight="1">
      <c r="A423" s="396">
        <f t="shared" si="128"/>
        <v>419</v>
      </c>
      <c r="B423" s="396">
        <v>639122</v>
      </c>
      <c r="C423" s="369" t="s">
        <v>1451</v>
      </c>
      <c r="D423" s="369" t="s">
        <v>643</v>
      </c>
      <c r="E423" s="369" t="s">
        <v>1422</v>
      </c>
      <c r="F423" s="369" t="s">
        <v>645</v>
      </c>
      <c r="G423" s="367" t="s">
        <v>746</v>
      </c>
      <c r="H423" s="396">
        <v>6</v>
      </c>
      <c r="I423" s="369"/>
      <c r="J423" s="369" t="s">
        <v>718</v>
      </c>
      <c r="K423" s="410" t="s">
        <v>649</v>
      </c>
      <c r="L423" s="396">
        <v>1</v>
      </c>
      <c r="M423" s="592"/>
      <c r="N423" s="257">
        <f>'[2]1.4 Septic'!$F$16</f>
        <v>298</v>
      </c>
      <c r="O423" s="595">
        <f>$G$491</f>
        <v>32.435000000000002</v>
      </c>
      <c r="P423" s="258"/>
      <c r="Q423" s="590">
        <f>H423*2*L423*N423/O423</f>
        <v>110.25127177431786</v>
      </c>
    </row>
    <row r="424" spans="1:17" ht="18" customHeight="1">
      <c r="A424" s="396">
        <f t="shared" si="128"/>
        <v>420</v>
      </c>
      <c r="B424" s="396">
        <v>639124</v>
      </c>
      <c r="C424" s="369" t="s">
        <v>1452</v>
      </c>
      <c r="D424" s="369" t="s">
        <v>672</v>
      </c>
      <c r="E424" s="369" t="s">
        <v>1422</v>
      </c>
      <c r="F424" s="369" t="s">
        <v>645</v>
      </c>
      <c r="G424" s="369" t="s">
        <v>1453</v>
      </c>
      <c r="H424" s="396">
        <v>5</v>
      </c>
      <c r="I424" s="369"/>
      <c r="J424" s="369" t="s">
        <v>658</v>
      </c>
      <c r="K424" s="410" t="s">
        <v>649</v>
      </c>
      <c r="L424" s="396">
        <v>2</v>
      </c>
      <c r="M424" s="592"/>
      <c r="N424" s="257">
        <f>'[2]1.4 Septic'!$F$16</f>
        <v>298</v>
      </c>
      <c r="O424" s="257">
        <f t="shared" ref="O424:O433" si="139">$G$492</f>
        <v>37.64</v>
      </c>
      <c r="P424" s="258"/>
      <c r="Q424" s="590">
        <f t="shared" ref="Q424:Q433" si="140">H424*2*L424*N424/O424</f>
        <v>158.3421891604676</v>
      </c>
    </row>
    <row r="425" spans="1:17" ht="18" customHeight="1">
      <c r="A425" s="396">
        <f t="shared" si="128"/>
        <v>421</v>
      </c>
      <c r="B425" s="396">
        <v>639138</v>
      </c>
      <c r="C425" s="369" t="s">
        <v>1454</v>
      </c>
      <c r="D425" s="369" t="s">
        <v>672</v>
      </c>
      <c r="E425" s="369" t="s">
        <v>1422</v>
      </c>
      <c r="F425" s="369" t="s">
        <v>645</v>
      </c>
      <c r="G425" s="369" t="s">
        <v>1455</v>
      </c>
      <c r="H425" s="396">
        <v>7</v>
      </c>
      <c r="I425" s="369"/>
      <c r="J425" s="369" t="s">
        <v>695</v>
      </c>
      <c r="K425" s="410" t="s">
        <v>655</v>
      </c>
      <c r="L425" s="396">
        <v>1</v>
      </c>
      <c r="M425" s="592"/>
      <c r="N425" s="257">
        <f>'[2]1.4 Septic'!$F$16</f>
        <v>298</v>
      </c>
      <c r="O425" s="257">
        <f t="shared" si="139"/>
        <v>37.64</v>
      </c>
      <c r="P425" s="258"/>
      <c r="Q425" s="590">
        <f t="shared" si="140"/>
        <v>110.83953241232732</v>
      </c>
    </row>
    <row r="426" spans="1:17" ht="18" customHeight="1">
      <c r="A426" s="396">
        <f t="shared" si="128"/>
        <v>422</v>
      </c>
      <c r="B426" s="396">
        <v>639183</v>
      </c>
      <c r="C426" s="369" t="s">
        <v>1456</v>
      </c>
      <c r="D426" s="369" t="s">
        <v>672</v>
      </c>
      <c r="E426" s="369" t="s">
        <v>1422</v>
      </c>
      <c r="F426" s="369" t="s">
        <v>645</v>
      </c>
      <c r="G426" s="369" t="s">
        <v>1457</v>
      </c>
      <c r="H426" s="396">
        <v>8</v>
      </c>
      <c r="I426" s="369"/>
      <c r="J426" s="369" t="s">
        <v>695</v>
      </c>
      <c r="K426" s="410" t="s">
        <v>649</v>
      </c>
      <c r="L426" s="396">
        <v>2</v>
      </c>
      <c r="M426" s="592"/>
      <c r="N426" s="257">
        <f>'[2]1.4 Septic'!$F$16</f>
        <v>298</v>
      </c>
      <c r="O426" s="257">
        <f t="shared" si="139"/>
        <v>37.64</v>
      </c>
      <c r="P426" s="258"/>
      <c r="Q426" s="590">
        <f t="shared" si="140"/>
        <v>253.34750265674813</v>
      </c>
    </row>
    <row r="427" spans="1:17" ht="18" customHeight="1">
      <c r="A427" s="396">
        <f t="shared" si="128"/>
        <v>423</v>
      </c>
      <c r="B427" s="396">
        <v>639203</v>
      </c>
      <c r="C427" s="369" t="s">
        <v>1458</v>
      </c>
      <c r="D427" s="369" t="s">
        <v>672</v>
      </c>
      <c r="E427" s="369" t="s">
        <v>1422</v>
      </c>
      <c r="F427" s="369" t="s">
        <v>645</v>
      </c>
      <c r="G427" s="369" t="s">
        <v>1459</v>
      </c>
      <c r="H427" s="396">
        <v>7</v>
      </c>
      <c r="I427" s="369"/>
      <c r="J427" s="369" t="s">
        <v>658</v>
      </c>
      <c r="K427" s="410" t="s">
        <v>655</v>
      </c>
      <c r="L427" s="396">
        <v>2</v>
      </c>
      <c r="M427" s="592"/>
      <c r="N427" s="257">
        <f>'[2]1.4 Septic'!$F$16</f>
        <v>298</v>
      </c>
      <c r="O427" s="257">
        <f t="shared" si="139"/>
        <v>37.64</v>
      </c>
      <c r="P427" s="258"/>
      <c r="Q427" s="590">
        <f t="shared" si="140"/>
        <v>221.67906482465463</v>
      </c>
    </row>
    <row r="428" spans="1:17" ht="18" customHeight="1">
      <c r="A428" s="396">
        <f t="shared" si="128"/>
        <v>424</v>
      </c>
      <c r="B428" s="396">
        <v>639226</v>
      </c>
      <c r="C428" s="369" t="s">
        <v>1460</v>
      </c>
      <c r="D428" s="369" t="s">
        <v>672</v>
      </c>
      <c r="E428" s="369" t="s">
        <v>1422</v>
      </c>
      <c r="F428" s="369" t="s">
        <v>645</v>
      </c>
      <c r="G428" s="369" t="s">
        <v>1461</v>
      </c>
      <c r="H428" s="396">
        <v>6</v>
      </c>
      <c r="I428" s="369"/>
      <c r="J428" s="369" t="s">
        <v>695</v>
      </c>
      <c r="K428" s="410" t="s">
        <v>655</v>
      </c>
      <c r="L428" s="396">
        <v>1</v>
      </c>
      <c r="M428" s="592"/>
      <c r="N428" s="257">
        <f>'[2]1.4 Septic'!$F$16</f>
        <v>298</v>
      </c>
      <c r="O428" s="257">
        <f t="shared" si="139"/>
        <v>37.64</v>
      </c>
      <c r="P428" s="258"/>
      <c r="Q428" s="590">
        <f t="shared" si="140"/>
        <v>95.00531349628055</v>
      </c>
    </row>
    <row r="429" spans="1:17" ht="18" customHeight="1">
      <c r="A429" s="396">
        <f t="shared" si="128"/>
        <v>425</v>
      </c>
      <c r="B429" s="396">
        <v>639278</v>
      </c>
      <c r="C429" s="369" t="s">
        <v>1462</v>
      </c>
      <c r="D429" s="369" t="s">
        <v>672</v>
      </c>
      <c r="E429" s="369" t="s">
        <v>1422</v>
      </c>
      <c r="F429" s="369" t="s">
        <v>645</v>
      </c>
      <c r="G429" s="369" t="s">
        <v>1463</v>
      </c>
      <c r="H429" s="396">
        <v>4.5</v>
      </c>
      <c r="I429" s="369"/>
      <c r="J429" s="369" t="s">
        <v>658</v>
      </c>
      <c r="K429" s="410" t="s">
        <v>655</v>
      </c>
      <c r="L429" s="396">
        <v>1</v>
      </c>
      <c r="M429" s="592"/>
      <c r="N429" s="257">
        <f>'[2]1.4 Septic'!$F$16</f>
        <v>298</v>
      </c>
      <c r="O429" s="257">
        <f t="shared" si="139"/>
        <v>37.64</v>
      </c>
      <c r="P429" s="258"/>
      <c r="Q429" s="590">
        <f t="shared" si="140"/>
        <v>71.253985122210409</v>
      </c>
    </row>
    <row r="430" spans="1:17" ht="18" customHeight="1">
      <c r="A430" s="396">
        <f t="shared" si="128"/>
        <v>426</v>
      </c>
      <c r="B430" s="396">
        <v>639321</v>
      </c>
      <c r="C430" s="369" t="s">
        <v>1464</v>
      </c>
      <c r="D430" s="369" t="s">
        <v>672</v>
      </c>
      <c r="E430" s="369" t="s">
        <v>1422</v>
      </c>
      <c r="F430" s="369" t="s">
        <v>645</v>
      </c>
      <c r="G430" s="369" t="s">
        <v>986</v>
      </c>
      <c r="H430" s="396">
        <v>5</v>
      </c>
      <c r="I430" s="369"/>
      <c r="J430" s="369" t="s">
        <v>695</v>
      </c>
      <c r="K430" s="410" t="s">
        <v>649</v>
      </c>
      <c r="L430" s="396">
        <v>1</v>
      </c>
      <c r="M430" s="592"/>
      <c r="N430" s="257">
        <f>'[2]1.4 Septic'!$F$16</f>
        <v>298</v>
      </c>
      <c r="O430" s="257">
        <f t="shared" si="139"/>
        <v>37.64</v>
      </c>
      <c r="P430" s="258"/>
      <c r="Q430" s="590">
        <f t="shared" si="140"/>
        <v>79.171094580233799</v>
      </c>
    </row>
    <row r="431" spans="1:17" ht="18" customHeight="1">
      <c r="A431" s="396">
        <f t="shared" si="128"/>
        <v>427</v>
      </c>
      <c r="B431" s="396">
        <v>639371</v>
      </c>
      <c r="C431" s="369" t="s">
        <v>1465</v>
      </c>
      <c r="D431" s="369" t="s">
        <v>672</v>
      </c>
      <c r="E431" s="369" t="s">
        <v>1422</v>
      </c>
      <c r="F431" s="369" t="s">
        <v>645</v>
      </c>
      <c r="G431" s="369" t="s">
        <v>1466</v>
      </c>
      <c r="H431" s="396">
        <v>6</v>
      </c>
      <c r="I431" s="369"/>
      <c r="J431" s="369" t="s">
        <v>658</v>
      </c>
      <c r="K431" s="410" t="s">
        <v>655</v>
      </c>
      <c r="L431" s="396">
        <v>2</v>
      </c>
      <c r="M431" s="592"/>
      <c r="N431" s="257">
        <f>'[2]1.4 Septic'!$F$16</f>
        <v>298</v>
      </c>
      <c r="O431" s="257">
        <f t="shared" si="139"/>
        <v>37.64</v>
      </c>
      <c r="P431" s="258"/>
      <c r="Q431" s="590">
        <f t="shared" si="140"/>
        <v>190.0106269925611</v>
      </c>
    </row>
    <row r="432" spans="1:17" ht="18" customHeight="1">
      <c r="A432" s="396">
        <f t="shared" si="128"/>
        <v>428</v>
      </c>
      <c r="B432" s="396">
        <v>639396</v>
      </c>
      <c r="C432" s="369" t="s">
        <v>1467</v>
      </c>
      <c r="D432" s="369" t="s">
        <v>672</v>
      </c>
      <c r="E432" s="369" t="s">
        <v>1422</v>
      </c>
      <c r="F432" s="369" t="s">
        <v>645</v>
      </c>
      <c r="G432" s="369" t="s">
        <v>1468</v>
      </c>
      <c r="H432" s="396">
        <v>6</v>
      </c>
      <c r="I432" s="369"/>
      <c r="J432" s="369" t="s">
        <v>658</v>
      </c>
      <c r="K432" s="410" t="s">
        <v>655</v>
      </c>
      <c r="L432" s="396">
        <v>1</v>
      </c>
      <c r="M432" s="592"/>
      <c r="N432" s="257">
        <f>'[2]1.4 Septic'!$F$16</f>
        <v>298</v>
      </c>
      <c r="O432" s="257">
        <f t="shared" si="139"/>
        <v>37.64</v>
      </c>
      <c r="P432" s="258"/>
      <c r="Q432" s="590">
        <f t="shared" si="140"/>
        <v>95.00531349628055</v>
      </c>
    </row>
    <row r="433" spans="1:17" ht="18" customHeight="1">
      <c r="A433" s="396">
        <f t="shared" si="128"/>
        <v>429</v>
      </c>
      <c r="B433" s="396">
        <v>639411</v>
      </c>
      <c r="C433" s="369" t="s">
        <v>1469</v>
      </c>
      <c r="D433" s="369" t="s">
        <v>672</v>
      </c>
      <c r="E433" s="369" t="s">
        <v>1422</v>
      </c>
      <c r="F433" s="369" t="s">
        <v>645</v>
      </c>
      <c r="G433" s="369" t="s">
        <v>1470</v>
      </c>
      <c r="H433" s="396">
        <v>15</v>
      </c>
      <c r="I433" s="369"/>
      <c r="J433" s="369" t="s">
        <v>658</v>
      </c>
      <c r="K433" s="410" t="s">
        <v>649</v>
      </c>
      <c r="L433" s="396">
        <v>1</v>
      </c>
      <c r="M433" s="592"/>
      <c r="N433" s="257">
        <f>'[2]1.4 Septic'!$F$16</f>
        <v>298</v>
      </c>
      <c r="O433" s="257">
        <f t="shared" si="139"/>
        <v>37.64</v>
      </c>
      <c r="P433" s="258"/>
      <c r="Q433" s="590">
        <f t="shared" si="140"/>
        <v>237.51328374070138</v>
      </c>
    </row>
    <row r="434" spans="1:17" ht="18" customHeight="1">
      <c r="A434" s="396">
        <f t="shared" si="128"/>
        <v>430</v>
      </c>
      <c r="B434" s="396">
        <v>639413</v>
      </c>
      <c r="C434" s="369" t="s">
        <v>1471</v>
      </c>
      <c r="D434" s="369" t="s">
        <v>643</v>
      </c>
      <c r="E434" s="369" t="s">
        <v>1422</v>
      </c>
      <c r="F434" s="369" t="s">
        <v>645</v>
      </c>
      <c r="G434" s="369" t="s">
        <v>1472</v>
      </c>
      <c r="H434" s="396">
        <v>10</v>
      </c>
      <c r="I434" s="369"/>
      <c r="J434" s="369" t="s">
        <v>718</v>
      </c>
      <c r="K434" s="410" t="s">
        <v>776</v>
      </c>
      <c r="L434" s="396">
        <v>1</v>
      </c>
      <c r="M434" s="592"/>
      <c r="N434" s="257">
        <f>'[2]1.4 Septic'!$F$16</f>
        <v>298</v>
      </c>
      <c r="O434" s="595">
        <f>$G$491</f>
        <v>32.435000000000002</v>
      </c>
      <c r="P434" s="258"/>
      <c r="Q434" s="590">
        <f>H434*2*L434*N434/O434</f>
        <v>183.75211962386311</v>
      </c>
    </row>
    <row r="435" spans="1:17" ht="18" customHeight="1">
      <c r="A435" s="396">
        <f t="shared" si="128"/>
        <v>431</v>
      </c>
      <c r="B435" s="396">
        <v>639429</v>
      </c>
      <c r="C435" s="369" t="s">
        <v>1473</v>
      </c>
      <c r="D435" s="369" t="s">
        <v>672</v>
      </c>
      <c r="E435" s="369" t="s">
        <v>1422</v>
      </c>
      <c r="F435" s="369" t="s">
        <v>645</v>
      </c>
      <c r="G435" s="369" t="s">
        <v>1474</v>
      </c>
      <c r="H435" s="396">
        <v>3</v>
      </c>
      <c r="I435" s="369"/>
      <c r="J435" s="369" t="s">
        <v>695</v>
      </c>
      <c r="K435" s="410" t="s">
        <v>655</v>
      </c>
      <c r="L435" s="396">
        <v>1</v>
      </c>
      <c r="M435" s="592"/>
      <c r="N435" s="257">
        <f>'[2]1.4 Septic'!$F$16</f>
        <v>298</v>
      </c>
      <c r="O435" s="257">
        <f t="shared" ref="O435:O436" si="141">$G$492</f>
        <v>37.64</v>
      </c>
      <c r="P435" s="258"/>
      <c r="Q435" s="590">
        <f t="shared" ref="Q435:Q436" si="142">H435*2*L435*N435/O435</f>
        <v>47.502656748140275</v>
      </c>
    </row>
    <row r="436" spans="1:17" ht="18" customHeight="1">
      <c r="A436" s="396">
        <f t="shared" si="128"/>
        <v>432</v>
      </c>
      <c r="B436" s="396">
        <v>649525</v>
      </c>
      <c r="C436" s="369" t="s">
        <v>1475</v>
      </c>
      <c r="D436" s="369" t="s">
        <v>672</v>
      </c>
      <c r="E436" s="369" t="s">
        <v>1422</v>
      </c>
      <c r="F436" s="369" t="s">
        <v>645</v>
      </c>
      <c r="G436" s="369" t="s">
        <v>1476</v>
      </c>
      <c r="H436" s="396">
        <v>7</v>
      </c>
      <c r="I436" s="369"/>
      <c r="J436" s="369" t="s">
        <v>658</v>
      </c>
      <c r="K436" s="410" t="s">
        <v>649</v>
      </c>
      <c r="L436" s="396">
        <v>1</v>
      </c>
      <c r="M436" s="592"/>
      <c r="N436" s="257">
        <f>'[2]1.4 Septic'!$F$16</f>
        <v>298</v>
      </c>
      <c r="O436" s="257">
        <f t="shared" si="141"/>
        <v>37.64</v>
      </c>
      <c r="P436" s="258"/>
      <c r="Q436" s="590">
        <f t="shared" si="142"/>
        <v>110.83953241232732</v>
      </c>
    </row>
    <row r="437" spans="1:17" ht="18" customHeight="1">
      <c r="A437" s="396">
        <f t="shared" si="128"/>
        <v>433</v>
      </c>
      <c r="B437" s="396">
        <v>649527</v>
      </c>
      <c r="C437" s="369" t="s">
        <v>1477</v>
      </c>
      <c r="D437" s="369" t="s">
        <v>672</v>
      </c>
      <c r="E437" s="369" t="s">
        <v>1422</v>
      </c>
      <c r="F437" s="369" t="s">
        <v>645</v>
      </c>
      <c r="G437" s="369" t="s">
        <v>1478</v>
      </c>
      <c r="H437" s="396">
        <v>5</v>
      </c>
      <c r="I437" s="369"/>
      <c r="J437" s="369" t="s">
        <v>1790</v>
      </c>
      <c r="K437" s="410" t="s">
        <v>652</v>
      </c>
      <c r="L437" s="396">
        <v>1</v>
      </c>
      <c r="M437" s="592"/>
      <c r="N437" s="257">
        <f>'[2]1.4 Septic'!$F$16</f>
        <v>298</v>
      </c>
      <c r="O437" s="257">
        <v>6.3689999999999998</v>
      </c>
      <c r="P437" s="590">
        <f>H437*2*L437*N437/O437</f>
        <v>467.89134872036431</v>
      </c>
      <c r="Q437" s="258"/>
    </row>
    <row r="438" spans="1:17" ht="18" customHeight="1">
      <c r="A438" s="396">
        <f t="shared" si="128"/>
        <v>434</v>
      </c>
      <c r="B438" s="396">
        <v>649538</v>
      </c>
      <c r="C438" s="369" t="s">
        <v>1479</v>
      </c>
      <c r="D438" s="369" t="s">
        <v>643</v>
      </c>
      <c r="E438" s="369" t="s">
        <v>1422</v>
      </c>
      <c r="F438" s="369" t="s">
        <v>645</v>
      </c>
      <c r="G438" s="369" t="s">
        <v>1480</v>
      </c>
      <c r="H438" s="396">
        <v>16</v>
      </c>
      <c r="I438" s="369"/>
      <c r="J438" s="369" t="s">
        <v>718</v>
      </c>
      <c r="K438" s="410" t="s">
        <v>649</v>
      </c>
      <c r="L438" s="396">
        <v>1</v>
      </c>
      <c r="M438" s="592"/>
      <c r="N438" s="257">
        <f>'[2]1.4 Septic'!$F$16</f>
        <v>298</v>
      </c>
      <c r="O438" s="595">
        <f>$G$491</f>
        <v>32.435000000000002</v>
      </c>
      <c r="P438" s="258"/>
      <c r="Q438" s="590">
        <f>H438*2*L438*N438/O438</f>
        <v>294.00339139818095</v>
      </c>
    </row>
    <row r="439" spans="1:17" ht="18" customHeight="1">
      <c r="A439" s="396">
        <f t="shared" si="128"/>
        <v>435</v>
      </c>
      <c r="B439" s="396">
        <v>649544</v>
      </c>
      <c r="C439" s="369" t="s">
        <v>1481</v>
      </c>
      <c r="D439" s="369" t="s">
        <v>672</v>
      </c>
      <c r="E439" s="369" t="s">
        <v>1422</v>
      </c>
      <c r="F439" s="369" t="s">
        <v>645</v>
      </c>
      <c r="G439" s="369" t="s">
        <v>1482</v>
      </c>
      <c r="H439" s="396">
        <v>4</v>
      </c>
      <c r="I439" s="369"/>
      <c r="J439" s="369" t="s">
        <v>658</v>
      </c>
      <c r="K439" s="410" t="s">
        <v>649</v>
      </c>
      <c r="L439" s="396">
        <v>1</v>
      </c>
      <c r="M439" s="592"/>
      <c r="N439" s="257">
        <f>'[2]1.4 Septic'!$F$16</f>
        <v>298</v>
      </c>
      <c r="O439" s="257">
        <f>$G$492</f>
        <v>37.64</v>
      </c>
      <c r="P439" s="258"/>
      <c r="Q439" s="590">
        <f>H439*2*L439*N439/O439</f>
        <v>63.336875664187033</v>
      </c>
    </row>
    <row r="440" spans="1:17" ht="18" customHeight="1">
      <c r="A440" s="396">
        <f t="shared" si="128"/>
        <v>436</v>
      </c>
      <c r="B440" s="396">
        <v>649545</v>
      </c>
      <c r="C440" s="369" t="s">
        <v>1483</v>
      </c>
      <c r="D440" s="369" t="s">
        <v>672</v>
      </c>
      <c r="E440" s="369" t="s">
        <v>1422</v>
      </c>
      <c r="F440" s="369" t="s">
        <v>645</v>
      </c>
      <c r="G440" s="369" t="s">
        <v>1484</v>
      </c>
      <c r="H440" s="396">
        <v>5</v>
      </c>
      <c r="I440" s="369"/>
      <c r="J440" s="369" t="s">
        <v>718</v>
      </c>
      <c r="K440" s="410" t="s">
        <v>649</v>
      </c>
      <c r="L440" s="396">
        <v>1</v>
      </c>
      <c r="M440" s="592"/>
      <c r="N440" s="257">
        <f>'[2]1.4 Septic'!$F$16</f>
        <v>298</v>
      </c>
      <c r="O440" s="595">
        <f>$G$491</f>
        <v>32.435000000000002</v>
      </c>
      <c r="P440" s="258"/>
      <c r="Q440" s="590">
        <f>H440*2*L440*N440/O440</f>
        <v>91.876059811931555</v>
      </c>
    </row>
    <row r="441" spans="1:17" ht="18" customHeight="1">
      <c r="A441" s="396">
        <f t="shared" si="128"/>
        <v>437</v>
      </c>
      <c r="B441" s="396">
        <v>649552</v>
      </c>
      <c r="C441" s="369" t="s">
        <v>1485</v>
      </c>
      <c r="D441" s="369" t="s">
        <v>672</v>
      </c>
      <c r="E441" s="369" t="s">
        <v>1422</v>
      </c>
      <c r="F441" s="369" t="s">
        <v>645</v>
      </c>
      <c r="G441" s="369" t="s">
        <v>1486</v>
      </c>
      <c r="H441" s="396">
        <v>5</v>
      </c>
      <c r="I441" s="369"/>
      <c r="J441" s="369" t="s">
        <v>658</v>
      </c>
      <c r="K441" s="410" t="s">
        <v>649</v>
      </c>
      <c r="L441" s="396">
        <v>1</v>
      </c>
      <c r="M441" s="592"/>
      <c r="N441" s="257">
        <f>'[2]1.4 Septic'!$F$16</f>
        <v>298</v>
      </c>
      <c r="O441" s="257">
        <f>$G$492</f>
        <v>37.64</v>
      </c>
      <c r="P441" s="258"/>
      <c r="Q441" s="590">
        <f>H441*2*L441*N441/O441</f>
        <v>79.171094580233799</v>
      </c>
    </row>
    <row r="442" spans="1:17" ht="18" customHeight="1">
      <c r="A442" s="396">
        <f t="shared" si="128"/>
        <v>438</v>
      </c>
      <c r="B442" s="396">
        <v>649561</v>
      </c>
      <c r="C442" s="369" t="s">
        <v>1487</v>
      </c>
      <c r="D442" s="369" t="s">
        <v>672</v>
      </c>
      <c r="E442" s="369" t="s">
        <v>1422</v>
      </c>
      <c r="F442" s="369" t="s">
        <v>645</v>
      </c>
      <c r="G442" s="369" t="s">
        <v>1488</v>
      </c>
      <c r="H442" s="396">
        <v>20</v>
      </c>
      <c r="I442" s="369"/>
      <c r="J442" s="369" t="s">
        <v>718</v>
      </c>
      <c r="K442" s="410" t="s">
        <v>649</v>
      </c>
      <c r="L442" s="396">
        <v>1</v>
      </c>
      <c r="M442" s="592"/>
      <c r="N442" s="257">
        <f>'[2]1.4 Septic'!$F$16</f>
        <v>298</v>
      </c>
      <c r="O442" s="595">
        <f t="shared" ref="O442:O443" si="143">$G$491</f>
        <v>32.435000000000002</v>
      </c>
      <c r="P442" s="258"/>
      <c r="Q442" s="590">
        <f t="shared" ref="Q442:Q447" si="144">H442*2*L442*N442/O442</f>
        <v>367.50423924772622</v>
      </c>
    </row>
    <row r="443" spans="1:17" ht="18" customHeight="1">
      <c r="A443" s="396">
        <f t="shared" si="128"/>
        <v>439</v>
      </c>
      <c r="B443" s="396">
        <v>649568</v>
      </c>
      <c r="C443" s="369" t="s">
        <v>1489</v>
      </c>
      <c r="D443" s="369" t="s">
        <v>672</v>
      </c>
      <c r="E443" s="369" t="s">
        <v>1422</v>
      </c>
      <c r="F443" s="369" t="s">
        <v>645</v>
      </c>
      <c r="G443" s="369" t="s">
        <v>1193</v>
      </c>
      <c r="H443" s="396">
        <v>4</v>
      </c>
      <c r="I443" s="369"/>
      <c r="J443" s="369" t="s">
        <v>718</v>
      </c>
      <c r="K443" s="410" t="s">
        <v>655</v>
      </c>
      <c r="L443" s="396">
        <v>1</v>
      </c>
      <c r="M443" s="592"/>
      <c r="N443" s="257">
        <f>'[2]1.4 Septic'!$F$16</f>
        <v>298</v>
      </c>
      <c r="O443" s="595">
        <f t="shared" si="143"/>
        <v>32.435000000000002</v>
      </c>
      <c r="P443" s="258"/>
      <c r="Q443" s="590">
        <f t="shared" si="144"/>
        <v>73.500847849545238</v>
      </c>
    </row>
    <row r="444" spans="1:17" ht="18" customHeight="1">
      <c r="A444" s="396">
        <f t="shared" si="128"/>
        <v>440</v>
      </c>
      <c r="B444" s="396">
        <v>649571</v>
      </c>
      <c r="C444" s="369" t="s">
        <v>1490</v>
      </c>
      <c r="D444" s="369" t="s">
        <v>672</v>
      </c>
      <c r="E444" s="369" t="s">
        <v>1422</v>
      </c>
      <c r="F444" s="369" t="s">
        <v>645</v>
      </c>
      <c r="G444" s="369" t="s">
        <v>1491</v>
      </c>
      <c r="H444" s="396">
        <v>7</v>
      </c>
      <c r="I444" s="369"/>
      <c r="J444" s="369" t="s">
        <v>695</v>
      </c>
      <c r="K444" s="410" t="s">
        <v>649</v>
      </c>
      <c r="L444" s="396">
        <v>1</v>
      </c>
      <c r="M444" s="592"/>
      <c r="N444" s="257">
        <f>'[2]1.4 Septic'!$F$16</f>
        <v>298</v>
      </c>
      <c r="O444" s="257">
        <f t="shared" ref="O444:O447" si="145">$G$492</f>
        <v>37.64</v>
      </c>
      <c r="P444" s="258"/>
      <c r="Q444" s="590">
        <f t="shared" si="144"/>
        <v>110.83953241232732</v>
      </c>
    </row>
    <row r="445" spans="1:17" ht="18" customHeight="1">
      <c r="A445" s="396">
        <f t="shared" si="128"/>
        <v>441</v>
      </c>
      <c r="B445" s="396">
        <v>649572</v>
      </c>
      <c r="C445" s="369" t="s">
        <v>1492</v>
      </c>
      <c r="D445" s="369" t="s">
        <v>672</v>
      </c>
      <c r="E445" s="369" t="s">
        <v>1422</v>
      </c>
      <c r="F445" s="369" t="s">
        <v>645</v>
      </c>
      <c r="G445" s="369" t="s">
        <v>1493</v>
      </c>
      <c r="H445" s="396">
        <v>10</v>
      </c>
      <c r="I445" s="369"/>
      <c r="J445" s="369" t="s">
        <v>695</v>
      </c>
      <c r="K445" s="410" t="s">
        <v>649</v>
      </c>
      <c r="L445" s="396">
        <v>1</v>
      </c>
      <c r="M445" s="592"/>
      <c r="N445" s="257">
        <f>'[2]1.4 Septic'!$F$16</f>
        <v>298</v>
      </c>
      <c r="O445" s="257">
        <f t="shared" si="145"/>
        <v>37.64</v>
      </c>
      <c r="P445" s="258"/>
      <c r="Q445" s="590">
        <f t="shared" si="144"/>
        <v>158.3421891604676</v>
      </c>
    </row>
    <row r="446" spans="1:17" ht="18" customHeight="1">
      <c r="A446" s="396">
        <f t="shared" si="128"/>
        <v>442</v>
      </c>
      <c r="B446" s="396">
        <v>649574</v>
      </c>
      <c r="C446" s="369" t="s">
        <v>1494</v>
      </c>
      <c r="D446" s="369" t="s">
        <v>672</v>
      </c>
      <c r="E446" s="369" t="s">
        <v>1422</v>
      </c>
      <c r="F446" s="369" t="s">
        <v>645</v>
      </c>
      <c r="G446" s="369" t="s">
        <v>1495</v>
      </c>
      <c r="H446" s="396">
        <v>22</v>
      </c>
      <c r="I446" s="369"/>
      <c r="J446" s="369" t="s">
        <v>695</v>
      </c>
      <c r="K446" s="410" t="s">
        <v>655</v>
      </c>
      <c r="L446" s="396">
        <v>1</v>
      </c>
      <c r="M446" s="592"/>
      <c r="N446" s="257">
        <f>'[2]1.4 Septic'!$F$16</f>
        <v>298</v>
      </c>
      <c r="O446" s="257">
        <f t="shared" si="145"/>
        <v>37.64</v>
      </c>
      <c r="P446" s="258"/>
      <c r="Q446" s="590">
        <f t="shared" si="144"/>
        <v>348.3528161530287</v>
      </c>
    </row>
    <row r="447" spans="1:17" ht="18" customHeight="1">
      <c r="A447" s="396">
        <f t="shared" si="128"/>
        <v>443</v>
      </c>
      <c r="B447" s="396">
        <v>649619</v>
      </c>
      <c r="C447" s="369" t="s">
        <v>1496</v>
      </c>
      <c r="D447" s="369" t="s">
        <v>672</v>
      </c>
      <c r="E447" s="369" t="s">
        <v>1422</v>
      </c>
      <c r="F447" s="369" t="s">
        <v>645</v>
      </c>
      <c r="G447" s="369" t="s">
        <v>1497</v>
      </c>
      <c r="H447" s="396">
        <v>3</v>
      </c>
      <c r="I447" s="369"/>
      <c r="J447" s="369" t="s">
        <v>695</v>
      </c>
      <c r="K447" s="410" t="s">
        <v>649</v>
      </c>
      <c r="L447" s="396">
        <v>1</v>
      </c>
      <c r="M447" s="592"/>
      <c r="N447" s="257">
        <f>'[2]1.4 Septic'!$F$16</f>
        <v>298</v>
      </c>
      <c r="O447" s="257">
        <f t="shared" si="145"/>
        <v>37.64</v>
      </c>
      <c r="P447" s="258"/>
      <c r="Q447" s="590">
        <f t="shared" si="144"/>
        <v>47.502656748140275</v>
      </c>
    </row>
    <row r="448" spans="1:17" ht="18" customHeight="1">
      <c r="A448" s="396">
        <f t="shared" si="128"/>
        <v>444</v>
      </c>
      <c r="B448" s="396">
        <v>649628</v>
      </c>
      <c r="C448" s="369" t="s">
        <v>1498</v>
      </c>
      <c r="D448" s="369" t="s">
        <v>672</v>
      </c>
      <c r="E448" s="369" t="s">
        <v>1422</v>
      </c>
      <c r="F448" s="369" t="s">
        <v>645</v>
      </c>
      <c r="G448" s="369" t="s">
        <v>1499</v>
      </c>
      <c r="H448" s="396">
        <v>20</v>
      </c>
      <c r="I448" s="369"/>
      <c r="J448" s="369" t="s">
        <v>648</v>
      </c>
      <c r="K448" s="410" t="s">
        <v>692</v>
      </c>
      <c r="L448" s="396">
        <v>2</v>
      </c>
      <c r="M448" s="592"/>
      <c r="N448" s="257">
        <f>'[2]1.4 Septic'!$F$16</f>
        <v>298</v>
      </c>
      <c r="O448" s="257">
        <f>$G$487</f>
        <v>14.763</v>
      </c>
      <c r="P448" s="258"/>
      <c r="Q448" s="590">
        <f>H448*2*L448*N448/O448</f>
        <v>1614.8479306374043</v>
      </c>
    </row>
    <row r="449" spans="1:17" ht="18" customHeight="1">
      <c r="A449" s="396">
        <f t="shared" si="128"/>
        <v>445</v>
      </c>
      <c r="B449" s="396">
        <v>649630</v>
      </c>
      <c r="C449" s="369" t="s">
        <v>1500</v>
      </c>
      <c r="D449" s="369" t="s">
        <v>672</v>
      </c>
      <c r="E449" s="369" t="s">
        <v>1422</v>
      </c>
      <c r="F449" s="369" t="s">
        <v>645</v>
      </c>
      <c r="G449" s="369" t="s">
        <v>1501</v>
      </c>
      <c r="H449" s="396">
        <v>5</v>
      </c>
      <c r="I449" s="369"/>
      <c r="J449" s="369" t="s">
        <v>658</v>
      </c>
      <c r="K449" s="410" t="s">
        <v>649</v>
      </c>
      <c r="L449" s="396">
        <v>1</v>
      </c>
      <c r="M449" s="592"/>
      <c r="N449" s="257">
        <f>'[2]1.4 Septic'!$F$16</f>
        <v>298</v>
      </c>
      <c r="O449" s="257">
        <f>$G$492</f>
        <v>37.64</v>
      </c>
      <c r="P449" s="258"/>
      <c r="Q449" s="590">
        <f>H449*2*L449*N449/O449</f>
        <v>79.171094580233799</v>
      </c>
    </row>
    <row r="450" spans="1:17" ht="18" customHeight="1">
      <c r="A450" s="396">
        <f t="shared" si="128"/>
        <v>446</v>
      </c>
      <c r="B450" s="396">
        <v>649632</v>
      </c>
      <c r="C450" s="369" t="s">
        <v>1502</v>
      </c>
      <c r="D450" s="369" t="s">
        <v>672</v>
      </c>
      <c r="E450" s="369" t="s">
        <v>1422</v>
      </c>
      <c r="F450" s="369" t="s">
        <v>645</v>
      </c>
      <c r="G450" s="369" t="s">
        <v>1503</v>
      </c>
      <c r="H450" s="396">
        <v>8</v>
      </c>
      <c r="I450" s="369"/>
      <c r="J450" s="369" t="s">
        <v>718</v>
      </c>
      <c r="K450" s="410" t="s">
        <v>649</v>
      </c>
      <c r="L450" s="396">
        <v>1</v>
      </c>
      <c r="M450" s="592"/>
      <c r="N450" s="257">
        <f>'[2]1.4 Septic'!$F$16</f>
        <v>298</v>
      </c>
      <c r="O450" s="595">
        <f>$G$491</f>
        <v>32.435000000000002</v>
      </c>
      <c r="P450" s="258"/>
      <c r="Q450" s="590">
        <f>H450*2*L450*N450/O450</f>
        <v>147.00169569909048</v>
      </c>
    </row>
    <row r="451" spans="1:17" ht="18" customHeight="1">
      <c r="A451" s="396">
        <f t="shared" si="128"/>
        <v>447</v>
      </c>
      <c r="B451" s="396">
        <v>659679</v>
      </c>
      <c r="C451" s="369" t="s">
        <v>1504</v>
      </c>
      <c r="D451" s="369" t="s">
        <v>672</v>
      </c>
      <c r="E451" s="369" t="s">
        <v>1422</v>
      </c>
      <c r="F451" s="369" t="s">
        <v>645</v>
      </c>
      <c r="G451" s="369" t="s">
        <v>1505</v>
      </c>
      <c r="H451" s="396">
        <v>4</v>
      </c>
      <c r="I451" s="369"/>
      <c r="J451" s="369" t="s">
        <v>658</v>
      </c>
      <c r="K451" s="410" t="s">
        <v>655</v>
      </c>
      <c r="L451" s="396">
        <v>1</v>
      </c>
      <c r="M451" s="592"/>
      <c r="N451" s="257">
        <f>'[2]1.4 Septic'!$F$16</f>
        <v>298</v>
      </c>
      <c r="O451" s="257">
        <f t="shared" ref="O451:O458" si="146">$G$492</f>
        <v>37.64</v>
      </c>
      <c r="P451" s="258"/>
      <c r="Q451" s="590">
        <f t="shared" ref="Q451:Q458" si="147">H451*2*L451*N451/O451</f>
        <v>63.336875664187033</v>
      </c>
    </row>
    <row r="452" spans="1:17" ht="18" customHeight="1">
      <c r="A452" s="396">
        <f t="shared" si="128"/>
        <v>448</v>
      </c>
      <c r="B452" s="396">
        <v>659685</v>
      </c>
      <c r="C452" s="369" t="s">
        <v>1506</v>
      </c>
      <c r="D452" s="369" t="s">
        <v>672</v>
      </c>
      <c r="E452" s="369" t="s">
        <v>1422</v>
      </c>
      <c r="F452" s="369" t="s">
        <v>645</v>
      </c>
      <c r="G452" s="369" t="s">
        <v>1507</v>
      </c>
      <c r="H452" s="396">
        <v>2</v>
      </c>
      <c r="I452" s="369"/>
      <c r="J452" s="369" t="s">
        <v>695</v>
      </c>
      <c r="K452" s="410" t="s">
        <v>655</v>
      </c>
      <c r="L452" s="396">
        <v>1</v>
      </c>
      <c r="M452" s="592"/>
      <c r="N452" s="257">
        <f>'[2]1.4 Septic'!$F$16</f>
        <v>298</v>
      </c>
      <c r="O452" s="257">
        <f t="shared" si="146"/>
        <v>37.64</v>
      </c>
      <c r="P452" s="258"/>
      <c r="Q452" s="590">
        <f t="shared" si="147"/>
        <v>31.668437832093517</v>
      </c>
    </row>
    <row r="453" spans="1:17" ht="18" customHeight="1">
      <c r="A453" s="396">
        <f t="shared" si="128"/>
        <v>449</v>
      </c>
      <c r="B453" s="396">
        <v>659689</v>
      </c>
      <c r="C453" s="369" t="s">
        <v>1508</v>
      </c>
      <c r="D453" s="369" t="s">
        <v>672</v>
      </c>
      <c r="E453" s="369" t="s">
        <v>1422</v>
      </c>
      <c r="F453" s="369" t="s">
        <v>645</v>
      </c>
      <c r="G453" s="369" t="s">
        <v>1509</v>
      </c>
      <c r="H453" s="396">
        <v>5</v>
      </c>
      <c r="I453" s="369"/>
      <c r="J453" s="369" t="s">
        <v>658</v>
      </c>
      <c r="K453" s="410" t="s">
        <v>655</v>
      </c>
      <c r="L453" s="396">
        <v>1</v>
      </c>
      <c r="M453" s="592"/>
      <c r="N453" s="257">
        <f>'[2]1.4 Septic'!$F$16</f>
        <v>298</v>
      </c>
      <c r="O453" s="257">
        <f t="shared" si="146"/>
        <v>37.64</v>
      </c>
      <c r="P453" s="258"/>
      <c r="Q453" s="590">
        <f t="shared" si="147"/>
        <v>79.171094580233799</v>
      </c>
    </row>
    <row r="454" spans="1:17" ht="18" customHeight="1">
      <c r="A454" s="396">
        <f t="shared" ref="A454:A482" si="148">+A453+1</f>
        <v>450</v>
      </c>
      <c r="B454" s="396">
        <v>659690</v>
      </c>
      <c r="C454" s="369" t="s">
        <v>1510</v>
      </c>
      <c r="D454" s="369" t="s">
        <v>672</v>
      </c>
      <c r="E454" s="369" t="s">
        <v>1422</v>
      </c>
      <c r="F454" s="369" t="s">
        <v>645</v>
      </c>
      <c r="G454" s="369" t="s">
        <v>1511</v>
      </c>
      <c r="H454" s="396">
        <v>6</v>
      </c>
      <c r="I454" s="369"/>
      <c r="J454" s="369" t="s">
        <v>658</v>
      </c>
      <c r="K454" s="410" t="s">
        <v>655</v>
      </c>
      <c r="L454" s="396">
        <v>1</v>
      </c>
      <c r="M454" s="592"/>
      <c r="N454" s="257">
        <f>'[2]1.4 Septic'!$F$16</f>
        <v>298</v>
      </c>
      <c r="O454" s="257">
        <f t="shared" si="146"/>
        <v>37.64</v>
      </c>
      <c r="P454" s="258"/>
      <c r="Q454" s="590">
        <f t="shared" si="147"/>
        <v>95.00531349628055</v>
      </c>
    </row>
    <row r="455" spans="1:17" ht="18" customHeight="1">
      <c r="A455" s="396">
        <f t="shared" si="148"/>
        <v>451</v>
      </c>
      <c r="B455" s="396">
        <v>659696</v>
      </c>
      <c r="C455" s="369" t="s">
        <v>1512</v>
      </c>
      <c r="D455" s="369" t="s">
        <v>672</v>
      </c>
      <c r="E455" s="369" t="s">
        <v>1422</v>
      </c>
      <c r="F455" s="369" t="s">
        <v>645</v>
      </c>
      <c r="G455" s="369" t="s">
        <v>1513</v>
      </c>
      <c r="H455" s="396">
        <v>16</v>
      </c>
      <c r="I455" s="369"/>
      <c r="J455" s="369" t="s">
        <v>695</v>
      </c>
      <c r="K455" s="410" t="s">
        <v>649</v>
      </c>
      <c r="L455" s="396">
        <v>1</v>
      </c>
      <c r="M455" s="592"/>
      <c r="N455" s="257">
        <f>'[2]1.4 Septic'!$F$16</f>
        <v>298</v>
      </c>
      <c r="O455" s="257">
        <f t="shared" si="146"/>
        <v>37.64</v>
      </c>
      <c r="P455" s="258"/>
      <c r="Q455" s="590">
        <f t="shared" si="147"/>
        <v>253.34750265674813</v>
      </c>
    </row>
    <row r="456" spans="1:17" ht="18" customHeight="1">
      <c r="A456" s="396">
        <f t="shared" si="148"/>
        <v>452</v>
      </c>
      <c r="B456" s="396">
        <v>659701</v>
      </c>
      <c r="C456" s="369" t="s">
        <v>1514</v>
      </c>
      <c r="D456" s="369" t="s">
        <v>672</v>
      </c>
      <c r="E456" s="369" t="s">
        <v>1422</v>
      </c>
      <c r="F456" s="369" t="s">
        <v>645</v>
      </c>
      <c r="G456" s="369" t="s">
        <v>1515</v>
      </c>
      <c r="H456" s="396">
        <v>5</v>
      </c>
      <c r="I456" s="369"/>
      <c r="J456" s="369" t="s">
        <v>658</v>
      </c>
      <c r="K456" s="410" t="s">
        <v>655</v>
      </c>
      <c r="L456" s="396">
        <v>1</v>
      </c>
      <c r="M456" s="592"/>
      <c r="N456" s="257">
        <f>'[2]1.4 Septic'!$F$16</f>
        <v>298</v>
      </c>
      <c r="O456" s="257">
        <f t="shared" si="146"/>
        <v>37.64</v>
      </c>
      <c r="P456" s="258"/>
      <c r="Q456" s="590">
        <f t="shared" si="147"/>
        <v>79.171094580233799</v>
      </c>
    </row>
    <row r="457" spans="1:17" ht="18" customHeight="1">
      <c r="A457" s="396">
        <f t="shared" si="148"/>
        <v>453</v>
      </c>
      <c r="B457" s="396">
        <v>659712</v>
      </c>
      <c r="C457" s="369" t="s">
        <v>1516</v>
      </c>
      <c r="D457" s="369" t="s">
        <v>672</v>
      </c>
      <c r="E457" s="369" t="s">
        <v>1422</v>
      </c>
      <c r="F457" s="369" t="s">
        <v>645</v>
      </c>
      <c r="G457" s="369" t="s">
        <v>1517</v>
      </c>
      <c r="H457" s="396">
        <v>7</v>
      </c>
      <c r="I457" s="369"/>
      <c r="J457" s="369" t="s">
        <v>658</v>
      </c>
      <c r="K457" s="410" t="s">
        <v>655</v>
      </c>
      <c r="L457" s="396">
        <v>2</v>
      </c>
      <c r="M457" s="592"/>
      <c r="N457" s="257">
        <f>'[2]1.4 Septic'!$F$16</f>
        <v>298</v>
      </c>
      <c r="O457" s="257">
        <f t="shared" si="146"/>
        <v>37.64</v>
      </c>
      <c r="P457" s="258"/>
      <c r="Q457" s="590">
        <f t="shared" si="147"/>
        <v>221.67906482465463</v>
      </c>
    </row>
    <row r="458" spans="1:17" ht="18" customHeight="1">
      <c r="A458" s="396">
        <f t="shared" si="148"/>
        <v>454</v>
      </c>
      <c r="B458" s="396">
        <v>659718</v>
      </c>
      <c r="C458" s="369" t="s">
        <v>1518</v>
      </c>
      <c r="D458" s="369" t="s">
        <v>672</v>
      </c>
      <c r="E458" s="369" t="s">
        <v>1422</v>
      </c>
      <c r="F458" s="369" t="s">
        <v>645</v>
      </c>
      <c r="G458" s="369" t="s">
        <v>1519</v>
      </c>
      <c r="H458" s="396">
        <v>7</v>
      </c>
      <c r="I458" s="369"/>
      <c r="J458" s="369" t="s">
        <v>658</v>
      </c>
      <c r="K458" s="410" t="s">
        <v>655</v>
      </c>
      <c r="L458" s="396">
        <v>1</v>
      </c>
      <c r="M458" s="592"/>
      <c r="N458" s="257">
        <f>'[2]1.4 Septic'!$F$16</f>
        <v>298</v>
      </c>
      <c r="O458" s="257">
        <f t="shared" si="146"/>
        <v>37.64</v>
      </c>
      <c r="P458" s="258"/>
      <c r="Q458" s="590">
        <f t="shared" si="147"/>
        <v>110.83953241232732</v>
      </c>
    </row>
    <row r="459" spans="1:17" ht="18" customHeight="1">
      <c r="A459" s="396">
        <f t="shared" si="148"/>
        <v>455</v>
      </c>
      <c r="B459" s="396">
        <v>659730</v>
      </c>
      <c r="C459" s="369" t="s">
        <v>1520</v>
      </c>
      <c r="D459" s="369" t="s">
        <v>672</v>
      </c>
      <c r="E459" s="369" t="s">
        <v>1422</v>
      </c>
      <c r="F459" s="369" t="s">
        <v>645</v>
      </c>
      <c r="G459" s="369" t="s">
        <v>1521</v>
      </c>
      <c r="H459" s="396">
        <v>10</v>
      </c>
      <c r="I459" s="369"/>
      <c r="J459" s="369" t="s">
        <v>648</v>
      </c>
      <c r="K459" s="410" t="s">
        <v>655</v>
      </c>
      <c r="L459" s="396">
        <v>1</v>
      </c>
      <c r="M459" s="592"/>
      <c r="N459" s="257">
        <f>'[2]1.4 Septic'!$F$16</f>
        <v>298</v>
      </c>
      <c r="O459" s="257">
        <f>$G$487</f>
        <v>14.763</v>
      </c>
      <c r="P459" s="258"/>
      <c r="Q459" s="590">
        <f>H459*2*L459*N459/O459</f>
        <v>403.71198265935107</v>
      </c>
    </row>
    <row r="460" spans="1:17" ht="18" customHeight="1">
      <c r="A460" s="396">
        <f t="shared" si="148"/>
        <v>456</v>
      </c>
      <c r="B460" s="396">
        <v>659736</v>
      </c>
      <c r="C460" s="369" t="s">
        <v>1522</v>
      </c>
      <c r="D460" s="369" t="s">
        <v>672</v>
      </c>
      <c r="E460" s="369" t="s">
        <v>1422</v>
      </c>
      <c r="F460" s="369" t="s">
        <v>645</v>
      </c>
      <c r="G460" s="369" t="s">
        <v>1523</v>
      </c>
      <c r="H460" s="396">
        <v>6.4</v>
      </c>
      <c r="I460" s="369"/>
      <c r="J460" s="369" t="s">
        <v>658</v>
      </c>
      <c r="K460" s="410" t="s">
        <v>649</v>
      </c>
      <c r="L460" s="396">
        <v>1</v>
      </c>
      <c r="M460" s="592"/>
      <c r="N460" s="257">
        <f>'[2]1.4 Septic'!$F$16</f>
        <v>298</v>
      </c>
      <c r="O460" s="257">
        <f t="shared" ref="O460:O462" si="149">$G$492</f>
        <v>37.64</v>
      </c>
      <c r="P460" s="258"/>
      <c r="Q460" s="590">
        <f t="shared" ref="Q460:Q462" si="150">H460*2*L460*N460/O460</f>
        <v>101.33900106269925</v>
      </c>
    </row>
    <row r="461" spans="1:17" ht="18" customHeight="1">
      <c r="A461" s="396">
        <f t="shared" si="148"/>
        <v>457</v>
      </c>
      <c r="B461" s="396">
        <v>659750</v>
      </c>
      <c r="C461" s="369" t="s">
        <v>1524</v>
      </c>
      <c r="D461" s="369" t="s">
        <v>643</v>
      </c>
      <c r="E461" s="369" t="s">
        <v>1422</v>
      </c>
      <c r="F461" s="369" t="s">
        <v>645</v>
      </c>
      <c r="G461" s="367" t="s">
        <v>1525</v>
      </c>
      <c r="H461" s="396">
        <v>6</v>
      </c>
      <c r="I461" s="369"/>
      <c r="J461" s="369" t="s">
        <v>658</v>
      </c>
      <c r="K461" s="410" t="s">
        <v>655</v>
      </c>
      <c r="L461" s="396">
        <v>1</v>
      </c>
      <c r="M461" s="592"/>
      <c r="N461" s="257">
        <f>'[2]1.4 Septic'!$F$16</f>
        <v>298</v>
      </c>
      <c r="O461" s="257">
        <f t="shared" si="149"/>
        <v>37.64</v>
      </c>
      <c r="P461" s="258"/>
      <c r="Q461" s="590">
        <f t="shared" si="150"/>
        <v>95.00531349628055</v>
      </c>
    </row>
    <row r="462" spans="1:17" ht="18" customHeight="1">
      <c r="A462" s="396">
        <f t="shared" si="148"/>
        <v>458</v>
      </c>
      <c r="B462" s="396">
        <v>659755</v>
      </c>
      <c r="C462" s="369" t="s">
        <v>1526</v>
      </c>
      <c r="D462" s="369" t="s">
        <v>672</v>
      </c>
      <c r="E462" s="369" t="s">
        <v>1422</v>
      </c>
      <c r="F462" s="369" t="s">
        <v>645</v>
      </c>
      <c r="G462" s="369" t="s">
        <v>1527</v>
      </c>
      <c r="H462" s="396">
        <v>5</v>
      </c>
      <c r="I462" s="369"/>
      <c r="J462" s="369" t="s">
        <v>695</v>
      </c>
      <c r="K462" s="410" t="s">
        <v>655</v>
      </c>
      <c r="L462" s="396">
        <v>1</v>
      </c>
      <c r="M462" s="592"/>
      <c r="N462" s="257">
        <f>'[2]1.4 Septic'!$F$16</f>
        <v>298</v>
      </c>
      <c r="O462" s="257">
        <f t="shared" si="149"/>
        <v>37.64</v>
      </c>
      <c r="P462" s="258"/>
      <c r="Q462" s="590">
        <f t="shared" si="150"/>
        <v>79.171094580233799</v>
      </c>
    </row>
    <row r="463" spans="1:17" ht="18" customHeight="1">
      <c r="A463" s="396">
        <f t="shared" si="148"/>
        <v>459</v>
      </c>
      <c r="B463" s="396">
        <v>659761</v>
      </c>
      <c r="C463" s="369" t="s">
        <v>1528</v>
      </c>
      <c r="D463" s="369" t="s">
        <v>672</v>
      </c>
      <c r="E463" s="369" t="s">
        <v>1422</v>
      </c>
      <c r="F463" s="369" t="s">
        <v>645</v>
      </c>
      <c r="G463" s="369" t="s">
        <v>1529</v>
      </c>
      <c r="H463" s="396">
        <v>5</v>
      </c>
      <c r="I463" s="369"/>
      <c r="J463" s="369" t="s">
        <v>718</v>
      </c>
      <c r="K463" s="410" t="s">
        <v>649</v>
      </c>
      <c r="L463" s="396">
        <v>1</v>
      </c>
      <c r="M463" s="592"/>
      <c r="N463" s="257">
        <f>'[2]1.4 Septic'!$F$16</f>
        <v>298</v>
      </c>
      <c r="O463" s="595">
        <f>$G$491</f>
        <v>32.435000000000002</v>
      </c>
      <c r="P463" s="258"/>
      <c r="Q463" s="590">
        <f>H463*2*L463*N463/O463</f>
        <v>91.876059811931555</v>
      </c>
    </row>
    <row r="464" spans="1:17" ht="18" customHeight="1">
      <c r="A464" s="396">
        <f t="shared" si="148"/>
        <v>460</v>
      </c>
      <c r="B464" s="396">
        <v>659766</v>
      </c>
      <c r="C464" s="369" t="s">
        <v>1530</v>
      </c>
      <c r="D464" s="369" t="s">
        <v>672</v>
      </c>
      <c r="E464" s="369" t="s">
        <v>1422</v>
      </c>
      <c r="F464" s="369" t="s">
        <v>645</v>
      </c>
      <c r="G464" s="369" t="s">
        <v>1531</v>
      </c>
      <c r="H464" s="396">
        <v>7</v>
      </c>
      <c r="I464" s="369"/>
      <c r="J464" s="369" t="s">
        <v>658</v>
      </c>
      <c r="K464" s="410" t="s">
        <v>655</v>
      </c>
      <c r="L464" s="396">
        <v>1</v>
      </c>
      <c r="M464" s="592"/>
      <c r="N464" s="257">
        <f>'[2]1.4 Septic'!$F$16</f>
        <v>298</v>
      </c>
      <c r="O464" s="257">
        <f>$G$492</f>
        <v>37.64</v>
      </c>
      <c r="P464" s="258"/>
      <c r="Q464" s="590">
        <f>H464*2*L464*N464/O464</f>
        <v>110.83953241232732</v>
      </c>
    </row>
    <row r="465" spans="1:17" ht="18" customHeight="1">
      <c r="A465" s="396">
        <f t="shared" si="148"/>
        <v>461</v>
      </c>
      <c r="B465" s="396">
        <v>659767</v>
      </c>
      <c r="C465" s="369" t="s">
        <v>1532</v>
      </c>
      <c r="D465" s="369" t="s">
        <v>672</v>
      </c>
      <c r="E465" s="369" t="s">
        <v>1422</v>
      </c>
      <c r="F465" s="369" t="s">
        <v>645</v>
      </c>
      <c r="G465" s="369" t="s">
        <v>1533</v>
      </c>
      <c r="H465" s="396">
        <v>3</v>
      </c>
      <c r="I465" s="369"/>
      <c r="J465" s="369" t="s">
        <v>715</v>
      </c>
      <c r="K465" s="410" t="s">
        <v>649</v>
      </c>
      <c r="L465" s="396">
        <v>1</v>
      </c>
      <c r="M465" s="592"/>
      <c r="N465" s="257">
        <f>'[2]1.4 Septic'!$F$16</f>
        <v>298</v>
      </c>
      <c r="O465" s="595">
        <f>$G$491</f>
        <v>32.435000000000002</v>
      </c>
      <c r="P465" s="258"/>
      <c r="Q465" s="590">
        <f>H465*2*L465*N465/O465</f>
        <v>55.125635887158928</v>
      </c>
    </row>
    <row r="466" spans="1:17" ht="18" customHeight="1">
      <c r="A466" s="396">
        <f t="shared" si="148"/>
        <v>462</v>
      </c>
      <c r="B466" s="396">
        <v>659786</v>
      </c>
      <c r="C466" s="369" t="s">
        <v>1534</v>
      </c>
      <c r="D466" s="369" t="s">
        <v>643</v>
      </c>
      <c r="E466" s="369" t="s">
        <v>1422</v>
      </c>
      <c r="F466" s="369" t="s">
        <v>645</v>
      </c>
      <c r="G466" s="369" t="s">
        <v>1535</v>
      </c>
      <c r="H466" s="396">
        <v>3</v>
      </c>
      <c r="I466" s="369"/>
      <c r="J466" s="369" t="s">
        <v>658</v>
      </c>
      <c r="K466" s="410" t="s">
        <v>655</v>
      </c>
      <c r="L466" s="396">
        <v>1</v>
      </c>
      <c r="M466" s="592"/>
      <c r="N466" s="257">
        <f>'[2]1.4 Septic'!$F$16</f>
        <v>298</v>
      </c>
      <c r="O466" s="257">
        <f t="shared" ref="O466:O473" si="151">$G$492</f>
        <v>37.64</v>
      </c>
      <c r="P466" s="258"/>
      <c r="Q466" s="590">
        <f t="shared" ref="Q466:Q473" si="152">H466*2*L466*N466/O466</f>
        <v>47.502656748140275</v>
      </c>
    </row>
    <row r="467" spans="1:17" ht="18" customHeight="1">
      <c r="A467" s="396">
        <f t="shared" si="148"/>
        <v>463</v>
      </c>
      <c r="B467" s="396">
        <v>659791</v>
      </c>
      <c r="C467" s="369" t="s">
        <v>1536</v>
      </c>
      <c r="D467" s="369" t="s">
        <v>672</v>
      </c>
      <c r="E467" s="369" t="s">
        <v>1422</v>
      </c>
      <c r="F467" s="369" t="s">
        <v>645</v>
      </c>
      <c r="G467" s="369" t="s">
        <v>1537</v>
      </c>
      <c r="H467" s="396">
        <v>4</v>
      </c>
      <c r="I467" s="369"/>
      <c r="J467" s="369" t="s">
        <v>658</v>
      </c>
      <c r="K467" s="410" t="s">
        <v>655</v>
      </c>
      <c r="L467" s="396">
        <v>1</v>
      </c>
      <c r="M467" s="592"/>
      <c r="N467" s="257">
        <f>'[2]1.4 Septic'!$F$16</f>
        <v>298</v>
      </c>
      <c r="O467" s="257">
        <f t="shared" si="151"/>
        <v>37.64</v>
      </c>
      <c r="P467" s="258"/>
      <c r="Q467" s="590">
        <f t="shared" si="152"/>
        <v>63.336875664187033</v>
      </c>
    </row>
    <row r="468" spans="1:17" ht="18" customHeight="1">
      <c r="A468" s="396">
        <f t="shared" si="148"/>
        <v>464</v>
      </c>
      <c r="B468" s="396">
        <v>659805</v>
      </c>
      <c r="C468" s="369" t="s">
        <v>1538</v>
      </c>
      <c r="D468" s="369" t="s">
        <v>643</v>
      </c>
      <c r="E468" s="369" t="s">
        <v>1422</v>
      </c>
      <c r="F468" s="369" t="s">
        <v>645</v>
      </c>
      <c r="G468" s="369" t="s">
        <v>1539</v>
      </c>
      <c r="H468" s="396">
        <v>22</v>
      </c>
      <c r="I468" s="369"/>
      <c r="J468" s="369" t="s">
        <v>658</v>
      </c>
      <c r="K468" s="410" t="s">
        <v>649</v>
      </c>
      <c r="L468" s="396">
        <v>1</v>
      </c>
      <c r="M468" s="592"/>
      <c r="N468" s="257">
        <f>'[2]1.4 Septic'!$F$16</f>
        <v>298</v>
      </c>
      <c r="O468" s="257">
        <f t="shared" si="151"/>
        <v>37.64</v>
      </c>
      <c r="P468" s="258"/>
      <c r="Q468" s="590">
        <f t="shared" si="152"/>
        <v>348.3528161530287</v>
      </c>
    </row>
    <row r="469" spans="1:17" ht="18" customHeight="1">
      <c r="A469" s="396">
        <f t="shared" si="148"/>
        <v>465</v>
      </c>
      <c r="B469" s="396">
        <v>659806</v>
      </c>
      <c r="C469" s="369" t="s">
        <v>1540</v>
      </c>
      <c r="D469" s="369" t="s">
        <v>643</v>
      </c>
      <c r="E469" s="369" t="s">
        <v>1422</v>
      </c>
      <c r="F469" s="369" t="s">
        <v>645</v>
      </c>
      <c r="G469" s="369" t="s">
        <v>1541</v>
      </c>
      <c r="H469" s="396">
        <v>3</v>
      </c>
      <c r="I469" s="369"/>
      <c r="J469" s="369" t="s">
        <v>695</v>
      </c>
      <c r="K469" s="410" t="s">
        <v>649</v>
      </c>
      <c r="L469" s="396">
        <v>1</v>
      </c>
      <c r="M469" s="592"/>
      <c r="N469" s="257">
        <f>'[2]1.4 Septic'!$F$16</f>
        <v>298</v>
      </c>
      <c r="O469" s="257">
        <f t="shared" si="151"/>
        <v>37.64</v>
      </c>
      <c r="P469" s="258"/>
      <c r="Q469" s="590">
        <f t="shared" si="152"/>
        <v>47.502656748140275</v>
      </c>
    </row>
    <row r="470" spans="1:17" ht="18" customHeight="1">
      <c r="A470" s="396">
        <f t="shared" si="148"/>
        <v>466</v>
      </c>
      <c r="B470" s="396">
        <v>659828</v>
      </c>
      <c r="C470" s="369" t="s">
        <v>1542</v>
      </c>
      <c r="D470" s="369" t="s">
        <v>672</v>
      </c>
      <c r="E470" s="369" t="s">
        <v>1422</v>
      </c>
      <c r="F470" s="369" t="s">
        <v>645</v>
      </c>
      <c r="G470" s="369" t="s">
        <v>1543</v>
      </c>
      <c r="H470" s="396">
        <v>3.5</v>
      </c>
      <c r="I470" s="369"/>
      <c r="J470" s="369" t="s">
        <v>695</v>
      </c>
      <c r="K470" s="410" t="s">
        <v>649</v>
      </c>
      <c r="L470" s="396">
        <v>1</v>
      </c>
      <c r="M470" s="592"/>
      <c r="N470" s="257">
        <f>'[2]1.4 Septic'!$F$16</f>
        <v>298</v>
      </c>
      <c r="O470" s="257">
        <f t="shared" si="151"/>
        <v>37.64</v>
      </c>
      <c r="P470" s="258"/>
      <c r="Q470" s="590">
        <f t="shared" si="152"/>
        <v>55.419766206163658</v>
      </c>
    </row>
    <row r="471" spans="1:17" ht="18" customHeight="1">
      <c r="A471" s="396">
        <f t="shared" si="148"/>
        <v>467</v>
      </c>
      <c r="B471" s="396">
        <v>659911</v>
      </c>
      <c r="C471" s="369" t="s">
        <v>1544</v>
      </c>
      <c r="D471" s="369" t="s">
        <v>643</v>
      </c>
      <c r="E471" s="369" t="s">
        <v>1422</v>
      </c>
      <c r="F471" s="369" t="s">
        <v>645</v>
      </c>
      <c r="G471" s="369" t="s">
        <v>1545</v>
      </c>
      <c r="H471" s="396">
        <v>14</v>
      </c>
      <c r="I471" s="369"/>
      <c r="J471" s="369" t="s">
        <v>658</v>
      </c>
      <c r="K471" s="410" t="s">
        <v>655</v>
      </c>
      <c r="L471" s="396">
        <v>1</v>
      </c>
      <c r="M471" s="592"/>
      <c r="N471" s="257">
        <f>'[2]1.4 Septic'!$F$16</f>
        <v>298</v>
      </c>
      <c r="O471" s="257">
        <f t="shared" si="151"/>
        <v>37.64</v>
      </c>
      <c r="P471" s="258"/>
      <c r="Q471" s="590">
        <f t="shared" si="152"/>
        <v>221.67906482465463</v>
      </c>
    </row>
    <row r="472" spans="1:17" ht="18" customHeight="1">
      <c r="A472" s="396">
        <f t="shared" si="148"/>
        <v>468</v>
      </c>
      <c r="B472" s="396">
        <v>659926</v>
      </c>
      <c r="C472" s="369" t="s">
        <v>1546</v>
      </c>
      <c r="D472" s="369" t="s">
        <v>672</v>
      </c>
      <c r="E472" s="369" t="s">
        <v>1422</v>
      </c>
      <c r="F472" s="369" t="s">
        <v>645</v>
      </c>
      <c r="G472" s="369" t="s">
        <v>1547</v>
      </c>
      <c r="H472" s="396">
        <v>6</v>
      </c>
      <c r="I472" s="369"/>
      <c r="J472" s="369" t="s">
        <v>658</v>
      </c>
      <c r="K472" s="410" t="s">
        <v>655</v>
      </c>
      <c r="L472" s="396">
        <v>1</v>
      </c>
      <c r="M472" s="592"/>
      <c r="N472" s="257">
        <f>'[2]1.4 Septic'!$F$16</f>
        <v>298</v>
      </c>
      <c r="O472" s="257">
        <f t="shared" si="151"/>
        <v>37.64</v>
      </c>
      <c r="P472" s="258"/>
      <c r="Q472" s="590">
        <f t="shared" si="152"/>
        <v>95.00531349628055</v>
      </c>
    </row>
    <row r="473" spans="1:17" ht="18" customHeight="1">
      <c r="A473" s="396">
        <f t="shared" si="148"/>
        <v>469</v>
      </c>
      <c r="B473" s="396">
        <v>659947</v>
      </c>
      <c r="C473" s="369" t="s">
        <v>1548</v>
      </c>
      <c r="D473" s="369" t="s">
        <v>672</v>
      </c>
      <c r="E473" s="369" t="s">
        <v>1422</v>
      </c>
      <c r="F473" s="369" t="s">
        <v>645</v>
      </c>
      <c r="G473" s="369" t="s">
        <v>1549</v>
      </c>
      <c r="H473" s="396">
        <v>4</v>
      </c>
      <c r="I473" s="369"/>
      <c r="J473" s="369" t="s">
        <v>658</v>
      </c>
      <c r="K473" s="410" t="s">
        <v>655</v>
      </c>
      <c r="L473" s="396">
        <v>2</v>
      </c>
      <c r="M473" s="592"/>
      <c r="N473" s="257">
        <f>'[2]1.4 Septic'!$F$16</f>
        <v>298</v>
      </c>
      <c r="O473" s="257">
        <f t="shared" si="151"/>
        <v>37.64</v>
      </c>
      <c r="P473" s="258"/>
      <c r="Q473" s="590">
        <f t="shared" si="152"/>
        <v>126.67375132837407</v>
      </c>
    </row>
    <row r="474" spans="1:17" ht="18" customHeight="1">
      <c r="A474" s="396">
        <f t="shared" si="148"/>
        <v>470</v>
      </c>
      <c r="B474" s="396">
        <v>659995</v>
      </c>
      <c r="C474" s="369" t="s">
        <v>1550</v>
      </c>
      <c r="D474" s="369" t="s">
        <v>672</v>
      </c>
      <c r="E474" s="369" t="s">
        <v>1422</v>
      </c>
      <c r="F474" s="369" t="s">
        <v>645</v>
      </c>
      <c r="G474" s="369" t="s">
        <v>1551</v>
      </c>
      <c r="H474" s="396">
        <v>3</v>
      </c>
      <c r="I474" s="369"/>
      <c r="J474" s="369" t="s">
        <v>718</v>
      </c>
      <c r="K474" s="410" t="s">
        <v>655</v>
      </c>
      <c r="L474" s="396">
        <v>1</v>
      </c>
      <c r="M474" s="592"/>
      <c r="N474" s="257">
        <f>'[2]1.4 Septic'!$F$16</f>
        <v>298</v>
      </c>
      <c r="O474" s="595">
        <f t="shared" ref="O474:O475" si="153">$G$491</f>
        <v>32.435000000000002</v>
      </c>
      <c r="P474" s="258"/>
      <c r="Q474" s="590">
        <f>H474*2*L474*N474/O474</f>
        <v>55.125635887158928</v>
      </c>
    </row>
    <row r="475" spans="1:17" ht="18" customHeight="1">
      <c r="A475" s="396">
        <f t="shared" si="148"/>
        <v>471</v>
      </c>
      <c r="B475" s="396">
        <v>660001</v>
      </c>
      <c r="C475" s="369" t="s">
        <v>1552</v>
      </c>
      <c r="D475" s="369" t="s">
        <v>672</v>
      </c>
      <c r="E475" s="369" t="s">
        <v>1422</v>
      </c>
      <c r="F475" s="369" t="s">
        <v>645</v>
      </c>
      <c r="G475" s="369" t="s">
        <v>1553</v>
      </c>
      <c r="H475" s="396">
        <v>8</v>
      </c>
      <c r="I475" s="369"/>
      <c r="J475" s="369" t="s">
        <v>1404</v>
      </c>
      <c r="K475" s="410" t="s">
        <v>655</v>
      </c>
      <c r="L475" s="396">
        <v>1</v>
      </c>
      <c r="M475" s="592"/>
      <c r="N475" s="257">
        <f>'[2]1.4 Septic'!$F$16</f>
        <v>298</v>
      </c>
      <c r="O475" s="595">
        <f t="shared" si="153"/>
        <v>32.435000000000002</v>
      </c>
      <c r="P475" s="258"/>
      <c r="Q475" s="258"/>
    </row>
    <row r="476" spans="1:17" ht="18" customHeight="1">
      <c r="A476" s="396">
        <f t="shared" si="148"/>
        <v>472</v>
      </c>
      <c r="B476" s="385">
        <v>660002</v>
      </c>
      <c r="C476" s="369" t="s">
        <v>1554</v>
      </c>
      <c r="D476" s="369" t="s">
        <v>672</v>
      </c>
      <c r="E476" s="369" t="s">
        <v>1422</v>
      </c>
      <c r="F476" s="369" t="s">
        <v>645</v>
      </c>
      <c r="G476" s="369" t="s">
        <v>1555</v>
      </c>
      <c r="H476" s="396">
        <v>10</v>
      </c>
      <c r="I476" s="369"/>
      <c r="J476" s="369" t="s">
        <v>658</v>
      </c>
      <c r="K476" s="410" t="s">
        <v>655</v>
      </c>
      <c r="L476" s="396">
        <v>1</v>
      </c>
      <c r="M476" s="592"/>
      <c r="N476" s="257">
        <f>'[2]1.4 Septic'!$F$16</f>
        <v>298</v>
      </c>
      <c r="O476" s="257">
        <f t="shared" ref="O476:O477" si="154">$G$492</f>
        <v>37.64</v>
      </c>
      <c r="P476" s="258"/>
      <c r="Q476" s="590">
        <f t="shared" ref="Q476:Q477" si="155">H476*2*L476*N476/O476</f>
        <v>158.3421891604676</v>
      </c>
    </row>
    <row r="477" spans="1:17" ht="18" customHeight="1">
      <c r="A477" s="396">
        <f t="shared" si="148"/>
        <v>473</v>
      </c>
      <c r="B477" s="396">
        <v>660004</v>
      </c>
      <c r="C477" s="369" t="s">
        <v>1556</v>
      </c>
      <c r="D477" s="369" t="s">
        <v>672</v>
      </c>
      <c r="E477" s="369" t="s">
        <v>1422</v>
      </c>
      <c r="F477" s="369" t="s">
        <v>645</v>
      </c>
      <c r="G477" s="369" t="s">
        <v>1557</v>
      </c>
      <c r="H477" s="396">
        <v>6</v>
      </c>
      <c r="I477" s="369"/>
      <c r="J477" s="369" t="s">
        <v>658</v>
      </c>
      <c r="K477" s="410" t="s">
        <v>649</v>
      </c>
      <c r="L477" s="396">
        <v>1</v>
      </c>
      <c r="M477" s="592"/>
      <c r="N477" s="257">
        <f>'[2]1.4 Septic'!$F$16</f>
        <v>298</v>
      </c>
      <c r="O477" s="257">
        <f t="shared" si="154"/>
        <v>37.64</v>
      </c>
      <c r="P477" s="258"/>
      <c r="Q477" s="590">
        <f t="shared" si="155"/>
        <v>95.00531349628055</v>
      </c>
    </row>
    <row r="478" spans="1:17" ht="18" customHeight="1">
      <c r="A478" s="396">
        <f t="shared" si="148"/>
        <v>474</v>
      </c>
      <c r="B478" s="396">
        <v>660006</v>
      </c>
      <c r="C478" s="369" t="s">
        <v>1558</v>
      </c>
      <c r="D478" s="369" t="s">
        <v>672</v>
      </c>
      <c r="E478" s="369" t="s">
        <v>1422</v>
      </c>
      <c r="F478" s="369" t="s">
        <v>645</v>
      </c>
      <c r="G478" s="369" t="s">
        <v>1559</v>
      </c>
      <c r="H478" s="396">
        <v>2.2000000000000002</v>
      </c>
      <c r="I478" s="369"/>
      <c r="J478" s="369" t="s">
        <v>1404</v>
      </c>
      <c r="K478" s="228" t="s">
        <v>649</v>
      </c>
      <c r="L478" s="396">
        <v>1</v>
      </c>
      <c r="M478" s="592"/>
      <c r="N478" s="257">
        <f>'[2]1.4 Septic'!$F$16</f>
        <v>298</v>
      </c>
      <c r="O478" s="595">
        <f t="shared" ref="O478:O481" si="156">$G$491</f>
        <v>32.435000000000002</v>
      </c>
      <c r="P478" s="258"/>
      <c r="Q478" s="258"/>
    </row>
    <row r="479" spans="1:17" ht="18" customHeight="1">
      <c r="A479" s="396">
        <f t="shared" si="148"/>
        <v>475</v>
      </c>
      <c r="B479" s="396">
        <v>660008</v>
      </c>
      <c r="C479" s="369" t="s">
        <v>1560</v>
      </c>
      <c r="D479" s="369" t="s">
        <v>643</v>
      </c>
      <c r="E479" s="369" t="s">
        <v>1422</v>
      </c>
      <c r="F479" s="369" t="s">
        <v>645</v>
      </c>
      <c r="G479" s="369" t="s">
        <v>1561</v>
      </c>
      <c r="H479" s="396">
        <v>5</v>
      </c>
      <c r="I479" s="369"/>
      <c r="J479" s="369" t="s">
        <v>718</v>
      </c>
      <c r="K479" s="410" t="s">
        <v>655</v>
      </c>
      <c r="L479" s="396">
        <v>1</v>
      </c>
      <c r="M479" s="592"/>
      <c r="N479" s="257">
        <f>'[2]1.4 Septic'!$F$16</f>
        <v>298</v>
      </c>
      <c r="O479" s="595">
        <f t="shared" si="156"/>
        <v>32.435000000000002</v>
      </c>
      <c r="P479" s="258"/>
      <c r="Q479" s="590">
        <f t="shared" ref="Q479:Q481" si="157">H479*2*L479*N479/O479</f>
        <v>91.876059811931555</v>
      </c>
    </row>
    <row r="480" spans="1:17" ht="18" customHeight="1">
      <c r="A480" s="396">
        <f t="shared" si="148"/>
        <v>476</v>
      </c>
      <c r="B480" s="396">
        <v>660009</v>
      </c>
      <c r="C480" s="369" t="s">
        <v>1562</v>
      </c>
      <c r="D480" s="369" t="s">
        <v>643</v>
      </c>
      <c r="E480" s="369" t="s">
        <v>1422</v>
      </c>
      <c r="F480" s="369" t="s">
        <v>645</v>
      </c>
      <c r="G480" s="369" t="s">
        <v>1563</v>
      </c>
      <c r="H480" s="396">
        <v>4</v>
      </c>
      <c r="I480" s="369"/>
      <c r="J480" s="369" t="s">
        <v>715</v>
      </c>
      <c r="K480" s="597" t="s">
        <v>649</v>
      </c>
      <c r="L480" s="584">
        <v>1</v>
      </c>
      <c r="M480" s="598"/>
      <c r="N480" s="257">
        <f>'[2]1.4 Septic'!$F$16</f>
        <v>298</v>
      </c>
      <c r="O480" s="595">
        <f t="shared" si="156"/>
        <v>32.435000000000002</v>
      </c>
      <c r="P480" s="258"/>
      <c r="Q480" s="590">
        <f t="shared" si="157"/>
        <v>73.500847849545238</v>
      </c>
    </row>
    <row r="481" spans="1:17" ht="18" customHeight="1">
      <c r="A481" s="396">
        <f t="shared" si="148"/>
        <v>477</v>
      </c>
      <c r="B481" s="396">
        <v>660010</v>
      </c>
      <c r="C481" s="369" t="s">
        <v>1564</v>
      </c>
      <c r="D481" s="369" t="s">
        <v>643</v>
      </c>
      <c r="E481" s="369" t="s">
        <v>1422</v>
      </c>
      <c r="F481" s="369" t="s">
        <v>645</v>
      </c>
      <c r="G481" s="369" t="s">
        <v>1565</v>
      </c>
      <c r="H481" s="396">
        <v>24</v>
      </c>
      <c r="I481" s="369"/>
      <c r="J481" s="410" t="s">
        <v>715</v>
      </c>
      <c r="K481" s="258" t="s">
        <v>655</v>
      </c>
      <c r="L481" s="257">
        <v>1</v>
      </c>
      <c r="M481" s="257"/>
      <c r="N481" s="257">
        <f>'[2]1.4 Septic'!$F$16</f>
        <v>298</v>
      </c>
      <c r="O481" s="595">
        <f t="shared" si="156"/>
        <v>32.435000000000002</v>
      </c>
      <c r="P481" s="258"/>
      <c r="Q481" s="590">
        <f t="shared" si="157"/>
        <v>441.00508709727143</v>
      </c>
    </row>
    <row r="482" spans="1:17" ht="18" customHeight="1">
      <c r="A482" s="396">
        <f t="shared" si="148"/>
        <v>478</v>
      </c>
      <c r="B482" s="396">
        <v>662614</v>
      </c>
      <c r="C482" s="369" t="s">
        <v>1566</v>
      </c>
      <c r="D482" s="369" t="s">
        <v>643</v>
      </c>
      <c r="E482" s="369" t="s">
        <v>1422</v>
      </c>
      <c r="F482" s="369" t="s">
        <v>645</v>
      </c>
      <c r="G482" s="369" t="s">
        <v>1567</v>
      </c>
      <c r="H482" s="396">
        <v>14</v>
      </c>
      <c r="I482" s="369"/>
      <c r="J482" s="369" t="s">
        <v>695</v>
      </c>
      <c r="K482" s="589" t="s">
        <v>655</v>
      </c>
      <c r="L482" s="599">
        <v>1</v>
      </c>
      <c r="M482" s="599"/>
      <c r="N482" s="257">
        <f>'[2]1.4 Septic'!$F$16</f>
        <v>298</v>
      </c>
      <c r="O482" s="257">
        <f>$G$492</f>
        <v>37.64</v>
      </c>
      <c r="P482" s="258"/>
      <c r="Q482" s="590">
        <f>H482*2*L482*N482/O482</f>
        <v>221.67906482465463</v>
      </c>
    </row>
    <row r="483" spans="1:17" ht="18" customHeight="1">
      <c r="A483" s="385"/>
      <c r="B483" s="385"/>
      <c r="H483" s="385"/>
      <c r="L483" s="257">
        <f>SUM(L5:L482)</f>
        <v>589</v>
      </c>
      <c r="M483" s="257"/>
      <c r="N483" s="385"/>
      <c r="O483" s="385"/>
    </row>
    <row r="484" spans="1:17" ht="18" customHeight="1">
      <c r="A484" s="401" t="s">
        <v>1568</v>
      </c>
      <c r="B484" s="385"/>
      <c r="H484" s="385"/>
      <c r="L484" s="385"/>
      <c r="M484" s="385"/>
      <c r="N484" s="385"/>
      <c r="O484" s="385"/>
    </row>
    <row r="485" spans="1:17" ht="18" customHeight="1">
      <c r="A485" s="385"/>
      <c r="B485" s="385"/>
      <c r="H485" s="385"/>
      <c r="L485" s="385"/>
      <c r="M485" s="385"/>
      <c r="N485" s="385"/>
      <c r="O485" s="385"/>
    </row>
    <row r="486" spans="1:17" ht="18" customHeight="1">
      <c r="A486" s="1397" t="s">
        <v>517</v>
      </c>
      <c r="B486" s="1398"/>
      <c r="C486" s="1398"/>
      <c r="D486" s="1399"/>
      <c r="E486" s="291" t="s">
        <v>1569</v>
      </c>
      <c r="F486" s="291" t="s">
        <v>17</v>
      </c>
      <c r="G486" s="290" t="s">
        <v>1570</v>
      </c>
      <c r="H486" s="1400" t="s">
        <v>1571</v>
      </c>
      <c r="I486" s="1400"/>
      <c r="L486" s="385"/>
      <c r="M486" s="385"/>
      <c r="N486" s="385"/>
      <c r="O486" s="385"/>
    </row>
    <row r="487" spans="1:17" ht="18" customHeight="1">
      <c r="A487" s="1303" t="s">
        <v>648</v>
      </c>
      <c r="B487" s="1303"/>
      <c r="C487" s="1303"/>
      <c r="D487" s="1303"/>
      <c r="E487" s="291" t="s">
        <v>776</v>
      </c>
      <c r="F487" s="291" t="s">
        <v>1572</v>
      </c>
      <c r="G487" s="291">
        <v>14.763</v>
      </c>
      <c r="H487" s="1396" t="s">
        <v>1573</v>
      </c>
      <c r="I487" s="1396"/>
      <c r="L487" s="385"/>
      <c r="M487" s="385"/>
      <c r="N487" s="385"/>
      <c r="O487" s="385"/>
    </row>
    <row r="488" spans="1:17" ht="18" customHeight="1">
      <c r="A488" s="1303" t="s">
        <v>748</v>
      </c>
      <c r="B488" s="1303"/>
      <c r="C488" s="1303"/>
      <c r="D488" s="1303"/>
      <c r="E488" s="291" t="s">
        <v>652</v>
      </c>
      <c r="F488" s="291" t="s">
        <v>1572</v>
      </c>
      <c r="G488" s="291">
        <v>6.3689999999999998</v>
      </c>
      <c r="H488" s="1396" t="s">
        <v>1574</v>
      </c>
      <c r="I488" s="1396"/>
      <c r="L488" s="385"/>
      <c r="M488" s="385"/>
      <c r="N488" s="385"/>
      <c r="O488" s="385"/>
    </row>
    <row r="489" spans="1:17" ht="18" customHeight="1">
      <c r="A489" s="1303" t="s">
        <v>1575</v>
      </c>
      <c r="B489" s="1303"/>
      <c r="C489" s="1303"/>
      <c r="D489" s="1303"/>
      <c r="E489" s="291" t="s">
        <v>652</v>
      </c>
      <c r="F489" s="291" t="s">
        <v>1572</v>
      </c>
      <c r="G489" s="291">
        <v>10.204000000000001</v>
      </c>
      <c r="H489" s="1396" t="s">
        <v>1574</v>
      </c>
      <c r="I489" s="1396"/>
      <c r="L489" s="385"/>
      <c r="M489" s="385"/>
      <c r="N489" s="385"/>
      <c r="O489" s="385"/>
    </row>
    <row r="490" spans="1:17" ht="18" customHeight="1">
      <c r="A490" s="1303" t="s">
        <v>1576</v>
      </c>
      <c r="B490" s="1303"/>
      <c r="C490" s="1303"/>
      <c r="D490" s="1303"/>
      <c r="E490" s="291" t="s">
        <v>652</v>
      </c>
      <c r="F490" s="291" t="s">
        <v>1572</v>
      </c>
      <c r="G490" s="600">
        <v>2.85</v>
      </c>
      <c r="H490" s="1396" t="s">
        <v>1574</v>
      </c>
      <c r="I490" s="1396"/>
      <c r="L490" s="385"/>
      <c r="M490" s="385"/>
      <c r="N490" s="385"/>
      <c r="O490" s="385"/>
    </row>
    <row r="491" spans="1:17" ht="18" customHeight="1">
      <c r="A491" s="1303" t="s">
        <v>733</v>
      </c>
      <c r="B491" s="1303"/>
      <c r="C491" s="1303"/>
      <c r="D491" s="1303"/>
      <c r="E491" s="291" t="s">
        <v>776</v>
      </c>
      <c r="F491" s="291" t="s">
        <v>1572</v>
      </c>
      <c r="G491" s="600">
        <v>32.435000000000002</v>
      </c>
      <c r="H491" s="1396" t="s">
        <v>1573</v>
      </c>
      <c r="I491" s="1396"/>
      <c r="L491" s="385"/>
      <c r="M491" s="385"/>
      <c r="N491" s="385"/>
      <c r="O491" s="385"/>
    </row>
    <row r="492" spans="1:17" ht="18" customHeight="1">
      <c r="A492" s="1395" t="s">
        <v>1577</v>
      </c>
      <c r="B492" s="1395"/>
      <c r="C492" s="1395"/>
      <c r="D492" s="1395"/>
      <c r="E492" s="601" t="s">
        <v>1578</v>
      </c>
      <c r="F492" s="601" t="s">
        <v>1572</v>
      </c>
      <c r="G492" s="601">
        <v>37.64</v>
      </c>
      <c r="H492" s="1395" t="s">
        <v>1573</v>
      </c>
      <c r="I492" s="1395"/>
      <c r="L492" s="385"/>
      <c r="M492" s="385"/>
      <c r="N492" s="385"/>
      <c r="O492" s="385"/>
    </row>
    <row r="493" spans="1:17" ht="18" customHeight="1">
      <c r="A493" s="1303" t="s">
        <v>1579</v>
      </c>
      <c r="B493" s="1303"/>
      <c r="C493" s="1303"/>
      <c r="D493" s="1303"/>
      <c r="E493" s="291" t="s">
        <v>1580</v>
      </c>
      <c r="F493" s="291" t="s">
        <v>1581</v>
      </c>
      <c r="G493" s="291">
        <v>6.7000000000000002E-3</v>
      </c>
      <c r="H493" s="1396" t="s">
        <v>1582</v>
      </c>
      <c r="I493" s="1396"/>
      <c r="L493" s="385"/>
      <c r="M493" s="385"/>
      <c r="N493" s="385"/>
      <c r="O493" s="385"/>
    </row>
    <row r="494" spans="1:17" ht="18" customHeight="1">
      <c r="A494" s="1303" t="s">
        <v>1583</v>
      </c>
      <c r="B494" s="1303"/>
      <c r="C494" s="1303"/>
      <c r="D494" s="1303"/>
      <c r="E494" s="291" t="s">
        <v>776</v>
      </c>
      <c r="F494" s="291" t="s">
        <v>1572</v>
      </c>
      <c r="G494" s="291">
        <v>1.05</v>
      </c>
      <c r="H494" s="1396" t="s">
        <v>1584</v>
      </c>
      <c r="I494" s="1396"/>
      <c r="L494" s="385"/>
      <c r="M494" s="385"/>
      <c r="N494" s="385"/>
      <c r="O494" s="385"/>
    </row>
    <row r="495" spans="1:17" ht="18" customHeight="1">
      <c r="A495" s="1303" t="s">
        <v>1585</v>
      </c>
      <c r="B495" s="1303"/>
      <c r="C495" s="1303"/>
      <c r="D495" s="1303"/>
      <c r="E495" s="291" t="s">
        <v>1578</v>
      </c>
      <c r="F495" s="291" t="s">
        <v>1572</v>
      </c>
      <c r="G495" s="291">
        <v>12.247999999999999</v>
      </c>
      <c r="H495" s="1303" t="s">
        <v>1573</v>
      </c>
      <c r="I495" s="1303"/>
      <c r="L495" s="385"/>
      <c r="M495" s="385"/>
      <c r="N495" s="385"/>
      <c r="O495" s="385"/>
    </row>
    <row r="496" spans="1:17" ht="18" customHeight="1">
      <c r="A496" s="1303" t="s">
        <v>1586</v>
      </c>
      <c r="B496" s="1303"/>
      <c r="C496" s="1303"/>
      <c r="D496" s="1303"/>
      <c r="E496" s="291" t="s">
        <v>1578</v>
      </c>
      <c r="F496" s="291" t="s">
        <v>1572</v>
      </c>
      <c r="G496" s="291">
        <v>13.795999999999999</v>
      </c>
      <c r="H496" s="1303" t="s">
        <v>1573</v>
      </c>
      <c r="I496" s="1303"/>
      <c r="L496" s="385"/>
      <c r="M496" s="385"/>
      <c r="N496" s="385"/>
      <c r="O496" s="385"/>
    </row>
    <row r="497" spans="1:15" ht="18" customHeight="1">
      <c r="A497" s="1303" t="s">
        <v>1587</v>
      </c>
      <c r="B497" s="1303"/>
      <c r="C497" s="1303"/>
      <c r="D497" s="1303"/>
      <c r="E497" s="291" t="s">
        <v>1578</v>
      </c>
      <c r="F497" s="291" t="s">
        <v>1572</v>
      </c>
      <c r="G497" s="291">
        <v>15.238</v>
      </c>
      <c r="H497" s="452" t="s">
        <v>1573</v>
      </c>
      <c r="I497" s="291"/>
      <c r="L497" s="385"/>
      <c r="M497" s="385"/>
      <c r="N497" s="385"/>
      <c r="O497" s="385"/>
    </row>
    <row r="498" spans="1:15" ht="18" customHeight="1">
      <c r="A498" s="1303" t="s">
        <v>1588</v>
      </c>
      <c r="B498" s="1303"/>
      <c r="C498" s="1303"/>
      <c r="D498" s="1303"/>
      <c r="E498" s="291" t="s">
        <v>1578</v>
      </c>
      <c r="F498" s="291" t="s">
        <v>1572</v>
      </c>
      <c r="G498" s="291">
        <v>17.77</v>
      </c>
      <c r="H498" s="1303" t="s">
        <v>1573</v>
      </c>
      <c r="I498" s="1303"/>
      <c r="L498" s="385"/>
      <c r="M498" s="385"/>
      <c r="N498" s="385"/>
      <c r="O498" s="385"/>
    </row>
    <row r="499" spans="1:15" ht="18" customHeight="1">
      <c r="A499" s="385"/>
      <c r="B499" s="385"/>
      <c r="H499" s="385"/>
      <c r="L499" s="385"/>
      <c r="M499" s="385"/>
      <c r="N499" s="385"/>
      <c r="O499" s="385"/>
    </row>
    <row r="500" spans="1:15" ht="18" customHeight="1">
      <c r="A500" s="385"/>
      <c r="B500" s="385"/>
      <c r="H500" s="385"/>
      <c r="L500" s="385"/>
      <c r="M500" s="385"/>
      <c r="N500" s="385"/>
      <c r="O500" s="385"/>
    </row>
    <row r="501" spans="1:15" ht="18" customHeight="1">
      <c r="A501" s="385"/>
      <c r="B501" s="385"/>
      <c r="H501" s="385"/>
      <c r="L501" s="385"/>
      <c r="M501" s="385"/>
      <c r="N501" s="385"/>
      <c r="O501" s="385"/>
    </row>
    <row r="502" spans="1:15" ht="18" customHeight="1">
      <c r="A502" s="385"/>
      <c r="B502" s="385"/>
      <c r="H502" s="385"/>
      <c r="L502" s="385"/>
      <c r="M502" s="385"/>
      <c r="N502" s="385"/>
      <c r="O502" s="385"/>
    </row>
    <row r="503" spans="1:15" ht="18" customHeight="1">
      <c r="A503" s="385"/>
      <c r="B503" s="385"/>
      <c r="H503" s="385"/>
      <c r="L503" s="385"/>
      <c r="M503" s="385"/>
      <c r="N503" s="385"/>
      <c r="O503" s="385"/>
    </row>
    <row r="504" spans="1:15" ht="18" customHeight="1">
      <c r="A504" s="385"/>
      <c r="B504" s="385"/>
      <c r="H504" s="385"/>
      <c r="L504" s="385"/>
      <c r="M504" s="385"/>
      <c r="N504" s="385"/>
      <c r="O504" s="385"/>
    </row>
    <row r="505" spans="1:15" ht="18" customHeight="1">
      <c r="A505" s="385"/>
      <c r="B505" s="385"/>
      <c r="H505" s="385"/>
      <c r="L505" s="385"/>
      <c r="M505" s="385"/>
      <c r="N505" s="385"/>
      <c r="O505" s="385"/>
    </row>
    <row r="506" spans="1:15" ht="18" customHeight="1">
      <c r="A506" s="385"/>
      <c r="B506" s="385"/>
      <c r="H506" s="385"/>
      <c r="L506" s="385"/>
      <c r="M506" s="385"/>
      <c r="N506" s="385"/>
      <c r="O506" s="385"/>
    </row>
    <row r="507" spans="1:15" ht="18" customHeight="1">
      <c r="A507" s="385"/>
      <c r="B507" s="385"/>
      <c r="H507" s="385"/>
      <c r="L507" s="385"/>
      <c r="M507" s="385"/>
      <c r="N507" s="385"/>
      <c r="O507" s="385"/>
    </row>
    <row r="508" spans="1:15" ht="18" customHeight="1">
      <c r="A508" s="385"/>
      <c r="B508" s="385"/>
      <c r="H508" s="385"/>
      <c r="L508" s="385"/>
      <c r="M508" s="385"/>
      <c r="N508" s="385"/>
      <c r="O508" s="385"/>
    </row>
    <row r="509" spans="1:15" ht="18" customHeight="1">
      <c r="A509" s="385"/>
      <c r="B509" s="385"/>
      <c r="H509" s="385"/>
      <c r="L509" s="385"/>
      <c r="M509" s="385"/>
      <c r="N509" s="385"/>
      <c r="O509" s="385"/>
    </row>
    <row r="510" spans="1:15" ht="18" customHeight="1">
      <c r="A510" s="385"/>
      <c r="B510" s="385"/>
      <c r="H510" s="385"/>
      <c r="L510" s="385"/>
      <c r="M510" s="385"/>
      <c r="N510" s="385"/>
      <c r="O510" s="385"/>
    </row>
    <row r="511" spans="1:15" ht="18" customHeight="1">
      <c r="A511" s="385"/>
      <c r="B511" s="385"/>
      <c r="H511" s="385"/>
      <c r="L511" s="385"/>
      <c r="M511" s="385"/>
      <c r="N511" s="385"/>
      <c r="O511" s="385"/>
    </row>
    <row r="512" spans="1:15" ht="18" customHeight="1">
      <c r="A512" s="385"/>
      <c r="B512" s="385"/>
      <c r="H512" s="385"/>
      <c r="L512" s="385"/>
      <c r="M512" s="385"/>
      <c r="N512" s="385"/>
      <c r="O512" s="385"/>
    </row>
    <row r="513" spans="1:15" ht="18" customHeight="1">
      <c r="A513" s="385"/>
      <c r="B513" s="385"/>
      <c r="H513" s="385"/>
      <c r="L513" s="385"/>
      <c r="M513" s="385"/>
      <c r="N513" s="385"/>
      <c r="O513" s="385"/>
    </row>
    <row r="514" spans="1:15" ht="18" customHeight="1">
      <c r="A514" s="385"/>
      <c r="B514" s="385"/>
      <c r="H514" s="385"/>
      <c r="L514" s="385"/>
      <c r="M514" s="385"/>
      <c r="N514" s="385"/>
      <c r="O514" s="385"/>
    </row>
    <row r="515" spans="1:15" ht="18" customHeight="1">
      <c r="A515" s="385"/>
      <c r="B515" s="385"/>
      <c r="H515" s="385"/>
      <c r="L515" s="385"/>
      <c r="M515" s="385"/>
      <c r="N515" s="385"/>
      <c r="O515" s="385"/>
    </row>
    <row r="516" spans="1:15" ht="18" customHeight="1">
      <c r="A516" s="385"/>
      <c r="B516" s="385"/>
      <c r="H516" s="385"/>
      <c r="L516" s="385"/>
      <c r="M516" s="385"/>
      <c r="N516" s="385"/>
      <c r="O516" s="385"/>
    </row>
    <row r="517" spans="1:15" ht="18" customHeight="1">
      <c r="A517" s="385"/>
      <c r="B517" s="385"/>
      <c r="H517" s="385"/>
      <c r="L517" s="385"/>
      <c r="M517" s="385"/>
      <c r="N517" s="385"/>
      <c r="O517" s="385"/>
    </row>
    <row r="518" spans="1:15" ht="18" customHeight="1">
      <c r="A518" s="385"/>
      <c r="B518" s="385"/>
      <c r="H518" s="385"/>
      <c r="L518" s="385"/>
      <c r="M518" s="385"/>
      <c r="N518" s="385"/>
      <c r="O518" s="385"/>
    </row>
    <row r="519" spans="1:15" ht="18" customHeight="1">
      <c r="A519" s="385"/>
      <c r="B519" s="385"/>
      <c r="H519" s="385"/>
      <c r="L519" s="385"/>
      <c r="M519" s="385"/>
      <c r="N519" s="385"/>
      <c r="O519" s="385"/>
    </row>
    <row r="520" spans="1:15" ht="18" customHeight="1">
      <c r="A520" s="385"/>
      <c r="B520" s="385"/>
      <c r="H520" s="385"/>
      <c r="L520" s="385"/>
      <c r="M520" s="385"/>
      <c r="N520" s="385"/>
      <c r="O520" s="385"/>
    </row>
    <row r="521" spans="1:15" ht="18" customHeight="1">
      <c r="A521" s="385"/>
      <c r="B521" s="385"/>
      <c r="H521" s="385"/>
      <c r="L521" s="385"/>
      <c r="M521" s="385"/>
      <c r="N521" s="385"/>
      <c r="O521" s="385"/>
    </row>
    <row r="522" spans="1:15" ht="18" customHeight="1">
      <c r="A522" s="385"/>
      <c r="B522" s="385"/>
      <c r="H522" s="385"/>
      <c r="L522" s="385"/>
      <c r="M522" s="385"/>
      <c r="N522" s="385"/>
      <c r="O522" s="385"/>
    </row>
    <row r="523" spans="1:15" ht="18" customHeight="1">
      <c r="A523" s="385"/>
      <c r="B523" s="385"/>
      <c r="H523" s="385"/>
      <c r="L523" s="385"/>
      <c r="M523" s="385"/>
      <c r="N523" s="385"/>
      <c r="O523" s="385"/>
    </row>
    <row r="524" spans="1:15" ht="18" customHeight="1">
      <c r="A524" s="385"/>
      <c r="B524" s="385"/>
      <c r="H524" s="385"/>
      <c r="L524" s="385"/>
      <c r="M524" s="385"/>
      <c r="N524" s="385"/>
      <c r="O524" s="385"/>
    </row>
    <row r="525" spans="1:15" ht="18" customHeight="1">
      <c r="A525" s="385"/>
      <c r="B525" s="385"/>
      <c r="H525" s="385"/>
      <c r="L525" s="385"/>
      <c r="M525" s="385"/>
      <c r="N525" s="385"/>
      <c r="O525" s="385"/>
    </row>
    <row r="526" spans="1:15" ht="18" customHeight="1">
      <c r="A526" s="385"/>
      <c r="B526" s="385"/>
      <c r="H526" s="385"/>
      <c r="L526" s="385"/>
      <c r="M526" s="385"/>
      <c r="N526" s="385"/>
      <c r="O526" s="385"/>
    </row>
    <row r="527" spans="1:15" ht="18" customHeight="1">
      <c r="A527" s="385"/>
      <c r="B527" s="385"/>
      <c r="H527" s="385"/>
      <c r="L527" s="385"/>
      <c r="M527" s="385"/>
      <c r="N527" s="385"/>
      <c r="O527" s="385"/>
    </row>
    <row r="528" spans="1:15" ht="18" customHeight="1">
      <c r="A528" s="385"/>
      <c r="B528" s="385"/>
      <c r="H528" s="385"/>
      <c r="L528" s="385"/>
      <c r="M528" s="385"/>
      <c r="N528" s="385"/>
      <c r="O528" s="385"/>
    </row>
    <row r="529" spans="1:15" ht="18" customHeight="1">
      <c r="A529" s="385"/>
      <c r="B529" s="385"/>
      <c r="H529" s="385"/>
      <c r="L529" s="385"/>
      <c r="M529" s="385"/>
      <c r="N529" s="385"/>
      <c r="O529" s="385"/>
    </row>
    <row r="530" spans="1:15" ht="18" customHeight="1">
      <c r="A530" s="385"/>
      <c r="B530" s="385"/>
      <c r="H530" s="385"/>
      <c r="L530" s="385"/>
      <c r="M530" s="385"/>
      <c r="N530" s="385"/>
      <c r="O530" s="385"/>
    </row>
    <row r="531" spans="1:15" ht="18" customHeight="1">
      <c r="A531" s="385"/>
      <c r="B531" s="385"/>
      <c r="H531" s="385"/>
      <c r="L531" s="385"/>
      <c r="M531" s="385"/>
      <c r="N531" s="385"/>
      <c r="O531" s="385"/>
    </row>
    <row r="532" spans="1:15" ht="18" customHeight="1">
      <c r="A532" s="385"/>
      <c r="B532" s="385"/>
      <c r="H532" s="385"/>
      <c r="L532" s="385"/>
      <c r="M532" s="385"/>
      <c r="N532" s="385"/>
      <c r="O532" s="385"/>
    </row>
    <row r="533" spans="1:15" ht="18" customHeight="1">
      <c r="A533" s="385"/>
      <c r="B533" s="385"/>
      <c r="H533" s="385"/>
      <c r="L533" s="385"/>
      <c r="M533" s="385"/>
      <c r="N533" s="385"/>
      <c r="O533" s="385"/>
    </row>
    <row r="534" spans="1:15" ht="18" customHeight="1">
      <c r="A534" s="385"/>
      <c r="B534" s="385"/>
      <c r="H534" s="385"/>
      <c r="L534" s="385"/>
      <c r="M534" s="385"/>
      <c r="N534" s="385"/>
      <c r="O534" s="385"/>
    </row>
    <row r="535" spans="1:15" ht="18" customHeight="1">
      <c r="A535" s="385"/>
      <c r="B535" s="385"/>
      <c r="H535" s="385"/>
      <c r="L535" s="385"/>
      <c r="M535" s="385"/>
      <c r="N535" s="385"/>
      <c r="O535" s="385"/>
    </row>
    <row r="536" spans="1:15" ht="18" customHeight="1">
      <c r="A536" s="385"/>
      <c r="B536" s="385"/>
      <c r="H536" s="385"/>
      <c r="L536" s="385"/>
      <c r="M536" s="385"/>
      <c r="N536" s="385"/>
      <c r="O536" s="385"/>
    </row>
    <row r="537" spans="1:15" ht="18" customHeight="1">
      <c r="A537" s="385"/>
      <c r="B537" s="385"/>
      <c r="H537" s="385"/>
      <c r="L537" s="385"/>
      <c r="M537" s="385"/>
      <c r="N537" s="385"/>
      <c r="O537" s="385"/>
    </row>
    <row r="538" spans="1:15" ht="18" customHeight="1">
      <c r="A538" s="385"/>
      <c r="B538" s="385"/>
      <c r="H538" s="385"/>
      <c r="L538" s="385"/>
      <c r="M538" s="385"/>
      <c r="N538" s="385"/>
      <c r="O538" s="385"/>
    </row>
    <row r="539" spans="1:15" ht="18" customHeight="1">
      <c r="A539" s="385"/>
      <c r="B539" s="385"/>
      <c r="H539" s="385"/>
      <c r="L539" s="385"/>
      <c r="M539" s="385"/>
      <c r="N539" s="385"/>
      <c r="O539" s="385"/>
    </row>
    <row r="540" spans="1:15" ht="18" customHeight="1">
      <c r="A540" s="385"/>
      <c r="B540" s="385"/>
      <c r="H540" s="385"/>
      <c r="L540" s="385"/>
      <c r="M540" s="385"/>
      <c r="N540" s="385"/>
      <c r="O540" s="385"/>
    </row>
    <row r="541" spans="1:15" ht="18" customHeight="1">
      <c r="A541" s="385"/>
      <c r="B541" s="385"/>
      <c r="H541" s="385"/>
      <c r="L541" s="385"/>
      <c r="M541" s="385"/>
      <c r="N541" s="385"/>
      <c r="O541" s="385"/>
    </row>
    <row r="542" spans="1:15" ht="18" customHeight="1">
      <c r="A542" s="385"/>
      <c r="B542" s="385"/>
      <c r="H542" s="385"/>
      <c r="L542" s="385"/>
      <c r="M542" s="385"/>
      <c r="N542" s="385"/>
      <c r="O542" s="385"/>
    </row>
    <row r="543" spans="1:15" ht="18" customHeight="1">
      <c r="A543" s="385"/>
      <c r="B543" s="385"/>
      <c r="H543" s="385"/>
      <c r="L543" s="385"/>
      <c r="M543" s="385"/>
      <c r="N543" s="385"/>
      <c r="O543" s="385"/>
    </row>
    <row r="544" spans="1:15" ht="18" customHeight="1">
      <c r="A544" s="385"/>
      <c r="B544" s="385"/>
      <c r="H544" s="385"/>
      <c r="L544" s="385"/>
      <c r="M544" s="385"/>
      <c r="N544" s="385"/>
      <c r="O544" s="385"/>
    </row>
    <row r="545" spans="1:15" ht="18" customHeight="1">
      <c r="A545" s="385"/>
      <c r="B545" s="385"/>
      <c r="H545" s="385"/>
      <c r="L545" s="385"/>
      <c r="M545" s="385"/>
      <c r="N545" s="385"/>
      <c r="O545" s="385"/>
    </row>
    <row r="546" spans="1:15" ht="18" customHeight="1">
      <c r="A546" s="385"/>
      <c r="B546" s="385"/>
      <c r="H546" s="385"/>
      <c r="L546" s="385"/>
      <c r="M546" s="385"/>
      <c r="N546" s="385"/>
      <c r="O546" s="385"/>
    </row>
    <row r="547" spans="1:15" ht="18" customHeight="1">
      <c r="A547" s="385"/>
      <c r="B547" s="385"/>
      <c r="H547" s="385"/>
      <c r="L547" s="385"/>
      <c r="M547" s="385"/>
      <c r="N547" s="385"/>
      <c r="O547" s="385"/>
    </row>
    <row r="548" spans="1:15" ht="18" customHeight="1">
      <c r="A548" s="385"/>
      <c r="B548" s="385"/>
      <c r="H548" s="385"/>
      <c r="L548" s="385"/>
      <c r="M548" s="385"/>
      <c r="N548" s="385"/>
      <c r="O548" s="385"/>
    </row>
    <row r="549" spans="1:15" ht="18" customHeight="1">
      <c r="A549" s="385"/>
      <c r="B549" s="385"/>
      <c r="H549" s="385"/>
      <c r="L549" s="385"/>
      <c r="M549" s="385"/>
      <c r="N549" s="385"/>
      <c r="O549" s="385"/>
    </row>
    <row r="550" spans="1:15" ht="18" customHeight="1">
      <c r="A550" s="385"/>
      <c r="B550" s="385"/>
      <c r="H550" s="385"/>
      <c r="L550" s="385"/>
      <c r="M550" s="385"/>
      <c r="N550" s="385"/>
      <c r="O550" s="385"/>
    </row>
    <row r="551" spans="1:15" ht="18" customHeight="1">
      <c r="A551" s="385"/>
      <c r="B551" s="385"/>
      <c r="H551" s="385"/>
      <c r="L551" s="385"/>
      <c r="M551" s="385"/>
      <c r="N551" s="385"/>
      <c r="O551" s="385"/>
    </row>
    <row r="552" spans="1:15" ht="18" customHeight="1">
      <c r="A552" s="385"/>
      <c r="B552" s="385"/>
      <c r="H552" s="385"/>
      <c r="L552" s="385"/>
      <c r="M552" s="385"/>
      <c r="N552" s="385"/>
      <c r="O552" s="385"/>
    </row>
    <row r="553" spans="1:15" ht="18" customHeight="1">
      <c r="A553" s="385"/>
      <c r="B553" s="385"/>
      <c r="H553" s="385"/>
      <c r="L553" s="385"/>
      <c r="M553" s="385"/>
      <c r="N553" s="385"/>
      <c r="O553" s="385"/>
    </row>
    <row r="554" spans="1:15" ht="18" customHeight="1">
      <c r="A554" s="385"/>
      <c r="B554" s="385"/>
      <c r="H554" s="385"/>
      <c r="L554" s="385"/>
      <c r="M554" s="385"/>
      <c r="N554" s="385"/>
      <c r="O554" s="385"/>
    </row>
    <row r="555" spans="1:15" ht="18" customHeight="1">
      <c r="A555" s="385"/>
      <c r="B555" s="385"/>
      <c r="H555" s="385"/>
      <c r="L555" s="385"/>
      <c r="M555" s="385"/>
      <c r="N555" s="385"/>
      <c r="O555" s="385"/>
    </row>
    <row r="556" spans="1:15" ht="18" customHeight="1">
      <c r="A556" s="385"/>
      <c r="B556" s="385"/>
      <c r="H556" s="385"/>
      <c r="L556" s="385"/>
      <c r="M556" s="385"/>
      <c r="N556" s="385"/>
      <c r="O556" s="385"/>
    </row>
    <row r="557" spans="1:15" ht="18" customHeight="1">
      <c r="A557" s="385"/>
      <c r="B557" s="385"/>
      <c r="H557" s="385"/>
      <c r="L557" s="385"/>
      <c r="M557" s="385"/>
      <c r="N557" s="385"/>
      <c r="O557" s="385"/>
    </row>
    <row r="558" spans="1:15" ht="18" customHeight="1">
      <c r="A558" s="385"/>
      <c r="B558" s="385"/>
      <c r="H558" s="385"/>
      <c r="L558" s="385"/>
      <c r="M558" s="385"/>
      <c r="N558" s="385"/>
      <c r="O558" s="385"/>
    </row>
    <row r="559" spans="1:15" ht="18" customHeight="1">
      <c r="A559" s="385"/>
      <c r="B559" s="385"/>
      <c r="H559" s="385"/>
      <c r="L559" s="385"/>
      <c r="M559" s="385"/>
      <c r="N559" s="385"/>
      <c r="O559" s="385"/>
    </row>
    <row r="560" spans="1:15" ht="18" customHeight="1">
      <c r="A560" s="385"/>
      <c r="B560" s="385"/>
      <c r="H560" s="385"/>
      <c r="L560" s="385"/>
      <c r="M560" s="385"/>
      <c r="N560" s="385"/>
      <c r="O560" s="385"/>
    </row>
    <row r="561" spans="1:15" ht="18" customHeight="1">
      <c r="A561" s="385"/>
      <c r="B561" s="385"/>
      <c r="H561" s="385"/>
      <c r="L561" s="385"/>
      <c r="M561" s="385"/>
      <c r="N561" s="385"/>
      <c r="O561" s="385"/>
    </row>
    <row r="562" spans="1:15" ht="18" customHeight="1">
      <c r="A562" s="385"/>
      <c r="B562" s="385"/>
      <c r="H562" s="385"/>
      <c r="L562" s="385"/>
      <c r="M562" s="385"/>
      <c r="N562" s="385"/>
      <c r="O562" s="385"/>
    </row>
    <row r="563" spans="1:15" ht="18" customHeight="1">
      <c r="A563" s="385"/>
      <c r="B563" s="385"/>
      <c r="H563" s="385"/>
      <c r="L563" s="385"/>
      <c r="M563" s="385"/>
      <c r="N563" s="385"/>
      <c r="O563" s="385"/>
    </row>
    <row r="564" spans="1:15" ht="18" customHeight="1">
      <c r="A564" s="385"/>
      <c r="B564" s="385"/>
      <c r="H564" s="385"/>
      <c r="L564" s="385"/>
      <c r="M564" s="385"/>
      <c r="N564" s="385"/>
      <c r="O564" s="385"/>
    </row>
    <row r="565" spans="1:15" ht="18" customHeight="1">
      <c r="A565" s="385"/>
      <c r="B565" s="385"/>
      <c r="H565" s="385"/>
      <c r="L565" s="385"/>
      <c r="M565" s="385"/>
      <c r="N565" s="385"/>
      <c r="O565" s="385"/>
    </row>
    <row r="566" spans="1:15" ht="18" customHeight="1">
      <c r="A566" s="385"/>
      <c r="B566" s="385"/>
      <c r="H566" s="385"/>
      <c r="L566" s="385"/>
      <c r="M566" s="385"/>
      <c r="N566" s="385"/>
      <c r="O566" s="385"/>
    </row>
    <row r="567" spans="1:15" ht="18" customHeight="1">
      <c r="A567" s="385"/>
      <c r="B567" s="385"/>
      <c r="H567" s="385"/>
      <c r="L567" s="385"/>
      <c r="M567" s="385"/>
      <c r="N567" s="385"/>
      <c r="O567" s="385"/>
    </row>
    <row r="568" spans="1:15" ht="18" customHeight="1">
      <c r="A568" s="385"/>
      <c r="B568" s="385"/>
      <c r="H568" s="385"/>
      <c r="L568" s="385"/>
      <c r="M568" s="385"/>
      <c r="N568" s="385"/>
      <c r="O568" s="385"/>
    </row>
    <row r="569" spans="1:15" ht="18" customHeight="1">
      <c r="A569" s="385"/>
      <c r="B569" s="385"/>
      <c r="H569" s="385"/>
      <c r="L569" s="385"/>
      <c r="M569" s="385"/>
      <c r="N569" s="385"/>
      <c r="O569" s="385"/>
    </row>
    <row r="570" spans="1:15" ht="18" customHeight="1">
      <c r="A570" s="385"/>
      <c r="B570" s="385"/>
      <c r="H570" s="385"/>
      <c r="L570" s="385"/>
      <c r="M570" s="385"/>
      <c r="N570" s="385"/>
      <c r="O570" s="385"/>
    </row>
    <row r="571" spans="1:15" ht="18" customHeight="1">
      <c r="A571" s="385"/>
      <c r="B571" s="385"/>
      <c r="H571" s="385"/>
      <c r="L571" s="385"/>
      <c r="M571" s="385"/>
      <c r="N571" s="385"/>
      <c r="O571" s="385"/>
    </row>
    <row r="572" spans="1:15" ht="18" customHeight="1">
      <c r="A572" s="385"/>
      <c r="B572" s="385"/>
      <c r="H572" s="385"/>
      <c r="L572" s="385"/>
      <c r="M572" s="385"/>
      <c r="N572" s="385"/>
      <c r="O572" s="385"/>
    </row>
    <row r="573" spans="1:15" ht="18" customHeight="1">
      <c r="A573" s="385"/>
      <c r="B573" s="385"/>
      <c r="H573" s="385"/>
      <c r="L573" s="385"/>
      <c r="M573" s="385"/>
      <c r="N573" s="385"/>
      <c r="O573" s="385"/>
    </row>
    <row r="574" spans="1:15" ht="18" customHeight="1">
      <c r="A574" s="385"/>
      <c r="B574" s="385"/>
      <c r="H574" s="385"/>
      <c r="L574" s="385"/>
      <c r="M574" s="385"/>
      <c r="N574" s="385"/>
      <c r="O574" s="385"/>
    </row>
    <row r="575" spans="1:15" ht="18" customHeight="1">
      <c r="A575" s="385"/>
      <c r="B575" s="385"/>
      <c r="H575" s="385"/>
      <c r="L575" s="385"/>
      <c r="M575" s="385"/>
      <c r="N575" s="385"/>
      <c r="O575" s="385"/>
    </row>
    <row r="576" spans="1:15" ht="18" customHeight="1">
      <c r="A576" s="385"/>
      <c r="B576" s="385"/>
      <c r="H576" s="385"/>
      <c r="L576" s="385"/>
      <c r="M576" s="385"/>
      <c r="N576" s="385"/>
      <c r="O576" s="385"/>
    </row>
    <row r="577" spans="1:15" ht="18" customHeight="1">
      <c r="A577" s="385"/>
      <c r="B577" s="385"/>
      <c r="H577" s="385"/>
      <c r="L577" s="385"/>
      <c r="M577" s="385"/>
      <c r="N577" s="385"/>
      <c r="O577" s="385"/>
    </row>
    <row r="578" spans="1:15" ht="18" customHeight="1">
      <c r="A578" s="385"/>
      <c r="B578" s="385"/>
      <c r="H578" s="385"/>
      <c r="L578" s="385"/>
      <c r="M578" s="385"/>
      <c r="N578" s="385"/>
      <c r="O578" s="385"/>
    </row>
    <row r="579" spans="1:15" ht="18" customHeight="1">
      <c r="A579" s="385"/>
      <c r="B579" s="385"/>
      <c r="H579" s="385"/>
      <c r="L579" s="385"/>
      <c r="M579" s="385"/>
      <c r="N579" s="385"/>
      <c r="O579" s="385"/>
    </row>
    <row r="580" spans="1:15" ht="18" customHeight="1">
      <c r="A580" s="385"/>
      <c r="B580" s="385"/>
      <c r="H580" s="385"/>
      <c r="L580" s="385"/>
      <c r="M580" s="385"/>
      <c r="N580" s="385"/>
      <c r="O580" s="385"/>
    </row>
    <row r="581" spans="1:15" ht="18" customHeight="1">
      <c r="A581" s="385"/>
      <c r="B581" s="385"/>
      <c r="H581" s="385"/>
      <c r="L581" s="385"/>
      <c r="M581" s="385"/>
      <c r="N581" s="385"/>
      <c r="O581" s="385"/>
    </row>
    <row r="582" spans="1:15" ht="18" customHeight="1">
      <c r="A582" s="385"/>
      <c r="B582" s="385"/>
      <c r="H582" s="385"/>
      <c r="L582" s="385"/>
      <c r="M582" s="385"/>
      <c r="N582" s="385"/>
      <c r="O582" s="385"/>
    </row>
    <row r="583" spans="1:15" ht="18" customHeight="1">
      <c r="A583" s="385"/>
      <c r="B583" s="385"/>
      <c r="H583" s="385"/>
      <c r="L583" s="385"/>
      <c r="M583" s="385"/>
      <c r="N583" s="385"/>
      <c r="O583" s="385"/>
    </row>
    <row r="584" spans="1:15" ht="18" customHeight="1">
      <c r="A584" s="385"/>
      <c r="B584" s="385"/>
      <c r="H584" s="385"/>
      <c r="L584" s="385"/>
      <c r="M584" s="385"/>
      <c r="N584" s="385"/>
      <c r="O584" s="385"/>
    </row>
    <row r="585" spans="1:15" ht="18" customHeight="1">
      <c r="A585" s="385"/>
      <c r="B585" s="385"/>
      <c r="H585" s="385"/>
      <c r="L585" s="385"/>
      <c r="M585" s="385"/>
      <c r="N585" s="385"/>
      <c r="O585" s="385"/>
    </row>
    <row r="586" spans="1:15" ht="18" customHeight="1">
      <c r="A586" s="385"/>
      <c r="B586" s="385"/>
      <c r="H586" s="385"/>
      <c r="L586" s="385"/>
      <c r="M586" s="385"/>
      <c r="N586" s="385"/>
      <c r="O586" s="385"/>
    </row>
    <row r="587" spans="1:15" ht="18" customHeight="1">
      <c r="A587" s="385"/>
      <c r="B587" s="385"/>
      <c r="H587" s="385"/>
      <c r="L587" s="385"/>
      <c r="M587" s="385"/>
      <c r="N587" s="385"/>
      <c r="O587" s="385"/>
    </row>
    <row r="588" spans="1:15" ht="18" customHeight="1">
      <c r="A588" s="385"/>
      <c r="B588" s="385"/>
      <c r="H588" s="385"/>
      <c r="L588" s="385"/>
      <c r="M588" s="385"/>
      <c r="N588" s="385"/>
      <c r="O588" s="385"/>
    </row>
    <row r="589" spans="1:15" ht="18" customHeight="1">
      <c r="A589" s="385"/>
      <c r="B589" s="385"/>
      <c r="H589" s="385"/>
      <c r="L589" s="385"/>
      <c r="M589" s="385"/>
      <c r="N589" s="385"/>
      <c r="O589" s="385"/>
    </row>
    <row r="590" spans="1:15" ht="18" customHeight="1">
      <c r="A590" s="385"/>
      <c r="B590" s="385"/>
      <c r="H590" s="385"/>
      <c r="L590" s="385"/>
      <c r="M590" s="385"/>
      <c r="N590" s="385"/>
      <c r="O590" s="385"/>
    </row>
    <row r="591" spans="1:15" ht="18" customHeight="1">
      <c r="A591" s="385"/>
      <c r="B591" s="385"/>
      <c r="H591" s="385"/>
      <c r="L591" s="385"/>
      <c r="M591" s="385"/>
      <c r="N591" s="385"/>
      <c r="O591" s="385"/>
    </row>
    <row r="592" spans="1:15" ht="18" customHeight="1">
      <c r="A592" s="385"/>
      <c r="B592" s="385"/>
      <c r="H592" s="385"/>
      <c r="L592" s="385"/>
      <c r="M592" s="385"/>
      <c r="N592" s="385"/>
      <c r="O592" s="385"/>
    </row>
    <row r="593" spans="1:15" ht="18" customHeight="1">
      <c r="A593" s="385"/>
      <c r="B593" s="385"/>
      <c r="H593" s="385"/>
      <c r="L593" s="385"/>
      <c r="M593" s="385"/>
      <c r="N593" s="385"/>
      <c r="O593" s="385"/>
    </row>
    <row r="594" spans="1:15" ht="18" customHeight="1">
      <c r="A594" s="385"/>
      <c r="B594" s="385"/>
      <c r="H594" s="385"/>
      <c r="L594" s="385"/>
      <c r="M594" s="385"/>
      <c r="N594" s="385"/>
      <c r="O594" s="385"/>
    </row>
    <row r="595" spans="1:15" ht="18" customHeight="1">
      <c r="A595" s="385"/>
      <c r="B595" s="385"/>
      <c r="H595" s="385"/>
      <c r="L595" s="385"/>
      <c r="M595" s="385"/>
      <c r="N595" s="385"/>
      <c r="O595" s="385"/>
    </row>
    <row r="596" spans="1:15" ht="18" customHeight="1">
      <c r="A596" s="385"/>
      <c r="B596" s="385"/>
      <c r="H596" s="385"/>
      <c r="L596" s="385"/>
      <c r="M596" s="385"/>
      <c r="N596" s="385"/>
      <c r="O596" s="385"/>
    </row>
    <row r="597" spans="1:15" ht="18" customHeight="1">
      <c r="A597" s="385"/>
      <c r="B597" s="385"/>
      <c r="H597" s="385"/>
      <c r="L597" s="385"/>
      <c r="M597" s="385"/>
      <c r="N597" s="385"/>
      <c r="O597" s="385"/>
    </row>
    <row r="598" spans="1:15" ht="18" customHeight="1">
      <c r="A598" s="385"/>
      <c r="B598" s="385"/>
      <c r="H598" s="385"/>
      <c r="L598" s="385"/>
      <c r="M598" s="385"/>
      <c r="N598" s="385"/>
      <c r="O598" s="385"/>
    </row>
    <row r="599" spans="1:15" ht="18" customHeight="1">
      <c r="A599" s="385"/>
      <c r="B599" s="385"/>
      <c r="H599" s="385"/>
      <c r="L599" s="385"/>
      <c r="M599" s="385"/>
      <c r="N599" s="385"/>
      <c r="O599" s="385"/>
    </row>
    <row r="600" spans="1:15" ht="18" customHeight="1">
      <c r="A600" s="385"/>
      <c r="B600" s="385"/>
      <c r="H600" s="385"/>
      <c r="L600" s="385"/>
      <c r="M600" s="385"/>
      <c r="N600" s="385"/>
      <c r="O600" s="385"/>
    </row>
    <row r="601" spans="1:15" ht="18" customHeight="1">
      <c r="A601" s="385"/>
      <c r="B601" s="385"/>
      <c r="H601" s="385"/>
      <c r="L601" s="385"/>
      <c r="M601" s="385"/>
      <c r="N601" s="385"/>
      <c r="O601" s="385"/>
    </row>
    <row r="602" spans="1:15" ht="18" customHeight="1">
      <c r="A602" s="385"/>
      <c r="B602" s="385"/>
      <c r="H602" s="385"/>
      <c r="L602" s="385"/>
      <c r="M602" s="385"/>
      <c r="N602" s="385"/>
      <c r="O602" s="385"/>
    </row>
    <row r="603" spans="1:15" ht="18" customHeight="1">
      <c r="A603" s="385"/>
      <c r="B603" s="385"/>
      <c r="H603" s="385"/>
      <c r="L603" s="385"/>
      <c r="M603" s="385"/>
      <c r="N603" s="385"/>
      <c r="O603" s="385"/>
    </row>
    <row r="604" spans="1:15" ht="18" customHeight="1">
      <c r="A604" s="385"/>
      <c r="B604" s="385"/>
      <c r="H604" s="385"/>
      <c r="L604" s="385"/>
      <c r="M604" s="385"/>
      <c r="N604" s="385"/>
      <c r="O604" s="385"/>
    </row>
    <row r="605" spans="1:15" ht="18" customHeight="1">
      <c r="A605" s="385"/>
      <c r="B605" s="385"/>
      <c r="H605" s="385"/>
      <c r="L605" s="385"/>
      <c r="M605" s="385"/>
      <c r="N605" s="385"/>
      <c r="O605" s="385"/>
    </row>
    <row r="606" spans="1:15" ht="18" customHeight="1">
      <c r="A606" s="385"/>
      <c r="B606" s="385"/>
      <c r="H606" s="385"/>
      <c r="L606" s="385"/>
      <c r="M606" s="385"/>
      <c r="N606" s="385"/>
      <c r="O606" s="385"/>
    </row>
    <row r="607" spans="1:15" ht="18" customHeight="1">
      <c r="A607" s="385"/>
      <c r="B607" s="385"/>
      <c r="H607" s="385"/>
      <c r="L607" s="385"/>
      <c r="M607" s="385"/>
      <c r="N607" s="385"/>
      <c r="O607" s="385"/>
    </row>
    <row r="608" spans="1:15" ht="18" customHeight="1">
      <c r="A608" s="385"/>
      <c r="B608" s="385"/>
      <c r="H608" s="385"/>
      <c r="L608" s="385"/>
      <c r="M608" s="385"/>
      <c r="N608" s="385"/>
      <c r="O608" s="385"/>
    </row>
    <row r="609" spans="1:15" ht="18" customHeight="1">
      <c r="A609" s="385"/>
      <c r="B609" s="385"/>
      <c r="H609" s="385"/>
      <c r="L609" s="385"/>
      <c r="M609" s="385"/>
      <c r="N609" s="385"/>
      <c r="O609" s="385"/>
    </row>
    <row r="610" spans="1:15" ht="18" customHeight="1">
      <c r="A610" s="385"/>
      <c r="B610" s="385"/>
      <c r="H610" s="385"/>
      <c r="L610" s="385"/>
      <c r="M610" s="385"/>
      <c r="N610" s="385"/>
      <c r="O610" s="385"/>
    </row>
    <row r="611" spans="1:15" ht="18" customHeight="1">
      <c r="A611" s="385"/>
      <c r="B611" s="385"/>
      <c r="H611" s="385"/>
      <c r="L611" s="385"/>
      <c r="M611" s="385"/>
      <c r="N611" s="385"/>
      <c r="O611" s="385"/>
    </row>
    <row r="612" spans="1:15" ht="18" customHeight="1">
      <c r="A612" s="385"/>
      <c r="B612" s="385"/>
      <c r="H612" s="385"/>
      <c r="L612" s="385"/>
      <c r="M612" s="385"/>
      <c r="N612" s="385"/>
      <c r="O612" s="385"/>
    </row>
    <row r="613" spans="1:15" ht="18" customHeight="1">
      <c r="A613" s="385"/>
      <c r="B613" s="385"/>
      <c r="H613" s="385"/>
      <c r="L613" s="385"/>
      <c r="M613" s="385"/>
      <c r="N613" s="385"/>
      <c r="O613" s="385"/>
    </row>
    <row r="614" spans="1:15" ht="18" customHeight="1">
      <c r="A614" s="385"/>
      <c r="B614" s="385"/>
      <c r="H614" s="385"/>
      <c r="L614" s="385"/>
      <c r="M614" s="385"/>
      <c r="N614" s="385"/>
      <c r="O614" s="385"/>
    </row>
    <row r="615" spans="1:15" ht="18" customHeight="1">
      <c r="A615" s="385"/>
      <c r="B615" s="385"/>
      <c r="H615" s="385"/>
      <c r="L615" s="385"/>
      <c r="M615" s="385"/>
      <c r="N615" s="385"/>
      <c r="O615" s="385"/>
    </row>
    <row r="616" spans="1:15" ht="18" customHeight="1">
      <c r="A616" s="385"/>
      <c r="B616" s="385"/>
      <c r="H616" s="385"/>
      <c r="L616" s="385"/>
      <c r="M616" s="385"/>
      <c r="N616" s="385"/>
      <c r="O616" s="385"/>
    </row>
    <row r="617" spans="1:15" ht="18" customHeight="1">
      <c r="A617" s="385"/>
      <c r="B617" s="385"/>
      <c r="H617" s="385"/>
      <c r="L617" s="385"/>
      <c r="M617" s="385"/>
      <c r="N617" s="385"/>
      <c r="O617" s="385"/>
    </row>
    <row r="618" spans="1:15" ht="18" customHeight="1">
      <c r="A618" s="385"/>
      <c r="B618" s="385"/>
      <c r="H618" s="385"/>
      <c r="L618" s="385"/>
      <c r="M618" s="385"/>
      <c r="N618" s="385"/>
      <c r="O618" s="385"/>
    </row>
    <row r="619" spans="1:15" ht="18" customHeight="1">
      <c r="A619" s="385"/>
      <c r="B619" s="385"/>
      <c r="H619" s="385"/>
      <c r="L619" s="385"/>
      <c r="M619" s="385"/>
      <c r="N619" s="385"/>
      <c r="O619" s="385"/>
    </row>
    <row r="620" spans="1:15" ht="18" customHeight="1">
      <c r="A620" s="385"/>
      <c r="B620" s="385"/>
      <c r="H620" s="385"/>
      <c r="L620" s="385"/>
      <c r="M620" s="385"/>
      <c r="N620" s="385"/>
      <c r="O620" s="385"/>
    </row>
    <row r="621" spans="1:15" ht="18" customHeight="1">
      <c r="A621" s="385"/>
      <c r="B621" s="385"/>
      <c r="H621" s="385"/>
      <c r="L621" s="385"/>
      <c r="M621" s="385"/>
      <c r="N621" s="385"/>
      <c r="O621" s="385"/>
    </row>
    <row r="622" spans="1:15" ht="18" customHeight="1">
      <c r="A622" s="385"/>
      <c r="B622" s="385"/>
      <c r="H622" s="385"/>
      <c r="L622" s="385"/>
      <c r="M622" s="385"/>
      <c r="N622" s="385"/>
      <c r="O622" s="385"/>
    </row>
    <row r="623" spans="1:15" ht="18" customHeight="1">
      <c r="A623" s="385"/>
      <c r="B623" s="385"/>
      <c r="H623" s="385"/>
      <c r="L623" s="385"/>
      <c r="M623" s="385"/>
      <c r="N623" s="385"/>
      <c r="O623" s="385"/>
    </row>
    <row r="624" spans="1:15" ht="18" customHeight="1">
      <c r="A624" s="385"/>
      <c r="B624" s="385"/>
      <c r="H624" s="385"/>
      <c r="L624" s="385"/>
      <c r="M624" s="385"/>
      <c r="N624" s="385"/>
      <c r="O624" s="385"/>
    </row>
    <row r="625" spans="1:15" ht="18" customHeight="1">
      <c r="A625" s="385"/>
      <c r="B625" s="385"/>
      <c r="H625" s="385"/>
      <c r="L625" s="385"/>
      <c r="M625" s="385"/>
      <c r="N625" s="385"/>
      <c r="O625" s="385"/>
    </row>
    <row r="626" spans="1:15" ht="18" customHeight="1">
      <c r="A626" s="385"/>
      <c r="B626" s="385"/>
      <c r="H626" s="385"/>
      <c r="L626" s="385"/>
      <c r="M626" s="385"/>
      <c r="N626" s="385"/>
      <c r="O626" s="385"/>
    </row>
    <row r="627" spans="1:15" ht="18" customHeight="1">
      <c r="A627" s="385"/>
      <c r="B627" s="385"/>
      <c r="H627" s="385"/>
      <c r="L627" s="385"/>
      <c r="M627" s="385"/>
      <c r="N627" s="385"/>
      <c r="O627" s="385"/>
    </row>
    <row r="628" spans="1:15" ht="18" customHeight="1">
      <c r="A628" s="385"/>
      <c r="B628" s="385"/>
      <c r="H628" s="385"/>
      <c r="L628" s="385"/>
      <c r="M628" s="385"/>
      <c r="N628" s="385"/>
      <c r="O628" s="385"/>
    </row>
    <row r="629" spans="1:15" ht="18" customHeight="1">
      <c r="A629" s="385"/>
      <c r="B629" s="385"/>
      <c r="H629" s="385"/>
      <c r="L629" s="385"/>
      <c r="M629" s="385"/>
      <c r="N629" s="385"/>
      <c r="O629" s="385"/>
    </row>
    <row r="630" spans="1:15" ht="18" customHeight="1">
      <c r="A630" s="385"/>
      <c r="B630" s="385"/>
      <c r="H630" s="385"/>
      <c r="L630" s="385"/>
      <c r="M630" s="385"/>
      <c r="N630" s="385"/>
      <c r="O630" s="385"/>
    </row>
    <row r="631" spans="1:15" ht="18" customHeight="1">
      <c r="A631" s="385"/>
      <c r="B631" s="385"/>
      <c r="H631" s="385"/>
      <c r="L631" s="385"/>
      <c r="M631" s="385"/>
      <c r="N631" s="385"/>
      <c r="O631" s="385"/>
    </row>
    <row r="632" spans="1:15" ht="18" customHeight="1">
      <c r="A632" s="385"/>
      <c r="B632" s="385"/>
      <c r="H632" s="385"/>
      <c r="L632" s="385"/>
      <c r="M632" s="385"/>
      <c r="N632" s="385"/>
      <c r="O632" s="385"/>
    </row>
    <row r="633" spans="1:15" ht="18" customHeight="1">
      <c r="A633" s="385"/>
      <c r="B633" s="385"/>
      <c r="H633" s="385"/>
      <c r="L633" s="385"/>
      <c r="M633" s="385"/>
      <c r="N633" s="385"/>
      <c r="O633" s="385"/>
    </row>
    <row r="634" spans="1:15" ht="18" customHeight="1">
      <c r="A634" s="385"/>
      <c r="B634" s="385"/>
      <c r="H634" s="385"/>
      <c r="L634" s="385"/>
      <c r="M634" s="385"/>
      <c r="N634" s="385"/>
      <c r="O634" s="385"/>
    </row>
    <row r="635" spans="1:15" ht="18" customHeight="1">
      <c r="A635" s="385"/>
      <c r="B635" s="385"/>
      <c r="H635" s="385"/>
      <c r="L635" s="385"/>
      <c r="M635" s="385"/>
      <c r="N635" s="385"/>
      <c r="O635" s="385"/>
    </row>
    <row r="636" spans="1:15" ht="18" customHeight="1">
      <c r="A636" s="385"/>
      <c r="B636" s="385"/>
      <c r="H636" s="385"/>
      <c r="L636" s="385"/>
      <c r="M636" s="385"/>
      <c r="N636" s="385"/>
      <c r="O636" s="385"/>
    </row>
    <row r="637" spans="1:15" ht="18" customHeight="1">
      <c r="A637" s="385"/>
      <c r="B637" s="385"/>
      <c r="H637" s="385"/>
      <c r="L637" s="385"/>
      <c r="M637" s="385"/>
      <c r="N637" s="385"/>
      <c r="O637" s="385"/>
    </row>
    <row r="638" spans="1:15" ht="18" customHeight="1">
      <c r="A638" s="385"/>
      <c r="B638" s="385"/>
      <c r="H638" s="385"/>
      <c r="L638" s="385"/>
      <c r="M638" s="385"/>
      <c r="N638" s="385"/>
      <c r="O638" s="385"/>
    </row>
    <row r="639" spans="1:15" ht="18" customHeight="1">
      <c r="A639" s="385"/>
      <c r="B639" s="385"/>
      <c r="H639" s="385"/>
      <c r="L639" s="385"/>
      <c r="M639" s="385"/>
      <c r="N639" s="385"/>
      <c r="O639" s="385"/>
    </row>
    <row r="640" spans="1:15" ht="18" customHeight="1">
      <c r="A640" s="385"/>
      <c r="B640" s="385"/>
      <c r="H640" s="385"/>
      <c r="L640" s="385"/>
      <c r="M640" s="385"/>
      <c r="N640" s="385"/>
      <c r="O640" s="385"/>
    </row>
    <row r="641" spans="1:15" ht="18" customHeight="1">
      <c r="A641" s="385"/>
      <c r="B641" s="385"/>
      <c r="H641" s="385"/>
      <c r="L641" s="385"/>
      <c r="M641" s="385"/>
      <c r="N641" s="385"/>
      <c r="O641" s="385"/>
    </row>
    <row r="642" spans="1:15" ht="18" customHeight="1">
      <c r="A642" s="385"/>
      <c r="B642" s="385"/>
      <c r="H642" s="385"/>
      <c r="L642" s="385"/>
      <c r="M642" s="385"/>
      <c r="N642" s="385"/>
      <c r="O642" s="385"/>
    </row>
    <row r="643" spans="1:15" ht="18" customHeight="1">
      <c r="A643" s="385"/>
      <c r="B643" s="385"/>
      <c r="H643" s="385"/>
      <c r="L643" s="385"/>
      <c r="M643" s="385"/>
      <c r="N643" s="385"/>
      <c r="O643" s="385"/>
    </row>
    <row r="644" spans="1:15" ht="18" customHeight="1">
      <c r="A644" s="385"/>
      <c r="B644" s="385"/>
      <c r="H644" s="385"/>
      <c r="L644" s="385"/>
      <c r="M644" s="385"/>
      <c r="N644" s="385"/>
      <c r="O644" s="385"/>
    </row>
    <row r="645" spans="1:15" ht="18" customHeight="1">
      <c r="A645" s="385"/>
      <c r="B645" s="385"/>
      <c r="H645" s="385"/>
      <c r="L645" s="385"/>
      <c r="M645" s="385"/>
      <c r="N645" s="385"/>
      <c r="O645" s="385"/>
    </row>
    <row r="646" spans="1:15" ht="18" customHeight="1">
      <c r="A646" s="385"/>
      <c r="B646" s="385"/>
      <c r="H646" s="385"/>
      <c r="L646" s="385"/>
      <c r="M646" s="385"/>
      <c r="N646" s="385"/>
      <c r="O646" s="385"/>
    </row>
    <row r="647" spans="1:15" ht="18" customHeight="1">
      <c r="A647" s="385"/>
      <c r="B647" s="385"/>
      <c r="H647" s="385"/>
      <c r="L647" s="385"/>
      <c r="M647" s="385"/>
      <c r="N647" s="385"/>
      <c r="O647" s="385"/>
    </row>
    <row r="648" spans="1:15" ht="18" customHeight="1">
      <c r="A648" s="385"/>
      <c r="B648" s="385"/>
      <c r="H648" s="385"/>
      <c r="L648" s="385"/>
      <c r="M648" s="385"/>
      <c r="N648" s="385"/>
      <c r="O648" s="385"/>
    </row>
    <row r="649" spans="1:15" ht="18" customHeight="1">
      <c r="A649" s="385"/>
      <c r="B649" s="385"/>
      <c r="H649" s="385"/>
      <c r="L649" s="385"/>
      <c r="M649" s="385"/>
      <c r="N649" s="385"/>
      <c r="O649" s="385"/>
    </row>
    <row r="650" spans="1:15" ht="18" customHeight="1">
      <c r="A650" s="385"/>
      <c r="B650" s="385"/>
      <c r="H650" s="385"/>
      <c r="L650" s="385"/>
      <c r="M650" s="385"/>
      <c r="N650" s="385"/>
      <c r="O650" s="385"/>
    </row>
    <row r="651" spans="1:15" ht="18" customHeight="1">
      <c r="A651" s="385"/>
      <c r="B651" s="385"/>
      <c r="H651" s="385"/>
      <c r="L651" s="385"/>
      <c r="M651" s="385"/>
      <c r="N651" s="385"/>
      <c r="O651" s="385"/>
    </row>
    <row r="652" spans="1:15" ht="18" customHeight="1">
      <c r="A652" s="385"/>
      <c r="B652" s="385"/>
      <c r="H652" s="385"/>
      <c r="L652" s="385"/>
      <c r="M652" s="385"/>
      <c r="N652" s="385"/>
      <c r="O652" s="385"/>
    </row>
    <row r="653" spans="1:15" ht="18" customHeight="1">
      <c r="A653" s="385"/>
      <c r="B653" s="385"/>
      <c r="H653" s="385"/>
      <c r="L653" s="385"/>
      <c r="M653" s="385"/>
      <c r="N653" s="385"/>
      <c r="O653" s="385"/>
    </row>
    <row r="654" spans="1:15" ht="18" customHeight="1">
      <c r="A654" s="385"/>
      <c r="B654" s="385"/>
      <c r="H654" s="385"/>
      <c r="L654" s="385"/>
      <c r="M654" s="385"/>
      <c r="N654" s="385"/>
      <c r="O654" s="385"/>
    </row>
    <row r="655" spans="1:15" ht="18" customHeight="1">
      <c r="A655" s="385"/>
      <c r="B655" s="385"/>
      <c r="H655" s="385"/>
      <c r="L655" s="385"/>
      <c r="M655" s="385"/>
      <c r="N655" s="385"/>
      <c r="O655" s="385"/>
    </row>
    <row r="656" spans="1:15" ht="18" customHeight="1">
      <c r="A656" s="385"/>
      <c r="B656" s="385"/>
      <c r="H656" s="385"/>
      <c r="L656" s="385"/>
      <c r="M656" s="385"/>
      <c r="N656" s="385"/>
      <c r="O656" s="385"/>
    </row>
    <row r="657" spans="1:15" ht="18" customHeight="1">
      <c r="A657" s="385"/>
      <c r="B657" s="385"/>
      <c r="H657" s="385"/>
      <c r="L657" s="385"/>
      <c r="M657" s="385"/>
      <c r="N657" s="385"/>
      <c r="O657" s="385"/>
    </row>
    <row r="658" spans="1:15" ht="18" customHeight="1">
      <c r="A658" s="385"/>
      <c r="B658" s="385"/>
      <c r="H658" s="385"/>
      <c r="L658" s="385"/>
      <c r="M658" s="385"/>
      <c r="N658" s="385"/>
      <c r="O658" s="385"/>
    </row>
    <row r="659" spans="1:15" ht="18" customHeight="1">
      <c r="A659" s="385"/>
      <c r="B659" s="385"/>
      <c r="H659" s="385"/>
      <c r="L659" s="385"/>
      <c r="M659" s="385"/>
      <c r="N659" s="385"/>
      <c r="O659" s="385"/>
    </row>
    <row r="660" spans="1:15" ht="18" customHeight="1">
      <c r="A660" s="385"/>
      <c r="B660" s="385"/>
      <c r="H660" s="385"/>
      <c r="L660" s="385"/>
      <c r="M660" s="385"/>
      <c r="N660" s="385"/>
      <c r="O660" s="385"/>
    </row>
    <row r="661" spans="1:15" ht="18" customHeight="1">
      <c r="A661" s="385"/>
      <c r="B661" s="385"/>
      <c r="H661" s="385"/>
      <c r="L661" s="385"/>
      <c r="M661" s="385"/>
      <c r="N661" s="385"/>
      <c r="O661" s="385"/>
    </row>
    <row r="662" spans="1:15" ht="18" customHeight="1">
      <c r="A662" s="385"/>
      <c r="B662" s="385"/>
      <c r="H662" s="385"/>
      <c r="L662" s="385"/>
      <c r="M662" s="385"/>
      <c r="N662" s="385"/>
      <c r="O662" s="385"/>
    </row>
    <row r="663" spans="1:15" ht="18" customHeight="1">
      <c r="A663" s="385"/>
      <c r="B663" s="385"/>
      <c r="H663" s="385"/>
      <c r="L663" s="385"/>
      <c r="M663" s="385"/>
      <c r="N663" s="385"/>
      <c r="O663" s="385"/>
    </row>
    <row r="664" spans="1:15" ht="18" customHeight="1">
      <c r="A664" s="385"/>
      <c r="B664" s="385"/>
      <c r="H664" s="385"/>
      <c r="L664" s="385"/>
      <c r="M664" s="385"/>
      <c r="N664" s="385"/>
      <c r="O664" s="385"/>
    </row>
    <row r="665" spans="1:15" ht="18" customHeight="1">
      <c r="A665" s="385"/>
      <c r="B665" s="385"/>
      <c r="H665" s="385"/>
      <c r="L665" s="385"/>
      <c r="M665" s="385"/>
      <c r="N665" s="385"/>
      <c r="O665" s="385"/>
    </row>
    <row r="666" spans="1:15" ht="18" customHeight="1">
      <c r="A666" s="385"/>
      <c r="B666" s="385"/>
      <c r="H666" s="385"/>
      <c r="L666" s="385"/>
      <c r="M666" s="385"/>
      <c r="N666" s="385"/>
      <c r="O666" s="385"/>
    </row>
    <row r="667" spans="1:15" ht="18" customHeight="1">
      <c r="A667" s="385"/>
      <c r="B667" s="385"/>
      <c r="H667" s="385"/>
      <c r="L667" s="385"/>
      <c r="M667" s="385"/>
      <c r="N667" s="385"/>
      <c r="O667" s="385"/>
    </row>
    <row r="668" spans="1:15" ht="18" customHeight="1">
      <c r="A668" s="385"/>
      <c r="B668" s="385"/>
      <c r="H668" s="385"/>
      <c r="L668" s="385"/>
      <c r="M668" s="385"/>
      <c r="N668" s="385"/>
      <c r="O668" s="385"/>
    </row>
    <row r="669" spans="1:15" ht="18" customHeight="1">
      <c r="A669" s="385"/>
      <c r="B669" s="385"/>
      <c r="H669" s="385"/>
      <c r="L669" s="385"/>
      <c r="M669" s="385"/>
      <c r="N669" s="385"/>
      <c r="O669" s="385"/>
    </row>
    <row r="670" spans="1:15" ht="18" customHeight="1">
      <c r="A670" s="385"/>
      <c r="B670" s="385"/>
      <c r="H670" s="385"/>
      <c r="L670" s="385"/>
      <c r="M670" s="385"/>
      <c r="N670" s="385"/>
      <c r="O670" s="385"/>
    </row>
    <row r="671" spans="1:15" ht="18" customHeight="1">
      <c r="A671" s="385"/>
      <c r="B671" s="385"/>
      <c r="H671" s="385"/>
      <c r="L671" s="385"/>
      <c r="M671" s="385"/>
      <c r="N671" s="385"/>
      <c r="O671" s="385"/>
    </row>
    <row r="672" spans="1:15" ht="18" customHeight="1">
      <c r="A672" s="385"/>
      <c r="B672" s="385"/>
      <c r="H672" s="385"/>
      <c r="L672" s="385"/>
      <c r="M672" s="385"/>
      <c r="N672" s="385"/>
      <c r="O672" s="385"/>
    </row>
    <row r="673" spans="1:15" ht="18" customHeight="1">
      <c r="A673" s="385"/>
      <c r="B673" s="385"/>
      <c r="H673" s="385"/>
      <c r="L673" s="385"/>
      <c r="M673" s="385"/>
      <c r="N673" s="385"/>
      <c r="O673" s="385"/>
    </row>
    <row r="674" spans="1:15" ht="18" customHeight="1">
      <c r="A674" s="385"/>
      <c r="B674" s="385"/>
      <c r="H674" s="385"/>
      <c r="L674" s="385"/>
      <c r="M674" s="385"/>
      <c r="N674" s="385"/>
      <c r="O674" s="385"/>
    </row>
    <row r="675" spans="1:15" ht="18" customHeight="1">
      <c r="A675" s="385"/>
      <c r="B675" s="385"/>
      <c r="H675" s="385"/>
      <c r="L675" s="385"/>
      <c r="M675" s="385"/>
      <c r="N675" s="385"/>
      <c r="O675" s="385"/>
    </row>
    <row r="676" spans="1:15" ht="18" customHeight="1">
      <c r="A676" s="385"/>
      <c r="B676" s="385"/>
      <c r="H676" s="385"/>
      <c r="L676" s="385"/>
      <c r="M676" s="385"/>
      <c r="N676" s="385"/>
      <c r="O676" s="385"/>
    </row>
    <row r="677" spans="1:15" ht="18" customHeight="1">
      <c r="A677" s="385"/>
      <c r="B677" s="385"/>
      <c r="H677" s="385"/>
      <c r="L677" s="385"/>
      <c r="M677" s="385"/>
      <c r="N677" s="385"/>
      <c r="O677" s="385"/>
    </row>
    <row r="678" spans="1:15" ht="18" customHeight="1">
      <c r="A678" s="385"/>
      <c r="B678" s="385"/>
      <c r="H678" s="385"/>
      <c r="L678" s="385"/>
      <c r="M678" s="385"/>
      <c r="N678" s="385"/>
      <c r="O678" s="385"/>
    </row>
    <row r="679" spans="1:15" ht="18" customHeight="1">
      <c r="A679" s="385"/>
      <c r="B679" s="385"/>
      <c r="H679" s="385"/>
      <c r="L679" s="385"/>
      <c r="M679" s="385"/>
      <c r="N679" s="385"/>
      <c r="O679" s="385"/>
    </row>
    <row r="680" spans="1:15" ht="18" customHeight="1">
      <c r="A680" s="385"/>
      <c r="B680" s="385"/>
      <c r="H680" s="385"/>
      <c r="L680" s="385"/>
      <c r="M680" s="385"/>
      <c r="N680" s="385"/>
      <c r="O680" s="385"/>
    </row>
    <row r="681" spans="1:15" ht="18" customHeight="1">
      <c r="A681" s="385"/>
      <c r="B681" s="385"/>
      <c r="H681" s="385"/>
      <c r="L681" s="385"/>
      <c r="M681" s="385"/>
      <c r="N681" s="385"/>
      <c r="O681" s="385"/>
    </row>
    <row r="682" spans="1:15" ht="18" customHeight="1">
      <c r="A682" s="385"/>
      <c r="B682" s="385"/>
      <c r="H682" s="385"/>
      <c r="L682" s="385"/>
      <c r="M682" s="385"/>
      <c r="N682" s="385"/>
      <c r="O682" s="385"/>
    </row>
    <row r="683" spans="1:15" ht="18" customHeight="1">
      <c r="A683" s="385"/>
      <c r="B683" s="385"/>
      <c r="H683" s="385"/>
      <c r="L683" s="385"/>
      <c r="M683" s="385"/>
      <c r="N683" s="385"/>
      <c r="O683" s="385"/>
    </row>
    <row r="684" spans="1:15" ht="18" customHeight="1">
      <c r="A684" s="385"/>
      <c r="B684" s="385"/>
      <c r="H684" s="385"/>
      <c r="L684" s="385"/>
      <c r="M684" s="385"/>
      <c r="N684" s="385"/>
      <c r="O684" s="385"/>
    </row>
    <row r="685" spans="1:15" ht="18" customHeight="1">
      <c r="A685" s="385"/>
      <c r="B685" s="385"/>
      <c r="H685" s="385"/>
      <c r="L685" s="385"/>
      <c r="M685" s="385"/>
      <c r="N685" s="385"/>
      <c r="O685" s="385"/>
    </row>
    <row r="686" spans="1:15" ht="18" customHeight="1">
      <c r="A686" s="385"/>
      <c r="B686" s="385"/>
      <c r="H686" s="385"/>
      <c r="L686" s="385"/>
      <c r="M686" s="385"/>
      <c r="N686" s="385"/>
      <c r="O686" s="385"/>
    </row>
    <row r="687" spans="1:15" ht="18" customHeight="1">
      <c r="A687" s="385"/>
      <c r="B687" s="385"/>
      <c r="H687" s="385"/>
      <c r="L687" s="385"/>
      <c r="M687" s="385"/>
      <c r="N687" s="385"/>
      <c r="O687" s="385"/>
    </row>
    <row r="688" spans="1:15" ht="18" customHeight="1">
      <c r="A688" s="385"/>
      <c r="B688" s="385"/>
      <c r="H688" s="385"/>
      <c r="L688" s="385"/>
      <c r="M688" s="385"/>
      <c r="N688" s="385"/>
      <c r="O688" s="385"/>
    </row>
    <row r="689" spans="1:15" ht="18" customHeight="1">
      <c r="A689" s="385"/>
      <c r="B689" s="385"/>
      <c r="H689" s="385"/>
      <c r="L689" s="385"/>
      <c r="M689" s="385"/>
      <c r="N689" s="385"/>
      <c r="O689" s="385"/>
    </row>
    <row r="690" spans="1:15" ht="18" customHeight="1">
      <c r="A690" s="385"/>
      <c r="B690" s="385"/>
      <c r="H690" s="385"/>
      <c r="L690" s="385"/>
      <c r="M690" s="385"/>
      <c r="N690" s="385"/>
      <c r="O690" s="385"/>
    </row>
    <row r="691" spans="1:15" ht="18" customHeight="1">
      <c r="A691" s="385"/>
      <c r="B691" s="385"/>
      <c r="H691" s="385"/>
      <c r="L691" s="385"/>
      <c r="M691" s="385"/>
      <c r="N691" s="385"/>
      <c r="O691" s="385"/>
    </row>
    <row r="692" spans="1:15" ht="18" customHeight="1">
      <c r="A692" s="385"/>
      <c r="B692" s="385"/>
      <c r="H692" s="385"/>
      <c r="L692" s="385"/>
      <c r="M692" s="385"/>
      <c r="N692" s="385"/>
      <c r="O692" s="385"/>
    </row>
    <row r="693" spans="1:15" ht="18" customHeight="1">
      <c r="A693" s="385"/>
      <c r="B693" s="385"/>
      <c r="H693" s="385"/>
      <c r="L693" s="385"/>
      <c r="M693" s="385"/>
      <c r="N693" s="385"/>
      <c r="O693" s="385"/>
    </row>
    <row r="694" spans="1:15" ht="18" customHeight="1">
      <c r="A694" s="385"/>
      <c r="B694" s="385"/>
      <c r="H694" s="385"/>
      <c r="L694" s="385"/>
      <c r="M694" s="385"/>
      <c r="N694" s="385"/>
      <c r="O694" s="385"/>
    </row>
    <row r="695" spans="1:15" ht="18" customHeight="1">
      <c r="A695" s="385"/>
      <c r="B695" s="385"/>
      <c r="H695" s="385"/>
      <c r="L695" s="385"/>
      <c r="M695" s="385"/>
      <c r="N695" s="385"/>
      <c r="O695" s="385"/>
    </row>
    <row r="696" spans="1:15" ht="18" customHeight="1">
      <c r="A696" s="385"/>
      <c r="B696" s="385"/>
      <c r="H696" s="385"/>
      <c r="L696" s="385"/>
      <c r="M696" s="385"/>
      <c r="N696" s="385"/>
      <c r="O696" s="385"/>
    </row>
    <row r="697" spans="1:15" ht="18" customHeight="1">
      <c r="A697" s="385"/>
      <c r="B697" s="385"/>
      <c r="H697" s="385"/>
      <c r="L697" s="385"/>
      <c r="M697" s="385"/>
      <c r="N697" s="385"/>
      <c r="O697" s="385"/>
    </row>
    <row r="698" spans="1:15" ht="18" customHeight="1">
      <c r="A698" s="385"/>
      <c r="B698" s="385"/>
      <c r="H698" s="385"/>
      <c r="L698" s="385"/>
      <c r="M698" s="385"/>
      <c r="N698" s="385"/>
      <c r="O698" s="385"/>
    </row>
    <row r="699" spans="1:15" ht="18" customHeight="1">
      <c r="A699" s="385"/>
      <c r="B699" s="385"/>
      <c r="H699" s="385"/>
      <c r="L699" s="385"/>
      <c r="M699" s="385"/>
      <c r="N699" s="385"/>
      <c r="O699" s="385"/>
    </row>
    <row r="700" spans="1:15" ht="18" customHeight="1">
      <c r="A700" s="385"/>
      <c r="B700" s="385"/>
      <c r="H700" s="385"/>
      <c r="L700" s="385"/>
      <c r="M700" s="385"/>
      <c r="N700" s="385"/>
      <c r="O700" s="385"/>
    </row>
    <row r="701" spans="1:15" ht="18" customHeight="1">
      <c r="A701" s="385"/>
      <c r="B701" s="385"/>
      <c r="H701" s="385"/>
      <c r="L701" s="385"/>
      <c r="M701" s="385"/>
      <c r="N701" s="385"/>
      <c r="O701" s="385"/>
    </row>
    <row r="702" spans="1:15" ht="18" customHeight="1">
      <c r="A702" s="385"/>
      <c r="B702" s="385"/>
      <c r="H702" s="385"/>
      <c r="L702" s="385"/>
      <c r="M702" s="385"/>
      <c r="N702" s="385"/>
      <c r="O702" s="385"/>
    </row>
    <row r="703" spans="1:15" ht="18" customHeight="1">
      <c r="A703" s="385"/>
      <c r="B703" s="385"/>
      <c r="H703" s="385"/>
      <c r="L703" s="385"/>
      <c r="M703" s="385"/>
      <c r="N703" s="385"/>
      <c r="O703" s="385"/>
    </row>
    <row r="704" spans="1:15" ht="18" customHeight="1">
      <c r="A704" s="385"/>
      <c r="B704" s="385"/>
      <c r="H704" s="385"/>
      <c r="L704" s="385"/>
      <c r="M704" s="385"/>
      <c r="N704" s="385"/>
      <c r="O704" s="385"/>
    </row>
    <row r="705" spans="1:15" ht="18" customHeight="1">
      <c r="A705" s="385"/>
      <c r="B705" s="385"/>
      <c r="H705" s="385"/>
      <c r="L705" s="385"/>
      <c r="M705" s="385"/>
      <c r="N705" s="385"/>
      <c r="O705" s="385"/>
    </row>
    <row r="706" spans="1:15" ht="18" customHeight="1">
      <c r="A706" s="385"/>
      <c r="B706" s="385"/>
      <c r="H706" s="385"/>
      <c r="L706" s="385"/>
      <c r="M706" s="385"/>
      <c r="N706" s="385"/>
      <c r="O706" s="385"/>
    </row>
    <row r="707" spans="1:15" ht="18" customHeight="1">
      <c r="A707" s="385"/>
      <c r="B707" s="385"/>
      <c r="H707" s="385"/>
      <c r="L707" s="385"/>
      <c r="M707" s="385"/>
      <c r="N707" s="385"/>
      <c r="O707" s="385"/>
    </row>
    <row r="708" spans="1:15" ht="18" customHeight="1">
      <c r="A708" s="385"/>
      <c r="B708" s="385"/>
      <c r="H708" s="385"/>
      <c r="L708" s="385"/>
      <c r="M708" s="385"/>
      <c r="N708" s="385"/>
      <c r="O708" s="385"/>
    </row>
    <row r="709" spans="1:15" ht="18" customHeight="1">
      <c r="A709" s="385"/>
      <c r="B709" s="385"/>
      <c r="H709" s="385"/>
      <c r="L709" s="385"/>
      <c r="M709" s="385"/>
      <c r="N709" s="385"/>
      <c r="O709" s="385"/>
    </row>
    <row r="710" spans="1:15" ht="18" customHeight="1">
      <c r="A710" s="385"/>
      <c r="B710" s="385"/>
      <c r="H710" s="385"/>
      <c r="L710" s="385"/>
      <c r="M710" s="385"/>
      <c r="N710" s="385"/>
      <c r="O710" s="385"/>
    </row>
    <row r="711" spans="1:15" ht="18" customHeight="1">
      <c r="A711" s="385"/>
      <c r="B711" s="385"/>
      <c r="H711" s="385"/>
      <c r="L711" s="385"/>
      <c r="M711" s="385"/>
      <c r="N711" s="385"/>
      <c r="O711" s="385"/>
    </row>
    <row r="712" spans="1:15" ht="18" customHeight="1">
      <c r="A712" s="385"/>
      <c r="B712" s="385"/>
      <c r="H712" s="385"/>
      <c r="L712" s="385"/>
      <c r="M712" s="385"/>
      <c r="N712" s="385"/>
      <c r="O712" s="385"/>
    </row>
    <row r="713" spans="1:15" ht="18" customHeight="1">
      <c r="A713" s="385"/>
      <c r="B713" s="385"/>
      <c r="H713" s="385"/>
      <c r="L713" s="385"/>
      <c r="M713" s="385"/>
      <c r="N713" s="385"/>
      <c r="O713" s="385"/>
    </row>
    <row r="714" spans="1:15" ht="18" customHeight="1">
      <c r="A714" s="385"/>
      <c r="B714" s="385"/>
      <c r="H714" s="385"/>
      <c r="L714" s="385"/>
      <c r="M714" s="385"/>
      <c r="N714" s="385"/>
      <c r="O714" s="385"/>
    </row>
    <row r="715" spans="1:15" ht="18" customHeight="1">
      <c r="A715" s="385"/>
      <c r="B715" s="385"/>
      <c r="H715" s="385"/>
      <c r="L715" s="385"/>
      <c r="M715" s="385"/>
      <c r="N715" s="385"/>
      <c r="O715" s="385"/>
    </row>
    <row r="716" spans="1:15" ht="18" customHeight="1">
      <c r="A716" s="385"/>
      <c r="B716" s="385"/>
      <c r="H716" s="385"/>
      <c r="L716" s="385"/>
      <c r="M716" s="385"/>
      <c r="N716" s="385"/>
      <c r="O716" s="385"/>
    </row>
    <row r="717" spans="1:15" ht="18" customHeight="1">
      <c r="A717" s="385"/>
      <c r="B717" s="385"/>
      <c r="H717" s="385"/>
      <c r="L717" s="385"/>
      <c r="M717" s="385"/>
      <c r="N717" s="385"/>
      <c r="O717" s="385"/>
    </row>
    <row r="718" spans="1:15" ht="18" customHeight="1">
      <c r="A718" s="385"/>
      <c r="B718" s="385"/>
      <c r="H718" s="385"/>
      <c r="L718" s="385"/>
      <c r="M718" s="385"/>
      <c r="N718" s="385"/>
      <c r="O718" s="385"/>
    </row>
    <row r="719" spans="1:15" ht="18" customHeight="1">
      <c r="A719" s="385"/>
      <c r="B719" s="385"/>
      <c r="H719" s="385"/>
      <c r="L719" s="385"/>
      <c r="M719" s="385"/>
      <c r="N719" s="385"/>
      <c r="O719" s="385"/>
    </row>
    <row r="720" spans="1:15" ht="18" customHeight="1">
      <c r="A720" s="385"/>
      <c r="B720" s="385"/>
      <c r="H720" s="385"/>
      <c r="L720" s="385"/>
      <c r="M720" s="385"/>
      <c r="N720" s="385"/>
      <c r="O720" s="385"/>
    </row>
    <row r="721" spans="1:15" ht="18" customHeight="1">
      <c r="A721" s="385"/>
      <c r="B721" s="385"/>
      <c r="H721" s="385"/>
      <c r="L721" s="385"/>
      <c r="M721" s="385"/>
      <c r="N721" s="385"/>
      <c r="O721" s="385"/>
    </row>
    <row r="722" spans="1:15" ht="18" customHeight="1">
      <c r="A722" s="385"/>
      <c r="B722" s="385"/>
      <c r="H722" s="385"/>
      <c r="L722" s="385"/>
      <c r="M722" s="385"/>
      <c r="N722" s="385"/>
      <c r="O722" s="385"/>
    </row>
    <row r="723" spans="1:15" ht="18" customHeight="1">
      <c r="A723" s="385"/>
      <c r="B723" s="385"/>
      <c r="H723" s="385"/>
      <c r="L723" s="385"/>
      <c r="M723" s="385"/>
      <c r="N723" s="385"/>
      <c r="O723" s="385"/>
    </row>
    <row r="724" spans="1:15" ht="18" customHeight="1">
      <c r="A724" s="385"/>
      <c r="B724" s="385"/>
      <c r="H724" s="385"/>
      <c r="L724" s="385"/>
      <c r="M724" s="385"/>
      <c r="N724" s="385"/>
      <c r="O724" s="385"/>
    </row>
    <row r="725" spans="1:15" ht="18" customHeight="1">
      <c r="A725" s="385"/>
      <c r="B725" s="385"/>
      <c r="H725" s="385"/>
      <c r="L725" s="385"/>
      <c r="M725" s="385"/>
      <c r="N725" s="385"/>
      <c r="O725" s="385"/>
    </row>
    <row r="726" spans="1:15" ht="18" customHeight="1">
      <c r="A726" s="385"/>
      <c r="B726" s="385"/>
      <c r="H726" s="385"/>
      <c r="L726" s="385"/>
      <c r="M726" s="385"/>
      <c r="N726" s="385"/>
      <c r="O726" s="385"/>
    </row>
    <row r="727" spans="1:15" ht="18" customHeight="1">
      <c r="A727" s="385"/>
      <c r="B727" s="385"/>
      <c r="H727" s="385"/>
      <c r="L727" s="385"/>
      <c r="M727" s="385"/>
      <c r="N727" s="385"/>
      <c r="O727" s="385"/>
    </row>
    <row r="728" spans="1:15" ht="18" customHeight="1">
      <c r="A728" s="385"/>
      <c r="B728" s="385"/>
      <c r="H728" s="385"/>
      <c r="L728" s="385"/>
      <c r="M728" s="385"/>
      <c r="N728" s="385"/>
      <c r="O728" s="385"/>
    </row>
    <row r="729" spans="1:15" ht="18" customHeight="1">
      <c r="A729" s="385"/>
      <c r="B729" s="385"/>
      <c r="H729" s="385"/>
      <c r="L729" s="385"/>
      <c r="M729" s="385"/>
      <c r="N729" s="385"/>
      <c r="O729" s="385"/>
    </row>
    <row r="730" spans="1:15" ht="18" customHeight="1">
      <c r="A730" s="385"/>
      <c r="B730" s="385"/>
      <c r="H730" s="385"/>
      <c r="L730" s="385"/>
      <c r="M730" s="385"/>
      <c r="N730" s="385"/>
      <c r="O730" s="385"/>
    </row>
    <row r="731" spans="1:15" ht="18" customHeight="1">
      <c r="A731" s="385"/>
      <c r="B731" s="385"/>
      <c r="H731" s="385"/>
      <c r="L731" s="385"/>
      <c r="M731" s="385"/>
      <c r="N731" s="385"/>
      <c r="O731" s="385"/>
    </row>
    <row r="732" spans="1:15" ht="18" customHeight="1">
      <c r="A732" s="385"/>
      <c r="B732" s="385"/>
      <c r="H732" s="385"/>
      <c r="L732" s="385"/>
      <c r="M732" s="385"/>
      <c r="N732" s="385"/>
      <c r="O732" s="385"/>
    </row>
    <row r="733" spans="1:15" ht="18" customHeight="1">
      <c r="A733" s="385"/>
      <c r="B733" s="385"/>
      <c r="H733" s="385"/>
      <c r="L733" s="385"/>
      <c r="M733" s="385"/>
      <c r="N733" s="385"/>
      <c r="O733" s="385"/>
    </row>
    <row r="734" spans="1:15" ht="18" customHeight="1">
      <c r="A734" s="385"/>
      <c r="B734" s="385"/>
      <c r="H734" s="385"/>
      <c r="L734" s="385"/>
      <c r="M734" s="385"/>
      <c r="N734" s="385"/>
      <c r="O734" s="385"/>
    </row>
    <row r="735" spans="1:15" ht="18" customHeight="1">
      <c r="A735" s="385"/>
      <c r="B735" s="385"/>
      <c r="H735" s="385"/>
      <c r="L735" s="385"/>
      <c r="M735" s="385"/>
      <c r="N735" s="385"/>
      <c r="O735" s="385"/>
    </row>
    <row r="736" spans="1:15" ht="18" customHeight="1">
      <c r="A736" s="385"/>
      <c r="B736" s="385"/>
      <c r="H736" s="385"/>
      <c r="L736" s="385"/>
      <c r="M736" s="385"/>
      <c r="N736" s="385"/>
      <c r="O736" s="385"/>
    </row>
    <row r="737" spans="1:15" ht="18" customHeight="1">
      <c r="A737" s="385"/>
      <c r="B737" s="385"/>
      <c r="H737" s="385"/>
      <c r="L737" s="385"/>
      <c r="M737" s="385"/>
      <c r="N737" s="385"/>
      <c r="O737" s="385"/>
    </row>
    <row r="738" spans="1:15" ht="18" customHeight="1">
      <c r="A738" s="385"/>
      <c r="B738" s="385"/>
      <c r="H738" s="385"/>
      <c r="L738" s="385"/>
      <c r="M738" s="385"/>
      <c r="N738" s="385"/>
      <c r="O738" s="385"/>
    </row>
    <row r="739" spans="1:15" ht="18" customHeight="1">
      <c r="A739" s="385"/>
      <c r="B739" s="385"/>
      <c r="H739" s="385"/>
      <c r="L739" s="385"/>
      <c r="M739" s="385"/>
      <c r="N739" s="385"/>
      <c r="O739" s="385"/>
    </row>
    <row r="740" spans="1:15" ht="18" customHeight="1">
      <c r="A740" s="385"/>
      <c r="B740" s="385"/>
      <c r="H740" s="385"/>
      <c r="L740" s="385"/>
      <c r="M740" s="385"/>
      <c r="N740" s="385"/>
      <c r="O740" s="385"/>
    </row>
    <row r="741" spans="1:15" ht="18" customHeight="1">
      <c r="A741" s="385"/>
      <c r="B741" s="385"/>
      <c r="H741" s="385"/>
      <c r="L741" s="385"/>
      <c r="M741" s="385"/>
      <c r="N741" s="385"/>
      <c r="O741" s="385"/>
    </row>
    <row r="742" spans="1:15" ht="18" customHeight="1">
      <c r="A742" s="385"/>
      <c r="B742" s="385"/>
      <c r="H742" s="385"/>
      <c r="L742" s="385"/>
      <c r="M742" s="385"/>
      <c r="N742" s="385"/>
      <c r="O742" s="385"/>
    </row>
    <row r="743" spans="1:15" ht="18" customHeight="1">
      <c r="A743" s="385"/>
      <c r="B743" s="385"/>
      <c r="H743" s="385"/>
      <c r="L743" s="385"/>
      <c r="M743" s="385"/>
      <c r="N743" s="385"/>
      <c r="O743" s="385"/>
    </row>
    <row r="744" spans="1:15" ht="18" customHeight="1">
      <c r="A744" s="385"/>
      <c r="B744" s="385"/>
      <c r="H744" s="385"/>
      <c r="L744" s="385"/>
      <c r="M744" s="385"/>
      <c r="N744" s="385"/>
      <c r="O744" s="385"/>
    </row>
    <row r="745" spans="1:15" ht="18" customHeight="1">
      <c r="A745" s="385"/>
      <c r="B745" s="385"/>
      <c r="H745" s="385"/>
      <c r="L745" s="385"/>
      <c r="M745" s="385"/>
      <c r="N745" s="385"/>
      <c r="O745" s="385"/>
    </row>
    <row r="746" spans="1:15" ht="18" customHeight="1">
      <c r="A746" s="385"/>
      <c r="B746" s="385"/>
      <c r="H746" s="385"/>
      <c r="L746" s="385"/>
      <c r="M746" s="385"/>
      <c r="N746" s="385"/>
      <c r="O746" s="385"/>
    </row>
    <row r="747" spans="1:15" ht="18" customHeight="1">
      <c r="A747" s="385"/>
      <c r="B747" s="385"/>
      <c r="H747" s="385"/>
      <c r="L747" s="385"/>
      <c r="M747" s="385"/>
      <c r="N747" s="385"/>
      <c r="O747" s="385"/>
    </row>
    <row r="748" spans="1:15" ht="18" customHeight="1">
      <c r="A748" s="385"/>
      <c r="B748" s="385"/>
      <c r="H748" s="385"/>
      <c r="L748" s="385"/>
      <c r="M748" s="385"/>
      <c r="N748" s="385"/>
      <c r="O748" s="385"/>
    </row>
    <row r="749" spans="1:15" ht="18" customHeight="1">
      <c r="A749" s="385"/>
      <c r="B749" s="385"/>
      <c r="H749" s="385"/>
      <c r="L749" s="385"/>
      <c r="M749" s="385"/>
      <c r="N749" s="385"/>
      <c r="O749" s="385"/>
    </row>
    <row r="750" spans="1:15" ht="18" customHeight="1">
      <c r="A750" s="385"/>
      <c r="B750" s="385"/>
      <c r="H750" s="385"/>
      <c r="L750" s="385"/>
      <c r="M750" s="385"/>
      <c r="N750" s="385"/>
      <c r="O750" s="385"/>
    </row>
    <row r="751" spans="1:15" ht="18" customHeight="1">
      <c r="A751" s="385"/>
      <c r="B751" s="385"/>
      <c r="H751" s="385"/>
      <c r="L751" s="385"/>
      <c r="M751" s="385"/>
      <c r="N751" s="385"/>
      <c r="O751" s="385"/>
    </row>
    <row r="752" spans="1:15" ht="18" customHeight="1">
      <c r="A752" s="385"/>
      <c r="B752" s="385"/>
      <c r="H752" s="385"/>
      <c r="L752" s="385"/>
      <c r="M752" s="385"/>
      <c r="N752" s="385"/>
      <c r="O752" s="385"/>
    </row>
    <row r="753" spans="1:15" ht="18" customHeight="1">
      <c r="A753" s="385"/>
      <c r="B753" s="385"/>
      <c r="H753" s="385"/>
      <c r="L753" s="385"/>
      <c r="M753" s="385"/>
      <c r="N753" s="385"/>
      <c r="O753" s="385"/>
    </row>
    <row r="754" spans="1:15" ht="18" customHeight="1">
      <c r="A754" s="385"/>
      <c r="B754" s="385"/>
      <c r="H754" s="385"/>
      <c r="L754" s="385"/>
      <c r="M754" s="385"/>
      <c r="N754" s="385"/>
      <c r="O754" s="385"/>
    </row>
    <row r="755" spans="1:15" ht="18" customHeight="1">
      <c r="A755" s="385"/>
      <c r="B755" s="385"/>
      <c r="H755" s="385"/>
      <c r="L755" s="385"/>
      <c r="M755" s="385"/>
      <c r="N755" s="385"/>
      <c r="O755" s="385"/>
    </row>
    <row r="756" spans="1:15" ht="18" customHeight="1">
      <c r="A756" s="385"/>
      <c r="B756" s="385"/>
      <c r="H756" s="385"/>
      <c r="L756" s="385"/>
      <c r="M756" s="385"/>
      <c r="N756" s="385"/>
      <c r="O756" s="385"/>
    </row>
    <row r="757" spans="1:15" ht="18" customHeight="1">
      <c r="A757" s="385"/>
      <c r="B757" s="385"/>
      <c r="H757" s="385"/>
      <c r="L757" s="385"/>
      <c r="M757" s="385"/>
      <c r="N757" s="385"/>
      <c r="O757" s="385"/>
    </row>
    <row r="758" spans="1:15" ht="18" customHeight="1">
      <c r="A758" s="385"/>
      <c r="B758" s="385"/>
      <c r="H758" s="385"/>
      <c r="L758" s="385"/>
      <c r="M758" s="385"/>
      <c r="N758" s="385"/>
      <c r="O758" s="385"/>
    </row>
    <row r="759" spans="1:15" ht="18" customHeight="1">
      <c r="A759" s="385"/>
      <c r="B759" s="385"/>
      <c r="H759" s="385"/>
      <c r="L759" s="385"/>
      <c r="M759" s="385"/>
      <c r="N759" s="385"/>
      <c r="O759" s="385"/>
    </row>
    <row r="760" spans="1:15" ht="18" customHeight="1">
      <c r="A760" s="385"/>
      <c r="B760" s="385"/>
      <c r="H760" s="385"/>
      <c r="L760" s="385"/>
      <c r="M760" s="385"/>
      <c r="N760" s="385"/>
      <c r="O760" s="385"/>
    </row>
    <row r="761" spans="1:15" ht="18" customHeight="1">
      <c r="A761" s="385"/>
      <c r="B761" s="385"/>
      <c r="H761" s="385"/>
      <c r="L761" s="385"/>
      <c r="M761" s="385"/>
      <c r="N761" s="385"/>
      <c r="O761" s="385"/>
    </row>
    <row r="762" spans="1:15" ht="18" customHeight="1">
      <c r="A762" s="385"/>
      <c r="B762" s="385"/>
      <c r="H762" s="385"/>
      <c r="L762" s="385"/>
      <c r="M762" s="385"/>
      <c r="N762" s="385"/>
      <c r="O762" s="385"/>
    </row>
    <row r="763" spans="1:15" ht="18" customHeight="1">
      <c r="A763" s="385"/>
      <c r="B763" s="385"/>
      <c r="H763" s="385"/>
      <c r="L763" s="385"/>
      <c r="M763" s="385"/>
      <c r="N763" s="385"/>
      <c r="O763" s="385"/>
    </row>
    <row r="764" spans="1:15" ht="18" customHeight="1">
      <c r="A764" s="385"/>
      <c r="B764" s="385"/>
      <c r="H764" s="385"/>
      <c r="L764" s="385"/>
      <c r="M764" s="385"/>
      <c r="N764" s="385"/>
      <c r="O764" s="385"/>
    </row>
    <row r="765" spans="1:15" ht="18" customHeight="1">
      <c r="A765" s="385"/>
      <c r="B765" s="385"/>
      <c r="H765" s="385"/>
      <c r="L765" s="385"/>
      <c r="M765" s="385"/>
      <c r="N765" s="385"/>
      <c r="O765" s="385"/>
    </row>
    <row r="766" spans="1:15" ht="18" customHeight="1">
      <c r="A766" s="385"/>
      <c r="B766" s="385"/>
      <c r="H766" s="385"/>
      <c r="L766" s="385"/>
      <c r="M766" s="385"/>
      <c r="N766" s="385"/>
      <c r="O766" s="385"/>
    </row>
    <row r="767" spans="1:15" ht="18" customHeight="1">
      <c r="A767" s="385"/>
      <c r="B767" s="385"/>
      <c r="H767" s="385"/>
      <c r="L767" s="385"/>
      <c r="M767" s="385"/>
      <c r="N767" s="385"/>
      <c r="O767" s="385"/>
    </row>
    <row r="768" spans="1:15" ht="18" customHeight="1">
      <c r="A768" s="385"/>
      <c r="B768" s="385"/>
      <c r="H768" s="385"/>
      <c r="L768" s="385"/>
      <c r="M768" s="385"/>
      <c r="N768" s="385"/>
      <c r="O768" s="385"/>
    </row>
    <row r="769" spans="1:15" ht="18" customHeight="1">
      <c r="A769" s="385"/>
      <c r="B769" s="385"/>
      <c r="H769" s="385"/>
      <c r="L769" s="385"/>
      <c r="M769" s="385"/>
      <c r="N769" s="385"/>
      <c r="O769" s="385"/>
    </row>
    <row r="770" spans="1:15" ht="18" customHeight="1">
      <c r="A770" s="385"/>
      <c r="B770" s="385"/>
      <c r="H770" s="385"/>
      <c r="L770" s="385"/>
      <c r="M770" s="385"/>
      <c r="N770" s="385"/>
      <c r="O770" s="385"/>
    </row>
    <row r="771" spans="1:15" ht="18" customHeight="1">
      <c r="A771" s="385"/>
      <c r="B771" s="385"/>
      <c r="H771" s="385"/>
      <c r="L771" s="385"/>
      <c r="M771" s="385"/>
      <c r="N771" s="385"/>
      <c r="O771" s="385"/>
    </row>
    <row r="772" spans="1:15" ht="18" customHeight="1">
      <c r="A772" s="385"/>
      <c r="B772" s="385"/>
      <c r="H772" s="385"/>
      <c r="L772" s="385"/>
      <c r="M772" s="385"/>
      <c r="N772" s="385"/>
      <c r="O772" s="385"/>
    </row>
    <row r="773" spans="1:15" ht="18" customHeight="1">
      <c r="A773" s="385"/>
      <c r="B773" s="385"/>
      <c r="H773" s="385"/>
      <c r="L773" s="385"/>
      <c r="M773" s="385"/>
      <c r="N773" s="385"/>
      <c r="O773" s="385"/>
    </row>
    <row r="774" spans="1:15" ht="18" customHeight="1">
      <c r="A774" s="385"/>
      <c r="B774" s="385"/>
      <c r="H774" s="385"/>
      <c r="L774" s="385"/>
      <c r="M774" s="385"/>
      <c r="N774" s="385"/>
      <c r="O774" s="385"/>
    </row>
    <row r="775" spans="1:15" ht="18" customHeight="1">
      <c r="A775" s="385"/>
      <c r="B775" s="385"/>
      <c r="H775" s="385"/>
      <c r="L775" s="385"/>
      <c r="M775" s="385"/>
      <c r="N775" s="385"/>
      <c r="O775" s="385"/>
    </row>
    <row r="776" spans="1:15" ht="18" customHeight="1">
      <c r="A776" s="385"/>
      <c r="B776" s="385"/>
      <c r="H776" s="385"/>
      <c r="L776" s="385"/>
      <c r="M776" s="385"/>
      <c r="N776" s="385"/>
      <c r="O776" s="385"/>
    </row>
    <row r="777" spans="1:15" ht="18" customHeight="1">
      <c r="A777" s="385"/>
      <c r="B777" s="385"/>
      <c r="H777" s="385"/>
      <c r="L777" s="385"/>
      <c r="M777" s="385"/>
      <c r="N777" s="385"/>
      <c r="O777" s="385"/>
    </row>
    <row r="778" spans="1:15" ht="18" customHeight="1">
      <c r="A778" s="385"/>
      <c r="B778" s="385"/>
      <c r="H778" s="385"/>
      <c r="L778" s="385"/>
      <c r="M778" s="385"/>
      <c r="N778" s="385"/>
      <c r="O778" s="385"/>
    </row>
    <row r="779" spans="1:15" ht="18" customHeight="1">
      <c r="A779" s="385"/>
      <c r="B779" s="385"/>
      <c r="H779" s="385"/>
      <c r="L779" s="385"/>
      <c r="M779" s="385"/>
      <c r="N779" s="385"/>
      <c r="O779" s="385"/>
    </row>
    <row r="780" spans="1:15" ht="18" customHeight="1">
      <c r="A780" s="385"/>
      <c r="B780" s="385"/>
      <c r="H780" s="385"/>
      <c r="L780" s="385"/>
      <c r="M780" s="385"/>
      <c r="N780" s="385"/>
      <c r="O780" s="385"/>
    </row>
    <row r="781" spans="1:15" ht="18" customHeight="1">
      <c r="A781" s="385"/>
      <c r="B781" s="385"/>
      <c r="H781" s="385"/>
      <c r="L781" s="385"/>
      <c r="M781" s="385"/>
      <c r="N781" s="385"/>
      <c r="O781" s="385"/>
    </row>
    <row r="782" spans="1:15" ht="18" customHeight="1">
      <c r="A782" s="385"/>
      <c r="B782" s="385"/>
      <c r="H782" s="385"/>
      <c r="L782" s="385"/>
      <c r="M782" s="385"/>
      <c r="N782" s="385"/>
      <c r="O782" s="385"/>
    </row>
    <row r="783" spans="1:15" ht="18" customHeight="1">
      <c r="A783" s="385"/>
      <c r="B783" s="385"/>
      <c r="H783" s="385"/>
      <c r="L783" s="385"/>
      <c r="M783" s="385"/>
      <c r="N783" s="385"/>
      <c r="O783" s="385"/>
    </row>
    <row r="784" spans="1:15" ht="18" customHeight="1">
      <c r="A784" s="385"/>
      <c r="B784" s="385"/>
      <c r="H784" s="385"/>
      <c r="L784" s="385"/>
      <c r="M784" s="385"/>
      <c r="N784" s="385"/>
      <c r="O784" s="385"/>
    </row>
    <row r="785" spans="1:15" ht="18" customHeight="1">
      <c r="A785" s="385"/>
      <c r="B785" s="385"/>
      <c r="H785" s="385"/>
      <c r="L785" s="385"/>
      <c r="M785" s="385"/>
      <c r="N785" s="385"/>
      <c r="O785" s="385"/>
    </row>
    <row r="786" spans="1:15" ht="18" customHeight="1">
      <c r="A786" s="385"/>
      <c r="B786" s="385"/>
      <c r="H786" s="385"/>
      <c r="L786" s="385"/>
      <c r="M786" s="385"/>
      <c r="N786" s="385"/>
      <c r="O786" s="385"/>
    </row>
    <row r="787" spans="1:15" ht="18" customHeight="1">
      <c r="A787" s="385"/>
      <c r="B787" s="385"/>
      <c r="H787" s="385"/>
      <c r="L787" s="385"/>
      <c r="M787" s="385"/>
      <c r="N787" s="385"/>
      <c r="O787" s="385"/>
    </row>
    <row r="788" spans="1:15" ht="18" customHeight="1">
      <c r="A788" s="385"/>
      <c r="B788" s="385"/>
      <c r="H788" s="385"/>
      <c r="L788" s="385"/>
      <c r="M788" s="385"/>
      <c r="N788" s="385"/>
      <c r="O788" s="385"/>
    </row>
    <row r="789" spans="1:15" ht="18" customHeight="1">
      <c r="A789" s="385"/>
      <c r="B789" s="385"/>
      <c r="H789" s="385"/>
      <c r="L789" s="385"/>
      <c r="M789" s="385"/>
      <c r="N789" s="385"/>
      <c r="O789" s="385"/>
    </row>
    <row r="790" spans="1:15" ht="18" customHeight="1">
      <c r="A790" s="385"/>
      <c r="B790" s="385"/>
      <c r="H790" s="385"/>
      <c r="L790" s="385"/>
      <c r="M790" s="385"/>
      <c r="N790" s="385"/>
      <c r="O790" s="385"/>
    </row>
    <row r="791" spans="1:15" ht="18" customHeight="1">
      <c r="A791" s="385"/>
      <c r="B791" s="385"/>
      <c r="H791" s="385"/>
      <c r="L791" s="385"/>
      <c r="M791" s="385"/>
      <c r="N791" s="385"/>
      <c r="O791" s="385"/>
    </row>
    <row r="792" spans="1:15" ht="18" customHeight="1">
      <c r="A792" s="385"/>
      <c r="B792" s="385"/>
      <c r="H792" s="385"/>
      <c r="L792" s="385"/>
      <c r="M792" s="385"/>
      <c r="N792" s="385"/>
      <c r="O792" s="385"/>
    </row>
    <row r="793" spans="1:15" ht="18" customHeight="1">
      <c r="A793" s="385"/>
      <c r="B793" s="385"/>
      <c r="H793" s="385"/>
      <c r="L793" s="385"/>
      <c r="M793" s="385"/>
      <c r="N793" s="385"/>
      <c r="O793" s="385"/>
    </row>
    <row r="794" spans="1:15" ht="18" customHeight="1">
      <c r="A794" s="385"/>
      <c r="B794" s="385"/>
      <c r="H794" s="385"/>
      <c r="L794" s="385"/>
      <c r="M794" s="385"/>
      <c r="N794" s="385"/>
      <c r="O794" s="385"/>
    </row>
    <row r="795" spans="1:15" ht="18" customHeight="1">
      <c r="A795" s="385"/>
      <c r="B795" s="385"/>
      <c r="H795" s="385"/>
      <c r="L795" s="385"/>
      <c r="M795" s="385"/>
      <c r="N795" s="385"/>
      <c r="O795" s="385"/>
    </row>
    <row r="796" spans="1:15" ht="18" customHeight="1">
      <c r="A796" s="385"/>
      <c r="B796" s="385"/>
      <c r="H796" s="385"/>
      <c r="L796" s="385"/>
      <c r="M796" s="385"/>
      <c r="N796" s="385"/>
      <c r="O796" s="385"/>
    </row>
    <row r="797" spans="1:15" ht="18" customHeight="1">
      <c r="A797" s="385"/>
      <c r="B797" s="385"/>
      <c r="H797" s="385"/>
      <c r="L797" s="385"/>
      <c r="M797" s="385"/>
      <c r="N797" s="385"/>
      <c r="O797" s="385"/>
    </row>
    <row r="798" spans="1:15" ht="18" customHeight="1">
      <c r="A798" s="385"/>
      <c r="B798" s="385"/>
      <c r="H798" s="385"/>
      <c r="L798" s="385"/>
      <c r="M798" s="385"/>
      <c r="N798" s="385"/>
      <c r="O798" s="385"/>
    </row>
    <row r="799" spans="1:15" ht="18" customHeight="1">
      <c r="A799" s="385"/>
      <c r="B799" s="385"/>
      <c r="H799" s="385"/>
      <c r="L799" s="385"/>
      <c r="M799" s="385"/>
      <c r="N799" s="385"/>
      <c r="O799" s="385"/>
    </row>
    <row r="800" spans="1:15" ht="18" customHeight="1">
      <c r="A800" s="385"/>
      <c r="B800" s="385"/>
      <c r="H800" s="385"/>
      <c r="L800" s="385"/>
      <c r="M800" s="385"/>
      <c r="N800" s="385"/>
      <c r="O800" s="385"/>
    </row>
    <row r="801" spans="1:15" ht="18" customHeight="1">
      <c r="A801" s="385"/>
      <c r="B801" s="385"/>
      <c r="H801" s="385"/>
      <c r="L801" s="385"/>
      <c r="M801" s="385"/>
      <c r="N801" s="385"/>
      <c r="O801" s="385"/>
    </row>
    <row r="802" spans="1:15" ht="18" customHeight="1">
      <c r="A802" s="385"/>
      <c r="B802" s="385"/>
      <c r="H802" s="385"/>
      <c r="L802" s="385"/>
      <c r="M802" s="385"/>
      <c r="N802" s="385"/>
      <c r="O802" s="385"/>
    </row>
    <row r="803" spans="1:15" ht="18" customHeight="1">
      <c r="A803" s="385"/>
      <c r="B803" s="385"/>
      <c r="H803" s="385"/>
      <c r="L803" s="385"/>
      <c r="M803" s="385"/>
      <c r="N803" s="385"/>
      <c r="O803" s="385"/>
    </row>
    <row r="804" spans="1:15" ht="18" customHeight="1">
      <c r="A804" s="385"/>
      <c r="B804" s="385"/>
      <c r="H804" s="385"/>
      <c r="L804" s="385"/>
      <c r="M804" s="385"/>
      <c r="N804" s="385"/>
      <c r="O804" s="385"/>
    </row>
    <row r="805" spans="1:15" ht="18" customHeight="1">
      <c r="A805" s="385"/>
      <c r="B805" s="385"/>
      <c r="H805" s="385"/>
      <c r="L805" s="385"/>
      <c r="M805" s="385"/>
      <c r="N805" s="385"/>
      <c r="O805" s="385"/>
    </row>
    <row r="806" spans="1:15" ht="18" customHeight="1">
      <c r="A806" s="385"/>
      <c r="B806" s="385"/>
      <c r="H806" s="385"/>
      <c r="L806" s="385"/>
      <c r="M806" s="385"/>
      <c r="N806" s="385"/>
      <c r="O806" s="385"/>
    </row>
    <row r="807" spans="1:15" ht="18" customHeight="1">
      <c r="A807" s="385"/>
      <c r="B807" s="385"/>
      <c r="H807" s="385"/>
      <c r="L807" s="385"/>
      <c r="M807" s="385"/>
      <c r="N807" s="385"/>
      <c r="O807" s="385"/>
    </row>
    <row r="808" spans="1:15" ht="18" customHeight="1">
      <c r="A808" s="385"/>
      <c r="B808" s="385"/>
      <c r="H808" s="385"/>
      <c r="L808" s="385"/>
      <c r="M808" s="385"/>
      <c r="N808" s="385"/>
      <c r="O808" s="385"/>
    </row>
    <row r="809" spans="1:15" ht="18" customHeight="1">
      <c r="A809" s="385"/>
      <c r="B809" s="385"/>
      <c r="H809" s="385"/>
      <c r="L809" s="385"/>
      <c r="M809" s="385"/>
      <c r="N809" s="385"/>
      <c r="O809" s="385"/>
    </row>
    <row r="810" spans="1:15" ht="18" customHeight="1">
      <c r="A810" s="385"/>
      <c r="B810" s="385"/>
      <c r="H810" s="385"/>
      <c r="L810" s="385"/>
      <c r="M810" s="385"/>
      <c r="N810" s="385"/>
      <c r="O810" s="385"/>
    </row>
    <row r="811" spans="1:15" ht="18" customHeight="1">
      <c r="A811" s="385"/>
      <c r="B811" s="385"/>
      <c r="H811" s="385"/>
      <c r="L811" s="385"/>
      <c r="M811" s="385"/>
      <c r="N811" s="385"/>
      <c r="O811" s="385"/>
    </row>
    <row r="812" spans="1:15" ht="18" customHeight="1">
      <c r="A812" s="385"/>
      <c r="B812" s="385"/>
      <c r="H812" s="385"/>
      <c r="L812" s="385"/>
      <c r="M812" s="385"/>
      <c r="N812" s="385"/>
      <c r="O812" s="385"/>
    </row>
    <row r="813" spans="1:15" ht="18" customHeight="1">
      <c r="A813" s="385"/>
      <c r="B813" s="385"/>
      <c r="H813" s="385"/>
      <c r="L813" s="385"/>
      <c r="M813" s="385"/>
      <c r="N813" s="385"/>
      <c r="O813" s="385"/>
    </row>
    <row r="814" spans="1:15" ht="18" customHeight="1">
      <c r="A814" s="385"/>
      <c r="B814" s="385"/>
      <c r="H814" s="385"/>
      <c r="L814" s="385"/>
      <c r="M814" s="385"/>
      <c r="N814" s="385"/>
      <c r="O814" s="385"/>
    </row>
    <row r="815" spans="1:15" ht="18" customHeight="1">
      <c r="A815" s="385"/>
      <c r="B815" s="385"/>
      <c r="H815" s="385"/>
      <c r="L815" s="385"/>
      <c r="M815" s="385"/>
      <c r="N815" s="385"/>
      <c r="O815" s="385"/>
    </row>
    <row r="816" spans="1:15" ht="18" customHeight="1">
      <c r="A816" s="385"/>
      <c r="B816" s="385"/>
      <c r="H816" s="385"/>
      <c r="L816" s="385"/>
      <c r="M816" s="385"/>
      <c r="N816" s="385"/>
      <c r="O816" s="385"/>
    </row>
    <row r="817" spans="1:15" ht="18" customHeight="1">
      <c r="A817" s="385"/>
      <c r="B817" s="385"/>
      <c r="H817" s="385"/>
      <c r="L817" s="385"/>
      <c r="M817" s="385"/>
      <c r="N817" s="385"/>
      <c r="O817" s="385"/>
    </row>
    <row r="818" spans="1:15" ht="18" customHeight="1">
      <c r="A818" s="385"/>
      <c r="B818" s="385"/>
      <c r="H818" s="385"/>
      <c r="L818" s="385"/>
      <c r="M818" s="385"/>
      <c r="N818" s="385"/>
      <c r="O818" s="385"/>
    </row>
    <row r="819" spans="1:15" ht="18" customHeight="1">
      <c r="A819" s="385"/>
      <c r="B819" s="385"/>
      <c r="H819" s="385"/>
      <c r="L819" s="385"/>
      <c r="M819" s="385"/>
      <c r="N819" s="385"/>
      <c r="O819" s="385"/>
    </row>
    <row r="820" spans="1:15" ht="18" customHeight="1">
      <c r="A820" s="385"/>
      <c r="B820" s="385"/>
      <c r="H820" s="385"/>
      <c r="L820" s="385"/>
      <c r="M820" s="385"/>
      <c r="N820" s="385"/>
      <c r="O820" s="385"/>
    </row>
    <row r="821" spans="1:15" ht="18" customHeight="1">
      <c r="A821" s="385"/>
      <c r="B821" s="385"/>
      <c r="H821" s="385"/>
      <c r="L821" s="385"/>
      <c r="M821" s="385"/>
      <c r="N821" s="385"/>
      <c r="O821" s="385"/>
    </row>
    <row r="822" spans="1:15" ht="18" customHeight="1">
      <c r="A822" s="385"/>
      <c r="B822" s="385"/>
      <c r="H822" s="385"/>
      <c r="L822" s="385"/>
      <c r="M822" s="385"/>
      <c r="N822" s="385"/>
      <c r="O822" s="385"/>
    </row>
    <row r="823" spans="1:15" ht="18" customHeight="1">
      <c r="A823" s="385"/>
      <c r="B823" s="385"/>
      <c r="H823" s="385"/>
      <c r="L823" s="385"/>
      <c r="M823" s="385"/>
      <c r="N823" s="385"/>
      <c r="O823" s="385"/>
    </row>
    <row r="824" spans="1:15" ht="18" customHeight="1">
      <c r="A824" s="385"/>
      <c r="B824" s="385"/>
      <c r="H824" s="385"/>
      <c r="L824" s="385"/>
      <c r="M824" s="385"/>
      <c r="N824" s="385"/>
      <c r="O824" s="385"/>
    </row>
    <row r="825" spans="1:15" ht="18" customHeight="1">
      <c r="A825" s="385"/>
      <c r="B825" s="385"/>
      <c r="H825" s="385"/>
      <c r="L825" s="385"/>
      <c r="M825" s="385"/>
      <c r="N825" s="385"/>
      <c r="O825" s="385"/>
    </row>
    <row r="826" spans="1:15" ht="18" customHeight="1">
      <c r="A826" s="385"/>
      <c r="B826" s="385"/>
      <c r="H826" s="385"/>
      <c r="L826" s="385"/>
      <c r="M826" s="385"/>
      <c r="N826" s="385"/>
      <c r="O826" s="385"/>
    </row>
    <row r="827" spans="1:15" ht="18" customHeight="1">
      <c r="A827" s="385"/>
      <c r="B827" s="385"/>
      <c r="H827" s="385"/>
      <c r="L827" s="385"/>
      <c r="M827" s="385"/>
      <c r="N827" s="385"/>
      <c r="O827" s="385"/>
    </row>
    <row r="828" spans="1:15" ht="18" customHeight="1">
      <c r="A828" s="385"/>
      <c r="B828" s="385"/>
      <c r="H828" s="385"/>
      <c r="L828" s="385"/>
      <c r="M828" s="385"/>
      <c r="N828" s="385"/>
      <c r="O828" s="385"/>
    </row>
    <row r="829" spans="1:15" ht="18" customHeight="1">
      <c r="A829" s="385"/>
      <c r="B829" s="385"/>
      <c r="H829" s="385"/>
      <c r="L829" s="385"/>
      <c r="M829" s="385"/>
      <c r="N829" s="385"/>
      <c r="O829" s="385"/>
    </row>
    <row r="830" spans="1:15" ht="18" customHeight="1">
      <c r="A830" s="385"/>
      <c r="B830" s="385"/>
      <c r="H830" s="385"/>
      <c r="L830" s="385"/>
      <c r="M830" s="385"/>
      <c r="N830" s="385"/>
      <c r="O830" s="385"/>
    </row>
    <row r="831" spans="1:15" ht="18" customHeight="1">
      <c r="A831" s="385"/>
      <c r="B831" s="385"/>
      <c r="H831" s="385"/>
      <c r="L831" s="385"/>
      <c r="M831" s="385"/>
      <c r="N831" s="385"/>
      <c r="O831" s="385"/>
    </row>
    <row r="832" spans="1:15" ht="18" customHeight="1">
      <c r="A832" s="385"/>
      <c r="B832" s="385"/>
      <c r="H832" s="385"/>
      <c r="L832" s="385"/>
      <c r="M832" s="385"/>
      <c r="N832" s="385"/>
      <c r="O832" s="385"/>
    </row>
    <row r="833" spans="1:15" ht="18" customHeight="1">
      <c r="A833" s="385"/>
      <c r="B833" s="385"/>
      <c r="H833" s="385"/>
      <c r="L833" s="385"/>
      <c r="M833" s="385"/>
      <c r="N833" s="385"/>
      <c r="O833" s="385"/>
    </row>
    <row r="834" spans="1:15" ht="18" customHeight="1">
      <c r="A834" s="385"/>
      <c r="B834" s="385"/>
      <c r="H834" s="385"/>
      <c r="L834" s="385"/>
      <c r="M834" s="385"/>
      <c r="N834" s="385"/>
      <c r="O834" s="385"/>
    </row>
    <row r="835" spans="1:15" ht="18" customHeight="1">
      <c r="A835" s="385"/>
      <c r="B835" s="385"/>
      <c r="H835" s="385"/>
      <c r="L835" s="385"/>
      <c r="M835" s="385"/>
      <c r="N835" s="385"/>
      <c r="O835" s="385"/>
    </row>
    <row r="836" spans="1:15" ht="18" customHeight="1">
      <c r="A836" s="385"/>
      <c r="B836" s="385"/>
      <c r="H836" s="385"/>
      <c r="L836" s="385"/>
      <c r="M836" s="385"/>
      <c r="N836" s="385"/>
      <c r="O836" s="385"/>
    </row>
    <row r="837" spans="1:15" ht="18" customHeight="1">
      <c r="A837" s="385"/>
      <c r="B837" s="385"/>
      <c r="H837" s="385"/>
      <c r="L837" s="385"/>
      <c r="M837" s="385"/>
      <c r="N837" s="385"/>
      <c r="O837" s="385"/>
    </row>
    <row r="838" spans="1:15" ht="18" customHeight="1">
      <c r="A838" s="385"/>
      <c r="B838" s="385"/>
      <c r="H838" s="385"/>
      <c r="L838" s="385"/>
      <c r="M838" s="385"/>
      <c r="N838" s="385"/>
      <c r="O838" s="385"/>
    </row>
    <row r="839" spans="1:15" ht="18" customHeight="1">
      <c r="A839" s="385"/>
      <c r="B839" s="385"/>
      <c r="H839" s="385"/>
      <c r="L839" s="385"/>
      <c r="M839" s="385"/>
      <c r="N839" s="385"/>
      <c r="O839" s="385"/>
    </row>
    <row r="840" spans="1:15" ht="18" customHeight="1">
      <c r="A840" s="385"/>
      <c r="B840" s="385"/>
      <c r="H840" s="385"/>
      <c r="L840" s="385"/>
      <c r="M840" s="385"/>
      <c r="N840" s="385"/>
      <c r="O840" s="385"/>
    </row>
    <row r="841" spans="1:15" ht="18" customHeight="1">
      <c r="A841" s="385"/>
      <c r="B841" s="385"/>
      <c r="H841" s="385"/>
      <c r="L841" s="385"/>
      <c r="M841" s="385"/>
      <c r="N841" s="385"/>
      <c r="O841" s="385"/>
    </row>
    <row r="842" spans="1:15" ht="18" customHeight="1">
      <c r="A842" s="385"/>
      <c r="B842" s="385"/>
      <c r="H842" s="385"/>
      <c r="L842" s="385"/>
      <c r="M842" s="385"/>
      <c r="N842" s="385"/>
      <c r="O842" s="385"/>
    </row>
    <row r="843" spans="1:15" ht="18" customHeight="1">
      <c r="A843" s="385"/>
      <c r="B843" s="385"/>
      <c r="H843" s="385"/>
      <c r="L843" s="385"/>
      <c r="M843" s="385"/>
      <c r="N843" s="385"/>
      <c r="O843" s="385"/>
    </row>
    <row r="844" spans="1:15" ht="18" customHeight="1">
      <c r="A844" s="385"/>
      <c r="B844" s="385"/>
      <c r="H844" s="385"/>
      <c r="L844" s="385"/>
      <c r="M844" s="385"/>
      <c r="N844" s="385"/>
      <c r="O844" s="385"/>
    </row>
    <row r="845" spans="1:15" ht="18" customHeight="1">
      <c r="A845" s="385"/>
      <c r="B845" s="385"/>
      <c r="H845" s="385"/>
      <c r="L845" s="385"/>
      <c r="M845" s="385"/>
      <c r="N845" s="385"/>
      <c r="O845" s="385"/>
    </row>
    <row r="846" spans="1:15" ht="18" customHeight="1">
      <c r="A846" s="385"/>
      <c r="B846" s="385"/>
      <c r="H846" s="385"/>
      <c r="L846" s="385"/>
      <c r="M846" s="385"/>
      <c r="N846" s="385"/>
      <c r="O846" s="385"/>
    </row>
    <row r="847" spans="1:15" ht="18" customHeight="1">
      <c r="A847" s="385"/>
      <c r="B847" s="385"/>
      <c r="H847" s="385"/>
      <c r="L847" s="385"/>
      <c r="M847" s="385"/>
      <c r="N847" s="385"/>
      <c r="O847" s="385"/>
    </row>
    <row r="848" spans="1:15" ht="18" customHeight="1">
      <c r="A848" s="385"/>
      <c r="B848" s="385"/>
      <c r="H848" s="385"/>
      <c r="L848" s="385"/>
      <c r="M848" s="385"/>
      <c r="N848" s="385"/>
      <c r="O848" s="385"/>
    </row>
    <row r="849" spans="1:15" ht="18" customHeight="1">
      <c r="A849" s="385"/>
      <c r="B849" s="385"/>
      <c r="H849" s="385"/>
      <c r="L849" s="385"/>
      <c r="M849" s="385"/>
      <c r="N849" s="385"/>
      <c r="O849" s="385"/>
    </row>
    <row r="850" spans="1:15" ht="18" customHeight="1">
      <c r="A850" s="385"/>
      <c r="B850" s="385"/>
      <c r="H850" s="385"/>
      <c r="L850" s="385"/>
      <c r="M850" s="385"/>
      <c r="N850" s="385"/>
      <c r="O850" s="385"/>
    </row>
    <row r="851" spans="1:15" ht="18" customHeight="1">
      <c r="A851" s="385"/>
      <c r="B851" s="385"/>
      <c r="H851" s="385"/>
      <c r="L851" s="385"/>
      <c r="M851" s="385"/>
      <c r="N851" s="385"/>
      <c r="O851" s="385"/>
    </row>
    <row r="852" spans="1:15" ht="18" customHeight="1">
      <c r="A852" s="385"/>
      <c r="B852" s="385"/>
      <c r="H852" s="385"/>
      <c r="L852" s="385"/>
      <c r="M852" s="385"/>
      <c r="N852" s="385"/>
      <c r="O852" s="385"/>
    </row>
    <row r="853" spans="1:15" ht="18" customHeight="1">
      <c r="A853" s="385"/>
      <c r="B853" s="385"/>
      <c r="H853" s="385"/>
      <c r="L853" s="385"/>
      <c r="M853" s="385"/>
      <c r="N853" s="385"/>
      <c r="O853" s="385"/>
    </row>
    <row r="854" spans="1:15" ht="18" customHeight="1">
      <c r="A854" s="385"/>
      <c r="B854" s="385"/>
      <c r="H854" s="385"/>
      <c r="L854" s="385"/>
      <c r="M854" s="385"/>
      <c r="N854" s="385"/>
      <c r="O854" s="385"/>
    </row>
    <row r="855" spans="1:15" ht="18" customHeight="1">
      <c r="A855" s="385"/>
      <c r="B855" s="385"/>
      <c r="H855" s="385"/>
      <c r="L855" s="385"/>
      <c r="M855" s="385"/>
      <c r="N855" s="385"/>
      <c r="O855" s="385"/>
    </row>
    <row r="856" spans="1:15" ht="18" customHeight="1">
      <c r="A856" s="385"/>
      <c r="B856" s="385"/>
      <c r="H856" s="385"/>
      <c r="L856" s="385"/>
      <c r="M856" s="385"/>
      <c r="N856" s="385"/>
      <c r="O856" s="385"/>
    </row>
    <row r="857" spans="1:15" ht="18" customHeight="1">
      <c r="A857" s="385"/>
      <c r="B857" s="385"/>
      <c r="H857" s="385"/>
      <c r="L857" s="385"/>
      <c r="M857" s="385"/>
      <c r="N857" s="385"/>
      <c r="O857" s="385"/>
    </row>
    <row r="858" spans="1:15" ht="18" customHeight="1">
      <c r="A858" s="385"/>
      <c r="B858" s="385"/>
      <c r="H858" s="385"/>
      <c r="L858" s="385"/>
      <c r="M858" s="385"/>
      <c r="N858" s="385"/>
      <c r="O858" s="385"/>
    </row>
    <row r="859" spans="1:15" ht="18" customHeight="1">
      <c r="A859" s="385"/>
      <c r="B859" s="385"/>
      <c r="H859" s="385"/>
      <c r="L859" s="385"/>
      <c r="M859" s="385"/>
      <c r="N859" s="385"/>
      <c r="O859" s="385"/>
    </row>
    <row r="860" spans="1:15" ht="18" customHeight="1">
      <c r="A860" s="385"/>
      <c r="B860" s="385"/>
      <c r="H860" s="385"/>
      <c r="L860" s="385"/>
      <c r="M860" s="385"/>
      <c r="N860" s="385"/>
      <c r="O860" s="385"/>
    </row>
    <row r="861" spans="1:15" ht="18" customHeight="1">
      <c r="A861" s="385"/>
      <c r="B861" s="385"/>
      <c r="H861" s="385"/>
      <c r="L861" s="385"/>
      <c r="M861" s="385"/>
      <c r="N861" s="385"/>
      <c r="O861" s="385"/>
    </row>
    <row r="862" spans="1:15" ht="18" customHeight="1">
      <c r="A862" s="385"/>
      <c r="B862" s="385"/>
      <c r="H862" s="385"/>
      <c r="L862" s="385"/>
      <c r="M862" s="385"/>
      <c r="N862" s="385"/>
      <c r="O862" s="385"/>
    </row>
    <row r="863" spans="1:15" ht="18" customHeight="1">
      <c r="A863" s="385"/>
      <c r="B863" s="385"/>
      <c r="H863" s="385"/>
      <c r="L863" s="385"/>
      <c r="M863" s="385"/>
      <c r="N863" s="385"/>
      <c r="O863" s="385"/>
    </row>
    <row r="864" spans="1:15" ht="18" customHeight="1">
      <c r="A864" s="385"/>
      <c r="B864" s="385"/>
      <c r="H864" s="385"/>
      <c r="L864" s="385"/>
      <c r="M864" s="385"/>
      <c r="N864" s="385"/>
      <c r="O864" s="385"/>
    </row>
    <row r="865" spans="1:15" ht="18" customHeight="1">
      <c r="A865" s="385"/>
      <c r="B865" s="385"/>
      <c r="H865" s="385"/>
      <c r="L865" s="385"/>
      <c r="M865" s="385"/>
      <c r="N865" s="385"/>
      <c r="O865" s="385"/>
    </row>
    <row r="866" spans="1:15" ht="18" customHeight="1">
      <c r="A866" s="385"/>
      <c r="B866" s="385"/>
      <c r="H866" s="385"/>
      <c r="L866" s="385"/>
      <c r="M866" s="385"/>
      <c r="N866" s="385"/>
      <c r="O866" s="385"/>
    </row>
    <row r="867" spans="1:15" ht="18" customHeight="1">
      <c r="A867" s="385"/>
      <c r="B867" s="385"/>
      <c r="H867" s="385"/>
      <c r="L867" s="385"/>
      <c r="M867" s="385"/>
      <c r="N867" s="385"/>
      <c r="O867" s="385"/>
    </row>
    <row r="868" spans="1:15" ht="18" customHeight="1">
      <c r="A868" s="385"/>
      <c r="B868" s="385"/>
      <c r="H868" s="385"/>
      <c r="L868" s="385"/>
      <c r="M868" s="385"/>
      <c r="N868" s="385"/>
      <c r="O868" s="385"/>
    </row>
    <row r="869" spans="1:15" ht="18" customHeight="1">
      <c r="A869" s="385"/>
      <c r="B869" s="385"/>
      <c r="H869" s="385"/>
      <c r="L869" s="385"/>
      <c r="M869" s="385"/>
      <c r="N869" s="385"/>
      <c r="O869" s="385"/>
    </row>
    <row r="870" spans="1:15" ht="18" customHeight="1">
      <c r="A870" s="385"/>
      <c r="B870" s="385"/>
      <c r="H870" s="385"/>
      <c r="L870" s="385"/>
      <c r="M870" s="385"/>
      <c r="N870" s="385"/>
      <c r="O870" s="385"/>
    </row>
    <row r="871" spans="1:15" ht="18" customHeight="1">
      <c r="A871" s="385"/>
      <c r="B871" s="385"/>
      <c r="H871" s="385"/>
      <c r="L871" s="385"/>
      <c r="M871" s="385"/>
      <c r="N871" s="385"/>
      <c r="O871" s="385"/>
    </row>
    <row r="872" spans="1:15" ht="18" customHeight="1">
      <c r="A872" s="385"/>
      <c r="B872" s="385"/>
      <c r="H872" s="385"/>
      <c r="L872" s="385"/>
      <c r="M872" s="385"/>
      <c r="N872" s="385"/>
      <c r="O872" s="385"/>
    </row>
    <row r="873" spans="1:15" ht="18" customHeight="1">
      <c r="A873" s="385"/>
      <c r="B873" s="385"/>
      <c r="H873" s="385"/>
      <c r="L873" s="385"/>
      <c r="M873" s="385"/>
      <c r="N873" s="385"/>
      <c r="O873" s="385"/>
    </row>
    <row r="874" spans="1:15" ht="18" customHeight="1">
      <c r="A874" s="385"/>
      <c r="B874" s="385"/>
      <c r="H874" s="385"/>
      <c r="L874" s="385"/>
      <c r="M874" s="385"/>
      <c r="N874" s="385"/>
      <c r="O874" s="385"/>
    </row>
    <row r="875" spans="1:15" ht="18" customHeight="1">
      <c r="A875" s="385"/>
      <c r="B875" s="385"/>
      <c r="H875" s="385"/>
      <c r="L875" s="385"/>
      <c r="M875" s="385"/>
      <c r="N875" s="385"/>
      <c r="O875" s="385"/>
    </row>
    <row r="876" spans="1:15" ht="18" customHeight="1">
      <c r="A876" s="385"/>
      <c r="B876" s="385"/>
      <c r="H876" s="385"/>
      <c r="L876" s="385"/>
      <c r="M876" s="385"/>
      <c r="N876" s="385"/>
      <c r="O876" s="385"/>
    </row>
    <row r="877" spans="1:15" ht="18" customHeight="1">
      <c r="A877" s="385"/>
      <c r="B877" s="385"/>
      <c r="H877" s="385"/>
      <c r="L877" s="385"/>
      <c r="M877" s="385"/>
      <c r="N877" s="385"/>
      <c r="O877" s="385"/>
    </row>
    <row r="878" spans="1:15" ht="18" customHeight="1">
      <c r="A878" s="385"/>
      <c r="B878" s="385"/>
      <c r="H878" s="385"/>
      <c r="L878" s="385"/>
      <c r="M878" s="385"/>
      <c r="N878" s="385"/>
      <c r="O878" s="385"/>
    </row>
    <row r="879" spans="1:15" ht="18" customHeight="1">
      <c r="A879" s="385"/>
      <c r="B879" s="385"/>
      <c r="H879" s="385"/>
      <c r="L879" s="385"/>
      <c r="M879" s="385"/>
      <c r="N879" s="385"/>
      <c r="O879" s="385"/>
    </row>
    <row r="880" spans="1:15" ht="18" customHeight="1">
      <c r="A880" s="385"/>
      <c r="B880" s="385"/>
      <c r="H880" s="385"/>
      <c r="L880" s="385"/>
      <c r="M880" s="385"/>
      <c r="N880" s="385"/>
      <c r="O880" s="385"/>
    </row>
    <row r="881" spans="1:15" ht="18" customHeight="1">
      <c r="A881" s="385"/>
      <c r="B881" s="385"/>
      <c r="H881" s="385"/>
      <c r="L881" s="385"/>
      <c r="M881" s="385"/>
      <c r="N881" s="385"/>
      <c r="O881" s="385"/>
    </row>
    <row r="882" spans="1:15" ht="18" customHeight="1">
      <c r="A882" s="385"/>
      <c r="B882" s="385"/>
      <c r="H882" s="385"/>
      <c r="L882" s="385"/>
      <c r="M882" s="385"/>
      <c r="N882" s="385"/>
      <c r="O882" s="385"/>
    </row>
    <row r="883" spans="1:15" ht="18" customHeight="1">
      <c r="A883" s="385"/>
      <c r="B883" s="385"/>
      <c r="H883" s="385"/>
      <c r="L883" s="385"/>
      <c r="M883" s="385"/>
      <c r="N883" s="385"/>
      <c r="O883" s="385"/>
    </row>
    <row r="884" spans="1:15" ht="18" customHeight="1">
      <c r="A884" s="385"/>
      <c r="B884" s="385"/>
      <c r="H884" s="385"/>
      <c r="L884" s="385"/>
      <c r="M884" s="385"/>
      <c r="N884" s="385"/>
      <c r="O884" s="385"/>
    </row>
    <row r="885" spans="1:15" ht="18" customHeight="1">
      <c r="A885" s="385"/>
      <c r="B885" s="385"/>
      <c r="H885" s="385"/>
      <c r="L885" s="385"/>
      <c r="M885" s="385"/>
      <c r="N885" s="385"/>
      <c r="O885" s="385"/>
    </row>
    <row r="886" spans="1:15" ht="18" customHeight="1">
      <c r="A886" s="385"/>
      <c r="B886" s="385"/>
      <c r="H886" s="385"/>
      <c r="L886" s="385"/>
      <c r="M886" s="385"/>
      <c r="N886" s="385"/>
      <c r="O886" s="385"/>
    </row>
    <row r="887" spans="1:15" ht="18" customHeight="1">
      <c r="A887" s="385"/>
      <c r="B887" s="385"/>
      <c r="H887" s="385"/>
      <c r="L887" s="385"/>
      <c r="M887" s="385"/>
      <c r="N887" s="385"/>
      <c r="O887" s="385"/>
    </row>
    <row r="888" spans="1:15" ht="18" customHeight="1">
      <c r="A888" s="385"/>
      <c r="B888" s="385"/>
      <c r="H888" s="385"/>
      <c r="L888" s="385"/>
      <c r="M888" s="385"/>
      <c r="N888" s="385"/>
      <c r="O888" s="385"/>
    </row>
    <row r="889" spans="1:15" ht="18" customHeight="1">
      <c r="A889" s="385"/>
      <c r="B889" s="385"/>
      <c r="H889" s="385"/>
      <c r="L889" s="385"/>
      <c r="M889" s="385"/>
      <c r="N889" s="385"/>
      <c r="O889" s="385"/>
    </row>
    <row r="890" spans="1:15" ht="18" customHeight="1">
      <c r="A890" s="385"/>
      <c r="B890" s="385"/>
      <c r="H890" s="385"/>
      <c r="L890" s="385"/>
      <c r="M890" s="385"/>
      <c r="N890" s="385"/>
      <c r="O890" s="385"/>
    </row>
    <row r="891" spans="1:15" ht="18" customHeight="1">
      <c r="A891" s="385"/>
      <c r="B891" s="385"/>
      <c r="H891" s="385"/>
      <c r="L891" s="385"/>
      <c r="M891" s="385"/>
      <c r="N891" s="385"/>
      <c r="O891" s="385"/>
    </row>
    <row r="892" spans="1:15" ht="18" customHeight="1">
      <c r="A892" s="385"/>
      <c r="B892" s="385"/>
      <c r="H892" s="385"/>
      <c r="L892" s="385"/>
      <c r="M892" s="385"/>
      <c r="N892" s="385"/>
      <c r="O892" s="385"/>
    </row>
    <row r="893" spans="1:15" ht="18" customHeight="1">
      <c r="A893" s="385"/>
      <c r="B893" s="385"/>
      <c r="H893" s="385"/>
      <c r="L893" s="385"/>
      <c r="M893" s="385"/>
      <c r="N893" s="385"/>
      <c r="O893" s="385"/>
    </row>
    <row r="894" spans="1:15" ht="18" customHeight="1">
      <c r="A894" s="385"/>
      <c r="B894" s="385"/>
      <c r="H894" s="385"/>
      <c r="L894" s="385"/>
      <c r="M894" s="385"/>
      <c r="N894" s="385"/>
      <c r="O894" s="385"/>
    </row>
    <row r="895" spans="1:15" ht="18" customHeight="1">
      <c r="A895" s="385"/>
      <c r="B895" s="385"/>
      <c r="H895" s="385"/>
      <c r="L895" s="385"/>
      <c r="M895" s="385"/>
      <c r="N895" s="385"/>
      <c r="O895" s="385"/>
    </row>
    <row r="896" spans="1:15" ht="18" customHeight="1">
      <c r="A896" s="385"/>
      <c r="B896" s="385"/>
      <c r="H896" s="385"/>
      <c r="L896" s="385"/>
      <c r="M896" s="385"/>
      <c r="N896" s="385"/>
      <c r="O896" s="385"/>
    </row>
    <row r="897" spans="1:15" ht="18" customHeight="1">
      <c r="A897" s="385"/>
      <c r="B897" s="385"/>
      <c r="H897" s="385"/>
      <c r="L897" s="385"/>
      <c r="M897" s="385"/>
      <c r="N897" s="385"/>
      <c r="O897" s="385"/>
    </row>
    <row r="898" spans="1:15" ht="18" customHeight="1">
      <c r="A898" s="385"/>
      <c r="B898" s="385"/>
      <c r="H898" s="385"/>
      <c r="L898" s="385"/>
      <c r="M898" s="385"/>
      <c r="N898" s="385"/>
      <c r="O898" s="385"/>
    </row>
    <row r="899" spans="1:15" ht="18" customHeight="1">
      <c r="A899" s="385"/>
      <c r="B899" s="385"/>
      <c r="H899" s="385"/>
      <c r="L899" s="385"/>
      <c r="M899" s="385"/>
      <c r="N899" s="385"/>
      <c r="O899" s="385"/>
    </row>
    <row r="900" spans="1:15" ht="18" customHeight="1">
      <c r="A900" s="385"/>
      <c r="B900" s="385"/>
      <c r="H900" s="385"/>
      <c r="L900" s="385"/>
      <c r="M900" s="385"/>
      <c r="N900" s="385"/>
      <c r="O900" s="385"/>
    </row>
    <row r="901" spans="1:15" ht="18" customHeight="1">
      <c r="A901" s="385"/>
      <c r="B901" s="385"/>
      <c r="H901" s="385"/>
      <c r="L901" s="385"/>
      <c r="M901" s="385"/>
      <c r="N901" s="385"/>
      <c r="O901" s="385"/>
    </row>
    <row r="902" spans="1:15" ht="18" customHeight="1">
      <c r="A902" s="385"/>
      <c r="B902" s="385"/>
      <c r="H902" s="385"/>
      <c r="L902" s="385"/>
      <c r="M902" s="385"/>
      <c r="N902" s="385"/>
      <c r="O902" s="385"/>
    </row>
    <row r="903" spans="1:15" ht="18" customHeight="1">
      <c r="A903" s="385"/>
      <c r="B903" s="385"/>
      <c r="H903" s="385"/>
      <c r="L903" s="385"/>
      <c r="M903" s="385"/>
      <c r="N903" s="385"/>
      <c r="O903" s="385"/>
    </row>
    <row r="904" spans="1:15" ht="18" customHeight="1">
      <c r="A904" s="385"/>
      <c r="B904" s="385"/>
      <c r="H904" s="385"/>
      <c r="L904" s="385"/>
      <c r="M904" s="385"/>
      <c r="N904" s="385"/>
      <c r="O904" s="385"/>
    </row>
    <row r="905" spans="1:15" ht="18" customHeight="1">
      <c r="A905" s="385"/>
      <c r="B905" s="385"/>
      <c r="H905" s="385"/>
      <c r="L905" s="385"/>
      <c r="M905" s="385"/>
      <c r="N905" s="385"/>
      <c r="O905" s="385"/>
    </row>
    <row r="906" spans="1:15" ht="18" customHeight="1">
      <c r="A906" s="385"/>
      <c r="B906" s="385"/>
      <c r="H906" s="385"/>
      <c r="L906" s="385"/>
      <c r="M906" s="385"/>
      <c r="N906" s="385"/>
      <c r="O906" s="385"/>
    </row>
    <row r="907" spans="1:15" ht="18" customHeight="1">
      <c r="A907" s="385"/>
      <c r="B907" s="385"/>
      <c r="H907" s="385"/>
      <c r="L907" s="385"/>
      <c r="M907" s="385"/>
      <c r="N907" s="385"/>
      <c r="O907" s="385"/>
    </row>
    <row r="908" spans="1:15" ht="18" customHeight="1">
      <c r="A908" s="385"/>
      <c r="B908" s="385"/>
      <c r="H908" s="385"/>
      <c r="L908" s="385"/>
      <c r="M908" s="385"/>
      <c r="N908" s="385"/>
      <c r="O908" s="385"/>
    </row>
    <row r="909" spans="1:15" ht="18" customHeight="1">
      <c r="A909" s="385"/>
      <c r="B909" s="385"/>
      <c r="H909" s="385"/>
      <c r="L909" s="385"/>
      <c r="M909" s="385"/>
      <c r="N909" s="385"/>
      <c r="O909" s="385"/>
    </row>
    <row r="910" spans="1:15" ht="18" customHeight="1">
      <c r="A910" s="385"/>
      <c r="B910" s="385"/>
      <c r="H910" s="385"/>
      <c r="L910" s="385"/>
      <c r="M910" s="385"/>
      <c r="N910" s="385"/>
      <c r="O910" s="385"/>
    </row>
    <row r="911" spans="1:15" ht="18" customHeight="1">
      <c r="A911" s="385"/>
      <c r="B911" s="385"/>
      <c r="H911" s="385"/>
      <c r="L911" s="385"/>
      <c r="M911" s="385"/>
      <c r="N911" s="385"/>
      <c r="O911" s="385"/>
    </row>
    <row r="912" spans="1:15" ht="18" customHeight="1">
      <c r="A912" s="385"/>
      <c r="B912" s="385"/>
      <c r="H912" s="385"/>
      <c r="L912" s="385"/>
      <c r="M912" s="385"/>
      <c r="N912" s="385"/>
      <c r="O912" s="385"/>
    </row>
    <row r="913" spans="1:15" ht="18" customHeight="1">
      <c r="A913" s="385"/>
      <c r="B913" s="385"/>
      <c r="H913" s="385"/>
      <c r="L913" s="385"/>
      <c r="M913" s="385"/>
      <c r="N913" s="385"/>
      <c r="O913" s="385"/>
    </row>
    <row r="914" spans="1:15" ht="18" customHeight="1">
      <c r="A914" s="385"/>
      <c r="B914" s="385"/>
      <c r="H914" s="385"/>
      <c r="L914" s="385"/>
      <c r="M914" s="385"/>
      <c r="N914" s="385"/>
      <c r="O914" s="385"/>
    </row>
    <row r="915" spans="1:15" ht="18" customHeight="1">
      <c r="A915" s="385"/>
      <c r="B915" s="385"/>
      <c r="H915" s="385"/>
      <c r="L915" s="385"/>
      <c r="M915" s="385"/>
      <c r="N915" s="385"/>
      <c r="O915" s="385"/>
    </row>
    <row r="916" spans="1:15" ht="18" customHeight="1">
      <c r="A916" s="385"/>
      <c r="B916" s="385"/>
      <c r="H916" s="385"/>
      <c r="L916" s="385"/>
      <c r="M916" s="385"/>
      <c r="N916" s="385"/>
      <c r="O916" s="385"/>
    </row>
    <row r="917" spans="1:15" ht="18" customHeight="1">
      <c r="A917" s="385"/>
      <c r="B917" s="385"/>
      <c r="H917" s="385"/>
      <c r="L917" s="385"/>
      <c r="M917" s="385"/>
      <c r="N917" s="385"/>
      <c r="O917" s="385"/>
    </row>
    <row r="918" spans="1:15" ht="18" customHeight="1">
      <c r="A918" s="385"/>
      <c r="B918" s="385"/>
      <c r="H918" s="385"/>
      <c r="L918" s="385"/>
      <c r="M918" s="385"/>
      <c r="N918" s="385"/>
      <c r="O918" s="385"/>
    </row>
    <row r="919" spans="1:15" ht="18" customHeight="1">
      <c r="A919" s="385"/>
      <c r="B919" s="385"/>
      <c r="H919" s="385"/>
      <c r="L919" s="385"/>
      <c r="M919" s="385"/>
      <c r="N919" s="385"/>
      <c r="O919" s="385"/>
    </row>
    <row r="920" spans="1:15" ht="18" customHeight="1">
      <c r="A920" s="385"/>
      <c r="B920" s="385"/>
      <c r="H920" s="385"/>
      <c r="L920" s="385"/>
      <c r="M920" s="385"/>
      <c r="N920" s="385"/>
      <c r="O920" s="385"/>
    </row>
    <row r="921" spans="1:15" ht="18" customHeight="1">
      <c r="A921" s="385"/>
      <c r="B921" s="385"/>
      <c r="H921" s="385"/>
      <c r="L921" s="385"/>
      <c r="M921" s="385"/>
      <c r="N921" s="385"/>
      <c r="O921" s="385"/>
    </row>
    <row r="922" spans="1:15" ht="18" customHeight="1">
      <c r="A922" s="385"/>
      <c r="B922" s="385"/>
      <c r="H922" s="385"/>
      <c r="L922" s="385"/>
      <c r="M922" s="385"/>
      <c r="N922" s="385"/>
      <c r="O922" s="385"/>
    </row>
    <row r="923" spans="1:15" ht="18" customHeight="1">
      <c r="A923" s="385"/>
      <c r="B923" s="385"/>
      <c r="H923" s="385"/>
      <c r="L923" s="385"/>
      <c r="M923" s="385"/>
      <c r="N923" s="385"/>
      <c r="O923" s="385"/>
    </row>
    <row r="924" spans="1:15" ht="18" customHeight="1">
      <c r="A924" s="385"/>
      <c r="B924" s="385"/>
      <c r="H924" s="385"/>
      <c r="L924" s="385"/>
      <c r="M924" s="385"/>
      <c r="N924" s="385"/>
      <c r="O924" s="385"/>
    </row>
    <row r="925" spans="1:15" ht="18" customHeight="1">
      <c r="A925" s="385"/>
      <c r="B925" s="385"/>
      <c r="H925" s="385"/>
      <c r="L925" s="385"/>
      <c r="M925" s="385"/>
      <c r="N925" s="385"/>
      <c r="O925" s="385"/>
    </row>
    <row r="926" spans="1:15" ht="18" customHeight="1">
      <c r="A926" s="385"/>
      <c r="B926" s="385"/>
      <c r="H926" s="385"/>
      <c r="L926" s="385"/>
      <c r="M926" s="385"/>
      <c r="N926" s="385"/>
      <c r="O926" s="385"/>
    </row>
    <row r="927" spans="1:15" ht="18" customHeight="1">
      <c r="A927" s="385"/>
      <c r="B927" s="385"/>
      <c r="H927" s="385"/>
      <c r="L927" s="385"/>
      <c r="M927" s="385"/>
      <c r="N927" s="385"/>
      <c r="O927" s="385"/>
    </row>
    <row r="928" spans="1:15" ht="18" customHeight="1">
      <c r="A928" s="385"/>
      <c r="B928" s="385"/>
      <c r="H928" s="385"/>
      <c r="L928" s="385"/>
      <c r="M928" s="385"/>
      <c r="N928" s="385"/>
      <c r="O928" s="385"/>
    </row>
    <row r="929" spans="1:15" ht="18" customHeight="1">
      <c r="A929" s="385"/>
      <c r="B929" s="385"/>
      <c r="H929" s="385"/>
      <c r="L929" s="385"/>
      <c r="M929" s="385"/>
      <c r="N929" s="385"/>
      <c r="O929" s="385"/>
    </row>
    <row r="930" spans="1:15" ht="18" customHeight="1">
      <c r="A930" s="385"/>
      <c r="B930" s="385"/>
      <c r="H930" s="385"/>
      <c r="L930" s="385"/>
      <c r="M930" s="385"/>
      <c r="N930" s="385"/>
      <c r="O930" s="385"/>
    </row>
    <row r="931" spans="1:15" ht="18" customHeight="1">
      <c r="A931" s="385"/>
      <c r="B931" s="385"/>
      <c r="H931" s="385"/>
      <c r="L931" s="385"/>
      <c r="M931" s="385"/>
      <c r="N931" s="385"/>
      <c r="O931" s="385"/>
    </row>
    <row r="932" spans="1:15" ht="18" customHeight="1">
      <c r="A932" s="385"/>
      <c r="B932" s="385"/>
      <c r="H932" s="385"/>
      <c r="L932" s="385"/>
      <c r="M932" s="385"/>
      <c r="N932" s="385"/>
      <c r="O932" s="385"/>
    </row>
    <row r="933" spans="1:15" ht="18" customHeight="1">
      <c r="A933" s="385"/>
      <c r="B933" s="385"/>
      <c r="H933" s="385"/>
      <c r="L933" s="385"/>
      <c r="M933" s="385"/>
      <c r="N933" s="385"/>
      <c r="O933" s="385"/>
    </row>
    <row r="934" spans="1:15" ht="18" customHeight="1">
      <c r="A934" s="385"/>
      <c r="B934" s="385"/>
      <c r="H934" s="385"/>
      <c r="L934" s="385"/>
      <c r="M934" s="385"/>
      <c r="N934" s="385"/>
      <c r="O934" s="385"/>
    </row>
    <row r="935" spans="1:15" ht="18" customHeight="1">
      <c r="A935" s="385"/>
      <c r="B935" s="385"/>
      <c r="H935" s="385"/>
      <c r="L935" s="385"/>
      <c r="M935" s="385"/>
      <c r="N935" s="385"/>
      <c r="O935" s="385"/>
    </row>
    <row r="936" spans="1:15" ht="18" customHeight="1">
      <c r="A936" s="385"/>
      <c r="B936" s="385"/>
      <c r="H936" s="385"/>
      <c r="L936" s="385"/>
      <c r="M936" s="385"/>
      <c r="N936" s="385"/>
      <c r="O936" s="385"/>
    </row>
    <row r="937" spans="1:15" ht="18" customHeight="1">
      <c r="A937" s="385"/>
      <c r="B937" s="385"/>
      <c r="H937" s="385"/>
      <c r="L937" s="385"/>
      <c r="M937" s="385"/>
      <c r="N937" s="385"/>
      <c r="O937" s="385"/>
    </row>
    <row r="938" spans="1:15" ht="18" customHeight="1">
      <c r="A938" s="385"/>
      <c r="B938" s="385"/>
      <c r="H938" s="385"/>
      <c r="L938" s="385"/>
      <c r="M938" s="385"/>
      <c r="N938" s="385"/>
      <c r="O938" s="385"/>
    </row>
    <row r="939" spans="1:15" ht="18" customHeight="1">
      <c r="A939" s="385"/>
      <c r="B939" s="385"/>
      <c r="H939" s="385"/>
      <c r="L939" s="385"/>
      <c r="M939" s="385"/>
      <c r="N939" s="385"/>
      <c r="O939" s="385"/>
    </row>
    <row r="940" spans="1:15" ht="18" customHeight="1">
      <c r="A940" s="385"/>
      <c r="B940" s="385"/>
      <c r="H940" s="385"/>
      <c r="L940" s="385"/>
      <c r="M940" s="385"/>
      <c r="N940" s="385"/>
      <c r="O940" s="385"/>
    </row>
    <row r="941" spans="1:15" ht="18" customHeight="1">
      <c r="A941" s="385"/>
      <c r="B941" s="385"/>
      <c r="H941" s="385"/>
      <c r="L941" s="385"/>
      <c r="M941" s="385"/>
      <c r="N941" s="385"/>
      <c r="O941" s="385"/>
    </row>
    <row r="942" spans="1:15" ht="18" customHeight="1">
      <c r="A942" s="385"/>
      <c r="B942" s="385"/>
      <c r="H942" s="385"/>
      <c r="L942" s="385"/>
      <c r="M942" s="385"/>
      <c r="N942" s="385"/>
      <c r="O942" s="385"/>
    </row>
    <row r="943" spans="1:15" ht="18" customHeight="1">
      <c r="A943" s="385"/>
      <c r="B943" s="385"/>
      <c r="H943" s="385"/>
      <c r="L943" s="385"/>
      <c r="M943" s="385"/>
      <c r="N943" s="385"/>
      <c r="O943" s="385"/>
    </row>
    <row r="944" spans="1:15" ht="18" customHeight="1">
      <c r="A944" s="385"/>
      <c r="B944" s="385"/>
      <c r="H944" s="385"/>
      <c r="L944" s="385"/>
      <c r="M944" s="385"/>
      <c r="N944" s="385"/>
      <c r="O944" s="385"/>
    </row>
    <row r="945" spans="1:15" ht="18" customHeight="1">
      <c r="A945" s="385"/>
      <c r="B945" s="385"/>
      <c r="H945" s="385"/>
      <c r="L945" s="385"/>
      <c r="M945" s="385"/>
      <c r="N945" s="385"/>
      <c r="O945" s="385"/>
    </row>
    <row r="946" spans="1:15" ht="18" customHeight="1">
      <c r="A946" s="385"/>
      <c r="B946" s="385"/>
      <c r="H946" s="385"/>
      <c r="L946" s="385"/>
      <c r="M946" s="385"/>
      <c r="N946" s="385"/>
      <c r="O946" s="385"/>
    </row>
    <row r="947" spans="1:15" ht="18" customHeight="1">
      <c r="A947" s="385"/>
      <c r="B947" s="385"/>
      <c r="H947" s="385"/>
      <c r="L947" s="385"/>
      <c r="M947" s="385"/>
      <c r="N947" s="385"/>
      <c r="O947" s="385"/>
    </row>
    <row r="948" spans="1:15" ht="18" customHeight="1">
      <c r="A948" s="385"/>
      <c r="B948" s="385"/>
      <c r="H948" s="385"/>
      <c r="L948" s="385"/>
      <c r="M948" s="385"/>
      <c r="N948" s="385"/>
      <c r="O948" s="385"/>
    </row>
    <row r="949" spans="1:15" ht="18" customHeight="1">
      <c r="A949" s="385"/>
      <c r="B949" s="385"/>
      <c r="H949" s="385"/>
      <c r="L949" s="385"/>
      <c r="M949" s="385"/>
      <c r="N949" s="385"/>
      <c r="O949" s="385"/>
    </row>
    <row r="950" spans="1:15" ht="18" customHeight="1">
      <c r="A950" s="385"/>
      <c r="B950" s="385"/>
      <c r="H950" s="385"/>
      <c r="L950" s="385"/>
      <c r="M950" s="385"/>
      <c r="N950" s="385"/>
      <c r="O950" s="385"/>
    </row>
    <row r="951" spans="1:15" ht="18" customHeight="1">
      <c r="A951" s="385"/>
      <c r="B951" s="385"/>
      <c r="H951" s="385"/>
      <c r="L951" s="385"/>
      <c r="M951" s="385"/>
      <c r="N951" s="385"/>
      <c r="O951" s="385"/>
    </row>
    <row r="952" spans="1:15" ht="18" customHeight="1">
      <c r="A952" s="385"/>
      <c r="B952" s="385"/>
      <c r="H952" s="385"/>
      <c r="L952" s="385"/>
      <c r="M952" s="385"/>
      <c r="N952" s="385"/>
      <c r="O952" s="385"/>
    </row>
    <row r="953" spans="1:15" ht="18" customHeight="1">
      <c r="A953" s="385"/>
      <c r="B953" s="385"/>
      <c r="H953" s="385"/>
      <c r="L953" s="385"/>
      <c r="M953" s="385"/>
      <c r="N953" s="385"/>
      <c r="O953" s="385"/>
    </row>
    <row r="954" spans="1:15" ht="18" customHeight="1">
      <c r="A954" s="385"/>
      <c r="B954" s="385"/>
      <c r="H954" s="385"/>
      <c r="L954" s="385"/>
      <c r="M954" s="385"/>
      <c r="N954" s="385"/>
      <c r="O954" s="385"/>
    </row>
    <row r="955" spans="1:15" ht="18" customHeight="1">
      <c r="A955" s="385"/>
      <c r="B955" s="385"/>
      <c r="H955" s="385"/>
      <c r="L955" s="385"/>
      <c r="M955" s="385"/>
      <c r="N955" s="385"/>
      <c r="O955" s="385"/>
    </row>
    <row r="956" spans="1:15" ht="18" customHeight="1">
      <c r="A956" s="385"/>
      <c r="B956" s="385"/>
      <c r="H956" s="385"/>
      <c r="L956" s="385"/>
      <c r="M956" s="385"/>
      <c r="N956" s="385"/>
      <c r="O956" s="385"/>
    </row>
    <row r="957" spans="1:15" ht="18" customHeight="1">
      <c r="A957" s="385"/>
      <c r="B957" s="385"/>
      <c r="H957" s="385"/>
      <c r="L957" s="385"/>
      <c r="M957" s="385"/>
      <c r="N957" s="385"/>
      <c r="O957" s="385"/>
    </row>
    <row r="958" spans="1:15" ht="18" customHeight="1">
      <c r="A958" s="385"/>
      <c r="B958" s="385"/>
      <c r="H958" s="385"/>
      <c r="L958" s="385"/>
      <c r="M958" s="385"/>
      <c r="N958" s="385"/>
      <c r="O958" s="385"/>
    </row>
    <row r="959" spans="1:15" ht="18" customHeight="1">
      <c r="A959" s="385"/>
      <c r="B959" s="385"/>
      <c r="H959" s="385"/>
      <c r="L959" s="385"/>
      <c r="M959" s="385"/>
      <c r="N959" s="385"/>
      <c r="O959" s="385"/>
    </row>
    <row r="960" spans="1:15" ht="18" customHeight="1">
      <c r="A960" s="385"/>
      <c r="B960" s="385"/>
      <c r="H960" s="385"/>
      <c r="L960" s="385"/>
      <c r="M960" s="385"/>
      <c r="N960" s="385"/>
      <c r="O960" s="385"/>
    </row>
    <row r="961" spans="1:15" ht="18" customHeight="1">
      <c r="A961" s="385"/>
      <c r="B961" s="385"/>
      <c r="H961" s="385"/>
      <c r="L961" s="385"/>
      <c r="M961" s="385"/>
      <c r="N961" s="385"/>
      <c r="O961" s="385"/>
    </row>
    <row r="962" spans="1:15" ht="18" customHeight="1">
      <c r="A962" s="385"/>
      <c r="B962" s="385"/>
      <c r="H962" s="385"/>
      <c r="L962" s="385"/>
      <c r="M962" s="385"/>
      <c r="N962" s="385"/>
      <c r="O962" s="385"/>
    </row>
    <row r="963" spans="1:15" ht="18" customHeight="1">
      <c r="A963" s="385"/>
      <c r="B963" s="385"/>
      <c r="H963" s="385"/>
      <c r="L963" s="385"/>
      <c r="M963" s="385"/>
      <c r="N963" s="385"/>
      <c r="O963" s="385"/>
    </row>
    <row r="964" spans="1:15" ht="18" customHeight="1">
      <c r="A964" s="385"/>
      <c r="B964" s="385"/>
      <c r="H964" s="385"/>
      <c r="L964" s="385"/>
      <c r="M964" s="385"/>
      <c r="N964" s="385"/>
      <c r="O964" s="385"/>
    </row>
    <row r="965" spans="1:15" ht="18" customHeight="1">
      <c r="A965" s="385"/>
      <c r="B965" s="385"/>
      <c r="H965" s="385"/>
      <c r="L965" s="385"/>
      <c r="M965" s="385"/>
      <c r="N965" s="385"/>
      <c r="O965" s="385"/>
    </row>
    <row r="966" spans="1:15" ht="18" customHeight="1">
      <c r="A966" s="385"/>
      <c r="B966" s="385"/>
      <c r="H966" s="385"/>
      <c r="L966" s="385"/>
      <c r="M966" s="385"/>
      <c r="N966" s="385"/>
      <c r="O966" s="385"/>
    </row>
    <row r="967" spans="1:15" ht="18" customHeight="1">
      <c r="A967" s="385"/>
      <c r="B967" s="385"/>
      <c r="H967" s="385"/>
      <c r="L967" s="385"/>
      <c r="M967" s="385"/>
      <c r="N967" s="385"/>
      <c r="O967" s="385"/>
    </row>
    <row r="968" spans="1:15" ht="18" customHeight="1">
      <c r="A968" s="385"/>
      <c r="B968" s="385"/>
      <c r="H968" s="385"/>
      <c r="L968" s="385"/>
      <c r="M968" s="385"/>
      <c r="N968" s="385"/>
      <c r="O968" s="385"/>
    </row>
    <row r="969" spans="1:15" ht="18" customHeight="1">
      <c r="A969" s="385"/>
      <c r="B969" s="385"/>
      <c r="H969" s="385"/>
      <c r="L969" s="385"/>
      <c r="M969" s="385"/>
      <c r="N969" s="385"/>
      <c r="O969" s="385"/>
    </row>
    <row r="970" spans="1:15" ht="18" customHeight="1">
      <c r="A970" s="385"/>
      <c r="B970" s="385"/>
      <c r="H970" s="385"/>
      <c r="L970" s="385"/>
      <c r="M970" s="385"/>
      <c r="N970" s="385"/>
      <c r="O970" s="385"/>
    </row>
    <row r="971" spans="1:15" ht="18" customHeight="1">
      <c r="A971" s="385"/>
      <c r="B971" s="385"/>
      <c r="H971" s="385"/>
      <c r="L971" s="385"/>
      <c r="M971" s="385"/>
      <c r="N971" s="385"/>
      <c r="O971" s="385"/>
    </row>
    <row r="972" spans="1:15" ht="18" customHeight="1">
      <c r="A972" s="385"/>
      <c r="B972" s="385"/>
      <c r="H972" s="385"/>
      <c r="L972" s="385"/>
      <c r="M972" s="385"/>
      <c r="N972" s="385"/>
      <c r="O972" s="385"/>
    </row>
    <row r="973" spans="1:15" ht="18" customHeight="1">
      <c r="A973" s="385"/>
      <c r="B973" s="385"/>
      <c r="H973" s="385"/>
      <c r="L973" s="385"/>
      <c r="M973" s="385"/>
      <c r="N973" s="385"/>
      <c r="O973" s="385"/>
    </row>
    <row r="974" spans="1:15" ht="18" customHeight="1">
      <c r="A974" s="385"/>
      <c r="B974" s="385"/>
      <c r="H974" s="385"/>
      <c r="L974" s="385"/>
      <c r="M974" s="385"/>
      <c r="N974" s="385"/>
      <c r="O974" s="385"/>
    </row>
    <row r="975" spans="1:15" ht="18" customHeight="1">
      <c r="A975" s="385"/>
      <c r="B975" s="385"/>
      <c r="H975" s="385"/>
      <c r="L975" s="385"/>
      <c r="M975" s="385"/>
      <c r="N975" s="385"/>
      <c r="O975" s="385"/>
    </row>
    <row r="976" spans="1:15" ht="18" customHeight="1">
      <c r="A976" s="385"/>
      <c r="B976" s="385"/>
      <c r="H976" s="385"/>
      <c r="L976" s="385"/>
      <c r="M976" s="385"/>
      <c r="N976" s="385"/>
      <c r="O976" s="385"/>
    </row>
    <row r="977" spans="1:15" ht="18" customHeight="1">
      <c r="A977" s="385"/>
      <c r="B977" s="385"/>
      <c r="H977" s="385"/>
      <c r="L977" s="385"/>
      <c r="M977" s="385"/>
      <c r="N977" s="385"/>
      <c r="O977" s="385"/>
    </row>
    <row r="978" spans="1:15" ht="18" customHeight="1">
      <c r="A978" s="385"/>
      <c r="B978" s="385"/>
      <c r="H978" s="385"/>
      <c r="L978" s="385"/>
      <c r="M978" s="385"/>
      <c r="N978" s="385"/>
      <c r="O978" s="385"/>
    </row>
    <row r="979" spans="1:15" ht="18" customHeight="1">
      <c r="A979" s="385"/>
      <c r="B979" s="385"/>
      <c r="H979" s="385"/>
      <c r="L979" s="385"/>
      <c r="M979" s="385"/>
      <c r="N979" s="385"/>
      <c r="O979" s="385"/>
    </row>
    <row r="980" spans="1:15" ht="18" customHeight="1">
      <c r="A980" s="385"/>
      <c r="B980" s="385"/>
      <c r="H980" s="385"/>
      <c r="L980" s="385"/>
      <c r="M980" s="385"/>
      <c r="N980" s="385"/>
      <c r="O980" s="385"/>
    </row>
    <row r="981" spans="1:15" ht="18" customHeight="1">
      <c r="A981" s="385"/>
      <c r="B981" s="385"/>
      <c r="H981" s="385"/>
      <c r="L981" s="385"/>
      <c r="M981" s="385"/>
      <c r="N981" s="385"/>
      <c r="O981" s="385"/>
    </row>
    <row r="982" spans="1:15" ht="18" customHeight="1">
      <c r="A982" s="385"/>
      <c r="B982" s="385"/>
      <c r="H982" s="385"/>
      <c r="L982" s="385"/>
      <c r="M982" s="385"/>
      <c r="N982" s="385"/>
      <c r="O982" s="385"/>
    </row>
    <row r="983" spans="1:15" ht="18" customHeight="1">
      <c r="A983" s="385"/>
      <c r="B983" s="385"/>
      <c r="H983" s="385"/>
      <c r="L983" s="385"/>
      <c r="M983" s="385"/>
      <c r="N983" s="385"/>
      <c r="O983" s="385"/>
    </row>
    <row r="984" spans="1:15" ht="18" customHeight="1">
      <c r="A984" s="385"/>
      <c r="B984" s="385"/>
      <c r="H984" s="385"/>
      <c r="L984" s="385"/>
      <c r="M984" s="385"/>
      <c r="N984" s="385"/>
      <c r="O984" s="385"/>
    </row>
    <row r="985" spans="1:15" ht="18" customHeight="1">
      <c r="A985" s="385"/>
      <c r="B985" s="385"/>
      <c r="H985" s="385"/>
      <c r="L985" s="385"/>
      <c r="M985" s="385"/>
      <c r="N985" s="385"/>
      <c r="O985" s="385"/>
    </row>
    <row r="986" spans="1:15" ht="18" customHeight="1">
      <c r="A986" s="385"/>
      <c r="B986" s="385"/>
      <c r="H986" s="385"/>
      <c r="L986" s="385"/>
      <c r="M986" s="385"/>
      <c r="N986" s="385"/>
      <c r="O986" s="385"/>
    </row>
    <row r="987" spans="1:15" ht="18" customHeight="1">
      <c r="A987" s="385"/>
      <c r="B987" s="385"/>
      <c r="H987" s="385"/>
      <c r="L987" s="385"/>
      <c r="M987" s="385"/>
      <c r="N987" s="385"/>
      <c r="O987" s="385"/>
    </row>
    <row r="988" spans="1:15" ht="18" customHeight="1">
      <c r="A988" s="385"/>
      <c r="B988" s="385"/>
      <c r="H988" s="385"/>
      <c r="L988" s="385"/>
      <c r="M988" s="385"/>
      <c r="N988" s="385"/>
      <c r="O988" s="385"/>
    </row>
    <row r="989" spans="1:15" ht="18" customHeight="1">
      <c r="A989" s="385"/>
      <c r="B989" s="385"/>
      <c r="H989" s="385"/>
      <c r="L989" s="385"/>
      <c r="M989" s="385"/>
      <c r="N989" s="385"/>
      <c r="O989" s="385"/>
    </row>
    <row r="990" spans="1:15" ht="18" customHeight="1">
      <c r="A990" s="385"/>
      <c r="B990" s="385"/>
      <c r="H990" s="385"/>
      <c r="L990" s="385"/>
      <c r="M990" s="385"/>
      <c r="N990" s="385"/>
      <c r="O990" s="385"/>
    </row>
    <row r="991" spans="1:15" ht="18" customHeight="1">
      <c r="A991" s="385"/>
      <c r="B991" s="385"/>
      <c r="H991" s="385"/>
      <c r="L991" s="385"/>
      <c r="M991" s="385"/>
      <c r="N991" s="385"/>
      <c r="O991" s="385"/>
    </row>
    <row r="992" spans="1:15" ht="18" customHeight="1">
      <c r="A992" s="385"/>
      <c r="B992" s="385"/>
      <c r="H992" s="385"/>
      <c r="L992" s="385"/>
      <c r="M992" s="385"/>
      <c r="N992" s="385"/>
      <c r="O992" s="385"/>
    </row>
    <row r="993" spans="1:15" ht="18" customHeight="1">
      <c r="A993" s="385"/>
      <c r="B993" s="385"/>
      <c r="H993" s="385"/>
      <c r="L993" s="385"/>
      <c r="M993" s="385"/>
      <c r="N993" s="385"/>
      <c r="O993" s="385"/>
    </row>
    <row r="994" spans="1:15" ht="18" customHeight="1">
      <c r="A994" s="385"/>
      <c r="B994" s="385"/>
      <c r="H994" s="385"/>
      <c r="L994" s="385"/>
      <c r="M994" s="385"/>
      <c r="N994" s="385"/>
      <c r="O994" s="385"/>
    </row>
    <row r="995" spans="1:15" ht="18" customHeight="1">
      <c r="A995" s="385"/>
      <c r="B995" s="385"/>
      <c r="H995" s="385"/>
      <c r="L995" s="385"/>
      <c r="M995" s="385"/>
      <c r="N995" s="385"/>
      <c r="O995" s="385"/>
    </row>
    <row r="996" spans="1:15" ht="18" customHeight="1">
      <c r="A996" s="385"/>
      <c r="B996" s="385"/>
      <c r="H996" s="385"/>
      <c r="L996" s="385"/>
      <c r="M996" s="385"/>
      <c r="N996" s="385"/>
      <c r="O996" s="385"/>
    </row>
    <row r="997" spans="1:15" ht="18" customHeight="1">
      <c r="A997" s="385"/>
      <c r="B997" s="385"/>
      <c r="H997" s="385"/>
      <c r="L997" s="385"/>
      <c r="M997" s="385"/>
      <c r="N997" s="385"/>
      <c r="O997" s="385"/>
    </row>
    <row r="998" spans="1:15" ht="18" customHeight="1">
      <c r="A998" s="385"/>
      <c r="B998" s="385"/>
      <c r="H998" s="385"/>
      <c r="L998" s="385"/>
      <c r="M998" s="385"/>
      <c r="N998" s="385"/>
      <c r="O998" s="385"/>
    </row>
    <row r="999" spans="1:15" ht="18" customHeight="1">
      <c r="A999" s="385"/>
      <c r="B999" s="385"/>
      <c r="H999" s="385"/>
      <c r="L999" s="385"/>
      <c r="M999" s="385"/>
      <c r="N999" s="385"/>
      <c r="O999" s="385"/>
    </row>
    <row r="1000" spans="1:15" ht="18" customHeight="1">
      <c r="A1000" s="385"/>
      <c r="B1000" s="385"/>
      <c r="H1000" s="385"/>
      <c r="L1000" s="385"/>
      <c r="M1000" s="385"/>
      <c r="N1000" s="385"/>
      <c r="O1000" s="385"/>
    </row>
    <row r="1001" spans="1:15" ht="18" customHeight="1">
      <c r="A1001" s="385"/>
      <c r="B1001" s="385"/>
      <c r="H1001" s="385"/>
      <c r="L1001" s="385"/>
      <c r="M1001" s="385"/>
      <c r="N1001" s="385"/>
      <c r="O1001" s="385"/>
    </row>
    <row r="1002" spans="1:15" ht="18" customHeight="1">
      <c r="A1002" s="385"/>
      <c r="B1002" s="385"/>
      <c r="H1002" s="385"/>
      <c r="L1002" s="385"/>
      <c r="M1002" s="385"/>
      <c r="N1002" s="385"/>
      <c r="O1002" s="385"/>
    </row>
    <row r="1003" spans="1:15" ht="18" customHeight="1">
      <c r="A1003" s="385"/>
      <c r="B1003" s="385"/>
      <c r="H1003" s="385"/>
      <c r="L1003" s="385"/>
      <c r="M1003" s="385"/>
      <c r="N1003" s="385"/>
      <c r="O1003" s="385"/>
    </row>
  </sheetData>
  <mergeCells count="41">
    <mergeCell ref="O2:O4"/>
    <mergeCell ref="A1:K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A486:D486"/>
    <mergeCell ref="H486:I486"/>
    <mergeCell ref="A487:D487"/>
    <mergeCell ref="H487:I487"/>
    <mergeCell ref="A488:D488"/>
    <mergeCell ref="H488:I488"/>
    <mergeCell ref="A489:D489"/>
    <mergeCell ref="H489:I489"/>
    <mergeCell ref="A490:D490"/>
    <mergeCell ref="H490:I490"/>
    <mergeCell ref="A491:D491"/>
    <mergeCell ref="H491:I491"/>
    <mergeCell ref="A498:D498"/>
    <mergeCell ref="H498:I498"/>
    <mergeCell ref="A492:D492"/>
    <mergeCell ref="H492:I492"/>
    <mergeCell ref="A493:D493"/>
    <mergeCell ref="H493:I493"/>
    <mergeCell ref="A494:D494"/>
    <mergeCell ref="H494:I494"/>
    <mergeCell ref="A495:D495"/>
    <mergeCell ref="H495:I495"/>
    <mergeCell ref="A496:D496"/>
    <mergeCell ref="H496:I496"/>
    <mergeCell ref="A497:D497"/>
  </mergeCells>
  <hyperlinks>
    <hyperlink ref="I5" r:id="rId1" xr:uid="{8BCD103B-088E-4871-B5F5-6FA3EE04F85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4742-BFA0-4739-8DC6-603E93263755}">
  <sheetPr>
    <tabColor theme="9" tint="0.39997558519241921"/>
  </sheetPr>
  <dimension ref="A2:S1002"/>
  <sheetViews>
    <sheetView topLeftCell="I1" workbookViewId="0">
      <selection activeCell="O18" sqref="O18"/>
    </sheetView>
  </sheetViews>
  <sheetFormatPr defaultColWidth="14.3984375" defaultRowHeight="15" customHeight="1"/>
  <cols>
    <col min="1" max="1" width="11.296875" bestFit="1" customWidth="1"/>
    <col min="2" max="2" width="11.59765625" customWidth="1"/>
    <col min="3" max="3" width="19.59765625" customWidth="1"/>
    <col min="4" max="4" width="19.8984375" customWidth="1"/>
    <col min="5" max="5" width="19" customWidth="1"/>
    <col min="6" max="6" width="12" style="560" customWidth="1"/>
    <col min="7" max="7" width="12" customWidth="1"/>
    <col min="8" max="8" width="24.09765625" customWidth="1"/>
    <col min="9" max="9" width="20.09765625" customWidth="1"/>
    <col min="10" max="10" width="12" customWidth="1"/>
    <col min="11" max="11" width="17.59765625" customWidth="1"/>
    <col min="12" max="12" width="18.59765625" customWidth="1"/>
    <col min="13" max="13" width="20" customWidth="1"/>
    <col min="14" max="14" width="26.09765625" customWidth="1"/>
    <col min="15" max="16" width="19" customWidth="1"/>
    <col min="17" max="17" width="23.296875" customWidth="1"/>
  </cols>
  <sheetData>
    <row r="2" spans="1:19" ht="52.8" customHeight="1">
      <c r="A2" s="1404" t="s">
        <v>1589</v>
      </c>
      <c r="B2" s="1404" t="s">
        <v>1590</v>
      </c>
      <c r="C2" s="1404" t="s">
        <v>1591</v>
      </c>
      <c r="D2" s="1404" t="s">
        <v>1592</v>
      </c>
      <c r="E2" s="1404" t="s">
        <v>1593</v>
      </c>
      <c r="F2" s="1404" t="s">
        <v>1594</v>
      </c>
      <c r="G2" s="1406" t="s">
        <v>517</v>
      </c>
      <c r="H2" s="1404" t="s">
        <v>1794</v>
      </c>
      <c r="I2" s="1408" t="s">
        <v>1795</v>
      </c>
      <c r="J2" s="1404" t="s">
        <v>1594</v>
      </c>
      <c r="K2" s="1404" t="s">
        <v>1595</v>
      </c>
      <c r="L2" s="1404" t="s">
        <v>1796</v>
      </c>
      <c r="M2" s="1406" t="s">
        <v>1596</v>
      </c>
      <c r="N2" s="1404" t="s">
        <v>2714</v>
      </c>
      <c r="O2" s="1405" t="s">
        <v>2715</v>
      </c>
      <c r="P2" s="1405"/>
      <c r="Q2" s="695" t="s">
        <v>1601</v>
      </c>
    </row>
    <row r="3" spans="1:19" ht="21" customHeight="1">
      <c r="A3" s="1404"/>
      <c r="B3" s="1404"/>
      <c r="C3" s="1404"/>
      <c r="D3" s="1404"/>
      <c r="E3" s="1404"/>
      <c r="F3" s="1404"/>
      <c r="G3" s="1406"/>
      <c r="H3" s="1404"/>
      <c r="I3" s="1408"/>
      <c r="J3" s="1404"/>
      <c r="K3" s="1404"/>
      <c r="L3" s="1404"/>
      <c r="M3" s="1406"/>
      <c r="N3" s="1404"/>
      <c r="O3" s="692" t="s">
        <v>400</v>
      </c>
      <c r="P3" s="692" t="s">
        <v>402</v>
      </c>
      <c r="Q3" s="693" t="s">
        <v>400</v>
      </c>
    </row>
    <row r="4" spans="1:19" ht="21" customHeight="1">
      <c r="A4" s="1407"/>
      <c r="B4" s="1407"/>
      <c r="C4" s="1407"/>
      <c r="D4" s="1407"/>
      <c r="E4" s="696"/>
      <c r="F4" s="697"/>
      <c r="G4" s="1407"/>
      <c r="H4" s="1407"/>
      <c r="I4" s="696"/>
      <c r="J4" s="698"/>
      <c r="K4" s="1409"/>
      <c r="L4" s="1409"/>
      <c r="M4" s="1409"/>
      <c r="N4" s="696">
        <f>SUM(N5:N867)</f>
        <v>9710956.4299999997</v>
      </c>
      <c r="O4" s="694">
        <f>SUM(O5:O867)</f>
        <v>68783.234091999926</v>
      </c>
      <c r="P4" s="694">
        <f>SUM(P5:P867)</f>
        <v>2149.4760653749977</v>
      </c>
      <c r="Q4" s="694">
        <f>SUM(Q5:Q867)</f>
        <v>104710480.09877001</v>
      </c>
      <c r="S4" s="792"/>
    </row>
    <row r="5" spans="1:19" ht="13.8">
      <c r="A5" s="701" t="s">
        <v>1797</v>
      </c>
      <c r="B5" s="702">
        <v>44930</v>
      </c>
      <c r="C5" s="701" t="s">
        <v>1597</v>
      </c>
      <c r="D5" s="701" t="s">
        <v>1598</v>
      </c>
      <c r="E5" s="703">
        <v>6.2</v>
      </c>
      <c r="F5" s="701" t="s">
        <v>1599</v>
      </c>
      <c r="G5" s="704" t="s">
        <v>1600</v>
      </c>
      <c r="H5" s="701" t="s">
        <v>1798</v>
      </c>
      <c r="I5" s="705">
        <v>1931</v>
      </c>
      <c r="J5" s="706" t="s">
        <v>1599</v>
      </c>
      <c r="K5" s="707">
        <v>2235.52</v>
      </c>
      <c r="L5" s="708">
        <f>M5-K5</f>
        <v>1128.96</v>
      </c>
      <c r="M5" s="709">
        <v>3364.48</v>
      </c>
      <c r="N5" s="844">
        <v>2235.52</v>
      </c>
      <c r="O5" s="710">
        <f>N5*E5/1000</f>
        <v>13.860224000000001</v>
      </c>
      <c r="P5" s="711">
        <f>O5/32</f>
        <v>0.43313200000000002</v>
      </c>
      <c r="Q5" s="712">
        <f>N5*I5/1000</f>
        <v>4316.7891200000004</v>
      </c>
    </row>
    <row r="6" spans="1:19" ht="13.8">
      <c r="A6" s="713" t="s">
        <v>1799</v>
      </c>
      <c r="B6" s="714">
        <v>44930</v>
      </c>
      <c r="C6" s="713" t="s">
        <v>1597</v>
      </c>
      <c r="D6" s="713" t="s">
        <v>1598</v>
      </c>
      <c r="E6" s="715">
        <v>6.2</v>
      </c>
      <c r="F6" s="713" t="s">
        <v>1599</v>
      </c>
      <c r="G6" s="716" t="s">
        <v>1600</v>
      </c>
      <c r="H6" s="713" t="s">
        <v>1798</v>
      </c>
      <c r="I6" s="717">
        <v>1931</v>
      </c>
      <c r="J6" s="718" t="s">
        <v>1599</v>
      </c>
      <c r="K6" s="719">
        <v>3128.1</v>
      </c>
      <c r="L6" s="720">
        <f>M6-K6</f>
        <v>1436.2000000000003</v>
      </c>
      <c r="M6" s="721">
        <v>4564.3</v>
      </c>
      <c r="N6" s="845">
        <v>3128.1</v>
      </c>
      <c r="O6" s="710">
        <f t="shared" ref="O6:O69" si="0">N6*E6/1000</f>
        <v>19.394220000000001</v>
      </c>
      <c r="P6" s="711">
        <f t="shared" ref="P6:P69" si="1">O6/32</f>
        <v>0.60606937500000002</v>
      </c>
      <c r="Q6" s="712">
        <f t="shared" ref="Q6:Q69" si="2">N6*I6/1000</f>
        <v>6040.3611000000001</v>
      </c>
    </row>
    <row r="7" spans="1:19" ht="13.8">
      <c r="A7" s="722" t="s">
        <v>1800</v>
      </c>
      <c r="B7" s="723">
        <v>44932</v>
      </c>
      <c r="C7" s="724" t="s">
        <v>1597</v>
      </c>
      <c r="D7" s="724" t="s">
        <v>1598</v>
      </c>
      <c r="E7" s="725">
        <v>6.5</v>
      </c>
      <c r="F7" s="722" t="s">
        <v>1599</v>
      </c>
      <c r="G7" s="726" t="s">
        <v>1600</v>
      </c>
      <c r="H7" s="722" t="s">
        <v>1801</v>
      </c>
      <c r="I7" s="727">
        <v>9292</v>
      </c>
      <c r="J7" s="726" t="s">
        <v>1599</v>
      </c>
      <c r="K7" s="728">
        <v>2100</v>
      </c>
      <c r="L7" s="729">
        <f t="shared" ref="L7:L79" si="3">M7-K7</f>
        <v>14805</v>
      </c>
      <c r="M7" s="730">
        <v>16905</v>
      </c>
      <c r="N7" s="844">
        <v>14226.6</v>
      </c>
      <c r="O7" s="710">
        <f t="shared" si="0"/>
        <v>92.47290000000001</v>
      </c>
      <c r="P7" s="711">
        <f t="shared" si="1"/>
        <v>2.8897781250000003</v>
      </c>
      <c r="Q7" s="712">
        <f t="shared" si="2"/>
        <v>132193.56719999999</v>
      </c>
    </row>
    <row r="8" spans="1:19" ht="13.8">
      <c r="A8" s="731" t="s">
        <v>1802</v>
      </c>
      <c r="B8" s="732">
        <v>44932</v>
      </c>
      <c r="C8" s="733" t="s">
        <v>1597</v>
      </c>
      <c r="D8" s="733" t="s">
        <v>1598</v>
      </c>
      <c r="E8" s="734">
        <v>6.5</v>
      </c>
      <c r="F8" s="731" t="s">
        <v>1599</v>
      </c>
      <c r="G8" s="735" t="s">
        <v>1600</v>
      </c>
      <c r="H8" s="731" t="s">
        <v>1803</v>
      </c>
      <c r="I8" s="736">
        <v>8839</v>
      </c>
      <c r="J8" s="735" t="s">
        <v>1599</v>
      </c>
      <c r="K8" s="737">
        <v>3700</v>
      </c>
      <c r="L8" s="738">
        <f t="shared" si="3"/>
        <v>13594</v>
      </c>
      <c r="M8" s="739">
        <v>17294</v>
      </c>
      <c r="N8" s="843">
        <v>10091</v>
      </c>
      <c r="O8" s="710">
        <f t="shared" si="0"/>
        <v>65.591499999999996</v>
      </c>
      <c r="P8" s="711">
        <f t="shared" si="1"/>
        <v>2.0497343749999999</v>
      </c>
      <c r="Q8" s="712">
        <f t="shared" si="2"/>
        <v>89194.349000000002</v>
      </c>
    </row>
    <row r="9" spans="1:19" ht="13.8">
      <c r="A9" s="722" t="s">
        <v>1804</v>
      </c>
      <c r="B9" s="723">
        <v>44933</v>
      </c>
      <c r="C9" s="724" t="s">
        <v>1597</v>
      </c>
      <c r="D9" s="724" t="s">
        <v>1598</v>
      </c>
      <c r="E9" s="725">
        <v>6.5</v>
      </c>
      <c r="F9" s="722" t="s">
        <v>1599</v>
      </c>
      <c r="G9" s="726" t="s">
        <v>1600</v>
      </c>
      <c r="H9" s="722" t="s">
        <v>1805</v>
      </c>
      <c r="I9" s="727">
        <v>8894</v>
      </c>
      <c r="J9" s="726" t="s">
        <v>1599</v>
      </c>
      <c r="K9" s="728">
        <v>2100</v>
      </c>
      <c r="L9" s="729">
        <f t="shared" si="3"/>
        <v>14536.3</v>
      </c>
      <c r="M9" s="730">
        <v>16636.3</v>
      </c>
      <c r="N9" s="842">
        <v>13727</v>
      </c>
      <c r="O9" s="710">
        <f t="shared" si="0"/>
        <v>89.225499999999997</v>
      </c>
      <c r="P9" s="711">
        <f t="shared" si="1"/>
        <v>2.7882968749999999</v>
      </c>
      <c r="Q9" s="712">
        <f t="shared" si="2"/>
        <v>122087.93799999999</v>
      </c>
    </row>
    <row r="10" spans="1:19" ht="13.8">
      <c r="A10" s="731" t="s">
        <v>1806</v>
      </c>
      <c r="B10" s="732">
        <v>44931</v>
      </c>
      <c r="C10" s="733" t="s">
        <v>1597</v>
      </c>
      <c r="D10" s="733" t="s">
        <v>1598</v>
      </c>
      <c r="E10" s="734">
        <v>11.9</v>
      </c>
      <c r="F10" s="731" t="s">
        <v>1599</v>
      </c>
      <c r="G10" s="735" t="s">
        <v>1600</v>
      </c>
      <c r="H10" s="731" t="s">
        <v>1807</v>
      </c>
      <c r="I10" s="736">
        <v>1734</v>
      </c>
      <c r="J10" s="735" t="s">
        <v>1599</v>
      </c>
      <c r="K10" s="737">
        <v>3600</v>
      </c>
      <c r="L10" s="738">
        <f t="shared" si="3"/>
        <v>11341.5</v>
      </c>
      <c r="M10" s="739">
        <v>14941.5</v>
      </c>
      <c r="N10" s="843">
        <v>8580.5</v>
      </c>
      <c r="O10" s="710">
        <f t="shared" si="0"/>
        <v>102.10795</v>
      </c>
      <c r="P10" s="711">
        <f t="shared" si="1"/>
        <v>3.1908734375000001</v>
      </c>
      <c r="Q10" s="712">
        <f t="shared" si="2"/>
        <v>14878.587</v>
      </c>
    </row>
    <row r="11" spans="1:19" ht="13.8">
      <c r="A11" s="722" t="s">
        <v>1808</v>
      </c>
      <c r="B11" s="723">
        <v>44932</v>
      </c>
      <c r="C11" s="724" t="s">
        <v>1597</v>
      </c>
      <c r="D11" s="724" t="s">
        <v>1598</v>
      </c>
      <c r="E11" s="725">
        <v>6.2</v>
      </c>
      <c r="F11" s="722" t="s">
        <v>1599</v>
      </c>
      <c r="G11" s="726" t="s">
        <v>1600</v>
      </c>
      <c r="H11" s="722" t="s">
        <v>1809</v>
      </c>
      <c r="I11" s="727">
        <v>15168</v>
      </c>
      <c r="J11" s="726" t="s">
        <v>1599</v>
      </c>
      <c r="K11" s="728">
        <v>3700</v>
      </c>
      <c r="L11" s="729">
        <f t="shared" si="3"/>
        <v>18640.599999999999</v>
      </c>
      <c r="M11" s="730">
        <v>22340.6</v>
      </c>
      <c r="N11" s="842">
        <v>15321.6</v>
      </c>
      <c r="O11" s="710">
        <f t="shared" si="0"/>
        <v>94.993920000000003</v>
      </c>
      <c r="P11" s="711">
        <f t="shared" si="1"/>
        <v>2.9685600000000001</v>
      </c>
      <c r="Q11" s="712">
        <f t="shared" si="2"/>
        <v>232398.0288</v>
      </c>
    </row>
    <row r="12" spans="1:19" ht="13.8">
      <c r="A12" s="731" t="s">
        <v>1810</v>
      </c>
      <c r="B12" s="732">
        <v>44932</v>
      </c>
      <c r="C12" s="733" t="s">
        <v>1597</v>
      </c>
      <c r="D12" s="733" t="s">
        <v>1598</v>
      </c>
      <c r="E12" s="734">
        <v>11.9</v>
      </c>
      <c r="F12" s="731" t="s">
        <v>1599</v>
      </c>
      <c r="G12" s="735" t="s">
        <v>1600</v>
      </c>
      <c r="H12" s="731" t="s">
        <v>1809</v>
      </c>
      <c r="I12" s="736">
        <v>15168</v>
      </c>
      <c r="J12" s="735" t="s">
        <v>1599</v>
      </c>
      <c r="K12" s="737">
        <v>3800</v>
      </c>
      <c r="L12" s="738">
        <f t="shared" si="3"/>
        <v>19997.28</v>
      </c>
      <c r="M12" s="739">
        <v>23797.279999999999</v>
      </c>
      <c r="N12" s="843">
        <v>16872</v>
      </c>
      <c r="O12" s="710">
        <f t="shared" si="0"/>
        <v>200.77680000000001</v>
      </c>
      <c r="P12" s="711">
        <f t="shared" si="1"/>
        <v>6.2742750000000003</v>
      </c>
      <c r="Q12" s="712">
        <f t="shared" si="2"/>
        <v>255914.49600000001</v>
      </c>
    </row>
    <row r="13" spans="1:19" ht="13.8">
      <c r="A13" s="722" t="s">
        <v>1811</v>
      </c>
      <c r="B13" s="723">
        <v>44932</v>
      </c>
      <c r="C13" s="724" t="s">
        <v>1597</v>
      </c>
      <c r="D13" s="724" t="s">
        <v>1598</v>
      </c>
      <c r="E13" s="725">
        <v>11.9</v>
      </c>
      <c r="F13" s="722" t="s">
        <v>1599</v>
      </c>
      <c r="G13" s="726" t="s">
        <v>1600</v>
      </c>
      <c r="H13" s="722" t="s">
        <v>1809</v>
      </c>
      <c r="I13" s="727">
        <v>15168</v>
      </c>
      <c r="J13" s="726" t="s">
        <v>1599</v>
      </c>
      <c r="K13" s="728">
        <v>3570</v>
      </c>
      <c r="L13" s="729">
        <f t="shared" si="3"/>
        <v>18727</v>
      </c>
      <c r="M13" s="730">
        <v>22297</v>
      </c>
      <c r="N13" s="842">
        <v>14962.5</v>
      </c>
      <c r="O13" s="710">
        <f t="shared" si="0"/>
        <v>178.05375000000001</v>
      </c>
      <c r="P13" s="711">
        <f t="shared" si="1"/>
        <v>5.5641796875000002</v>
      </c>
      <c r="Q13" s="712">
        <f t="shared" si="2"/>
        <v>226951.2</v>
      </c>
    </row>
    <row r="14" spans="1:19" ht="13.8">
      <c r="A14" s="731" t="s">
        <v>1812</v>
      </c>
      <c r="B14" s="732">
        <v>44936</v>
      </c>
      <c r="C14" s="733" t="s">
        <v>1597</v>
      </c>
      <c r="D14" s="733" t="s">
        <v>1598</v>
      </c>
      <c r="E14" s="734">
        <v>6.2</v>
      </c>
      <c r="F14" s="731" t="s">
        <v>1599</v>
      </c>
      <c r="G14" s="735" t="s">
        <v>1600</v>
      </c>
      <c r="H14" s="731" t="s">
        <v>1809</v>
      </c>
      <c r="I14" s="736">
        <v>15168</v>
      </c>
      <c r="J14" s="735" t="s">
        <v>1599</v>
      </c>
      <c r="K14" s="737">
        <v>3830</v>
      </c>
      <c r="L14" s="738">
        <f t="shared" si="3"/>
        <v>17077</v>
      </c>
      <c r="M14" s="739">
        <v>20907</v>
      </c>
      <c r="N14" s="843">
        <v>15333.35</v>
      </c>
      <c r="O14" s="710">
        <f t="shared" si="0"/>
        <v>95.066770000000005</v>
      </c>
      <c r="P14" s="711">
        <f t="shared" si="1"/>
        <v>2.9708365625000002</v>
      </c>
      <c r="Q14" s="712">
        <f t="shared" si="2"/>
        <v>232576.25280000002</v>
      </c>
    </row>
    <row r="15" spans="1:19" ht="13.8">
      <c r="A15" s="722" t="s">
        <v>1813</v>
      </c>
      <c r="B15" s="723">
        <v>44936</v>
      </c>
      <c r="C15" s="724" t="s">
        <v>1597</v>
      </c>
      <c r="D15" s="724" t="s">
        <v>1598</v>
      </c>
      <c r="E15" s="725">
        <v>5.3</v>
      </c>
      <c r="F15" s="722" t="s">
        <v>1599</v>
      </c>
      <c r="G15" s="726" t="s">
        <v>1600</v>
      </c>
      <c r="H15" s="722" t="s">
        <v>1807</v>
      </c>
      <c r="I15" s="727">
        <v>1734</v>
      </c>
      <c r="J15" s="726" t="s">
        <v>1599</v>
      </c>
      <c r="K15" s="728">
        <v>3820</v>
      </c>
      <c r="L15" s="729">
        <f t="shared" si="3"/>
        <v>12112.1</v>
      </c>
      <c r="M15" s="730">
        <v>15932.1</v>
      </c>
      <c r="N15" s="842">
        <v>9365.7999999999993</v>
      </c>
      <c r="O15" s="710">
        <f t="shared" si="0"/>
        <v>49.638739999999999</v>
      </c>
      <c r="P15" s="711">
        <f t="shared" si="1"/>
        <v>1.551210625</v>
      </c>
      <c r="Q15" s="712">
        <f t="shared" si="2"/>
        <v>16240.297199999999</v>
      </c>
    </row>
    <row r="16" spans="1:19" ht="13.8">
      <c r="A16" s="731" t="s">
        <v>1814</v>
      </c>
      <c r="B16" s="732">
        <v>44930</v>
      </c>
      <c r="C16" s="733" t="s">
        <v>1597</v>
      </c>
      <c r="D16" s="733" t="s">
        <v>1598</v>
      </c>
      <c r="E16" s="734">
        <v>6.2</v>
      </c>
      <c r="F16" s="731" t="s">
        <v>1599</v>
      </c>
      <c r="G16" s="735" t="s">
        <v>1600</v>
      </c>
      <c r="H16" s="731" t="s">
        <v>1815</v>
      </c>
      <c r="I16" s="736">
        <v>17387</v>
      </c>
      <c r="J16" s="735" t="s">
        <v>1599</v>
      </c>
      <c r="K16" s="737">
        <v>3800</v>
      </c>
      <c r="L16" s="738">
        <f t="shared" si="3"/>
        <v>17973.48</v>
      </c>
      <c r="M16" s="739">
        <v>21773.48</v>
      </c>
      <c r="N16" s="843">
        <v>15759</v>
      </c>
      <c r="O16" s="710">
        <f t="shared" si="0"/>
        <v>97.705799999999996</v>
      </c>
      <c r="P16" s="711">
        <f t="shared" si="1"/>
        <v>3.0533062499999999</v>
      </c>
      <c r="Q16" s="712">
        <f t="shared" si="2"/>
        <v>274001.73300000001</v>
      </c>
    </row>
    <row r="17" spans="1:17" ht="13.8">
      <c r="A17" s="722" t="s">
        <v>1816</v>
      </c>
      <c r="B17" s="723">
        <v>44930</v>
      </c>
      <c r="C17" s="724" t="s">
        <v>1597</v>
      </c>
      <c r="D17" s="724" t="s">
        <v>1598</v>
      </c>
      <c r="E17" s="725">
        <v>6.2</v>
      </c>
      <c r="F17" s="722" t="s">
        <v>1599</v>
      </c>
      <c r="G17" s="726" t="s">
        <v>1600</v>
      </c>
      <c r="H17" s="722" t="s">
        <v>1815</v>
      </c>
      <c r="I17" s="727">
        <v>17387</v>
      </c>
      <c r="J17" s="726" t="s">
        <v>1599</v>
      </c>
      <c r="K17" s="728">
        <v>3700</v>
      </c>
      <c r="L17" s="729">
        <f t="shared" si="3"/>
        <v>17299.64</v>
      </c>
      <c r="M17" s="730">
        <v>20999.64</v>
      </c>
      <c r="N17" s="842">
        <v>15188.82</v>
      </c>
      <c r="O17" s="710">
        <f t="shared" si="0"/>
        <v>94.170683999999994</v>
      </c>
      <c r="P17" s="711">
        <f t="shared" si="1"/>
        <v>2.9428338749999998</v>
      </c>
      <c r="Q17" s="712">
        <f t="shared" si="2"/>
        <v>264088.01334</v>
      </c>
    </row>
    <row r="18" spans="1:17" ht="13.8">
      <c r="A18" s="731" t="s">
        <v>1817</v>
      </c>
      <c r="B18" s="732">
        <v>44930</v>
      </c>
      <c r="C18" s="733" t="s">
        <v>1597</v>
      </c>
      <c r="D18" s="733" t="s">
        <v>1598</v>
      </c>
      <c r="E18" s="734">
        <v>6.2</v>
      </c>
      <c r="F18" s="733" t="s">
        <v>1599</v>
      </c>
      <c r="G18" s="735" t="s">
        <v>1600</v>
      </c>
      <c r="H18" s="731" t="s">
        <v>1818</v>
      </c>
      <c r="I18" s="736">
        <v>14000</v>
      </c>
      <c r="J18" s="740" t="s">
        <v>1599</v>
      </c>
      <c r="K18" s="737">
        <v>3700</v>
      </c>
      <c r="L18" s="738">
        <f t="shared" si="3"/>
        <v>18302.63</v>
      </c>
      <c r="M18" s="739">
        <v>22002.63</v>
      </c>
      <c r="N18" s="843">
        <v>15983.79</v>
      </c>
      <c r="O18" s="710">
        <f t="shared" si="0"/>
        <v>99.099498000000011</v>
      </c>
      <c r="P18" s="711">
        <f t="shared" si="1"/>
        <v>3.0968593125000003</v>
      </c>
      <c r="Q18" s="712">
        <f t="shared" si="2"/>
        <v>223773.06</v>
      </c>
    </row>
    <row r="19" spans="1:17" ht="13.8">
      <c r="A19" s="722" t="s">
        <v>1819</v>
      </c>
      <c r="B19" s="723">
        <v>44936</v>
      </c>
      <c r="C19" s="724" t="s">
        <v>1597</v>
      </c>
      <c r="D19" s="724" t="s">
        <v>1598</v>
      </c>
      <c r="E19" s="725">
        <v>6.2</v>
      </c>
      <c r="F19" s="722" t="s">
        <v>1599</v>
      </c>
      <c r="G19" s="726" t="s">
        <v>1600</v>
      </c>
      <c r="H19" s="722" t="s">
        <v>1809</v>
      </c>
      <c r="I19" s="727">
        <v>15168</v>
      </c>
      <c r="J19" s="726" t="s">
        <v>1599</v>
      </c>
      <c r="K19" s="728">
        <v>3800</v>
      </c>
      <c r="L19" s="729">
        <f t="shared" si="3"/>
        <v>19997.28</v>
      </c>
      <c r="M19" s="730">
        <v>23797.279999999999</v>
      </c>
      <c r="N19" s="842">
        <v>16872</v>
      </c>
      <c r="O19" s="710">
        <f t="shared" si="0"/>
        <v>104.60640000000001</v>
      </c>
      <c r="P19" s="711">
        <f t="shared" si="1"/>
        <v>3.2689500000000002</v>
      </c>
      <c r="Q19" s="712">
        <f t="shared" si="2"/>
        <v>255914.49600000001</v>
      </c>
    </row>
    <row r="20" spans="1:17" ht="13.8">
      <c r="A20" s="731" t="s">
        <v>1820</v>
      </c>
      <c r="B20" s="732">
        <v>44939</v>
      </c>
      <c r="C20" s="733" t="s">
        <v>1597</v>
      </c>
      <c r="D20" s="733" t="s">
        <v>1598</v>
      </c>
      <c r="E20" s="734">
        <v>7.1</v>
      </c>
      <c r="F20" s="731" t="s">
        <v>1599</v>
      </c>
      <c r="G20" s="735" t="s">
        <v>1600</v>
      </c>
      <c r="H20" s="731" t="s">
        <v>1809</v>
      </c>
      <c r="I20" s="736">
        <v>15168</v>
      </c>
      <c r="J20" s="735" t="s">
        <v>1599</v>
      </c>
      <c r="K20" s="737">
        <v>3760</v>
      </c>
      <c r="L20" s="738">
        <f t="shared" si="3"/>
        <v>17137</v>
      </c>
      <c r="M20" s="739">
        <v>20897</v>
      </c>
      <c r="N20" s="843">
        <v>13759.2</v>
      </c>
      <c r="O20" s="710">
        <f t="shared" si="0"/>
        <v>97.690320000000014</v>
      </c>
      <c r="P20" s="711">
        <f t="shared" si="1"/>
        <v>3.0528225000000004</v>
      </c>
      <c r="Q20" s="712">
        <f t="shared" si="2"/>
        <v>208699.54560000001</v>
      </c>
    </row>
    <row r="21" spans="1:17" ht="13.8">
      <c r="A21" s="722" t="s">
        <v>1821</v>
      </c>
      <c r="B21" s="723">
        <v>44936</v>
      </c>
      <c r="C21" s="724" t="s">
        <v>1597</v>
      </c>
      <c r="D21" s="724" t="s">
        <v>1598</v>
      </c>
      <c r="E21" s="725">
        <v>6.2</v>
      </c>
      <c r="F21" s="722" t="s">
        <v>1599</v>
      </c>
      <c r="G21" s="726" t="s">
        <v>1600</v>
      </c>
      <c r="H21" s="722" t="s">
        <v>1822</v>
      </c>
      <c r="I21" s="727">
        <v>13787</v>
      </c>
      <c r="J21" s="726" t="s">
        <v>1599</v>
      </c>
      <c r="K21" s="728">
        <v>3300</v>
      </c>
      <c r="L21" s="729">
        <f t="shared" si="3"/>
        <v>14839</v>
      </c>
      <c r="M21" s="730">
        <v>18139</v>
      </c>
      <c r="N21" s="842">
        <v>12511.2</v>
      </c>
      <c r="O21" s="710">
        <f t="shared" si="0"/>
        <v>77.56944</v>
      </c>
      <c r="P21" s="711">
        <f t="shared" si="1"/>
        <v>2.424045</v>
      </c>
      <c r="Q21" s="712">
        <f t="shared" si="2"/>
        <v>172491.91440000001</v>
      </c>
    </row>
    <row r="22" spans="1:17" ht="13.8">
      <c r="A22" s="731" t="s">
        <v>1823</v>
      </c>
      <c r="B22" s="732">
        <v>44931</v>
      </c>
      <c r="C22" s="733" t="s">
        <v>1597</v>
      </c>
      <c r="D22" s="733" t="s">
        <v>1598</v>
      </c>
      <c r="E22" s="734">
        <v>11.9</v>
      </c>
      <c r="F22" s="731" t="s">
        <v>1599</v>
      </c>
      <c r="G22" s="735" t="s">
        <v>1600</v>
      </c>
      <c r="H22" s="731" t="s">
        <v>1798</v>
      </c>
      <c r="I22" s="736">
        <v>1931</v>
      </c>
      <c r="J22" s="735" t="s">
        <v>1599</v>
      </c>
      <c r="K22" s="737">
        <v>4814</v>
      </c>
      <c r="L22" s="738">
        <f t="shared" si="3"/>
        <v>849</v>
      </c>
      <c r="M22" s="739">
        <v>5663</v>
      </c>
      <c r="N22" s="843">
        <v>4814</v>
      </c>
      <c r="O22" s="710">
        <f t="shared" si="0"/>
        <v>57.2866</v>
      </c>
      <c r="P22" s="711">
        <f t="shared" si="1"/>
        <v>1.79020625</v>
      </c>
      <c r="Q22" s="712">
        <f t="shared" si="2"/>
        <v>9295.8340000000007</v>
      </c>
    </row>
    <row r="23" spans="1:17" ht="15.75" customHeight="1">
      <c r="A23" s="722" t="s">
        <v>1824</v>
      </c>
      <c r="B23" s="723">
        <v>44935</v>
      </c>
      <c r="C23" s="724" t="s">
        <v>1597</v>
      </c>
      <c r="D23" s="724" t="s">
        <v>1598</v>
      </c>
      <c r="E23" s="725">
        <v>5.2</v>
      </c>
      <c r="F23" s="722" t="s">
        <v>1599</v>
      </c>
      <c r="G23" s="726" t="s">
        <v>1600</v>
      </c>
      <c r="H23" s="722" t="s">
        <v>1825</v>
      </c>
      <c r="I23" s="727">
        <v>15486</v>
      </c>
      <c r="J23" s="726" t="s">
        <v>1599</v>
      </c>
      <c r="K23" s="728">
        <v>3800</v>
      </c>
      <c r="L23" s="729">
        <f t="shared" si="3"/>
        <v>8457.57</v>
      </c>
      <c r="M23" s="730">
        <v>12257.57</v>
      </c>
      <c r="N23" s="842">
        <v>6241.88</v>
      </c>
      <c r="O23" s="710">
        <f t="shared" si="0"/>
        <v>32.457776000000003</v>
      </c>
      <c r="P23" s="711">
        <f t="shared" si="1"/>
        <v>1.0143055000000001</v>
      </c>
      <c r="Q23" s="712">
        <f t="shared" si="2"/>
        <v>96661.753680000009</v>
      </c>
    </row>
    <row r="24" spans="1:17" ht="15.75" customHeight="1">
      <c r="A24" s="731" t="s">
        <v>1826</v>
      </c>
      <c r="B24" s="732">
        <v>44935</v>
      </c>
      <c r="C24" s="733" t="s">
        <v>1597</v>
      </c>
      <c r="D24" s="733" t="s">
        <v>1598</v>
      </c>
      <c r="E24" s="734">
        <v>5.2</v>
      </c>
      <c r="F24" s="731" t="s">
        <v>1599</v>
      </c>
      <c r="G24" s="735" t="s">
        <v>1600</v>
      </c>
      <c r="H24" s="731" t="s">
        <v>1825</v>
      </c>
      <c r="I24" s="736">
        <v>15486</v>
      </c>
      <c r="J24" s="735" t="s">
        <v>1599</v>
      </c>
      <c r="K24" s="737">
        <v>3800</v>
      </c>
      <c r="L24" s="738">
        <f t="shared" si="3"/>
        <v>10970.57</v>
      </c>
      <c r="M24" s="739">
        <v>14770.57</v>
      </c>
      <c r="N24" s="843">
        <v>8567.19</v>
      </c>
      <c r="O24" s="710">
        <f t="shared" si="0"/>
        <v>44.549388000000008</v>
      </c>
      <c r="P24" s="711">
        <f t="shared" si="1"/>
        <v>1.3921683750000002</v>
      </c>
      <c r="Q24" s="712">
        <f t="shared" si="2"/>
        <v>132671.50434000001</v>
      </c>
    </row>
    <row r="25" spans="1:17" ht="15.75" customHeight="1">
      <c r="A25" s="722" t="s">
        <v>1827</v>
      </c>
      <c r="B25" s="723">
        <v>44935</v>
      </c>
      <c r="C25" s="724" t="s">
        <v>1597</v>
      </c>
      <c r="D25" s="724" t="s">
        <v>1598</v>
      </c>
      <c r="E25" s="725">
        <v>6.2</v>
      </c>
      <c r="F25" s="722" t="s">
        <v>1599</v>
      </c>
      <c r="G25" s="726" t="s">
        <v>1600</v>
      </c>
      <c r="H25" s="722" t="s">
        <v>1828</v>
      </c>
      <c r="I25" s="727">
        <v>7448</v>
      </c>
      <c r="J25" s="726" t="s">
        <v>1599</v>
      </c>
      <c r="K25" s="728">
        <v>3870</v>
      </c>
      <c r="L25" s="729">
        <f t="shared" si="3"/>
        <v>25770</v>
      </c>
      <c r="M25" s="730">
        <v>29640</v>
      </c>
      <c r="N25" s="842">
        <v>23189.4</v>
      </c>
      <c r="O25" s="710">
        <f t="shared" si="0"/>
        <v>143.77428</v>
      </c>
      <c r="P25" s="711">
        <f t="shared" si="1"/>
        <v>4.4929462500000001</v>
      </c>
      <c r="Q25" s="712">
        <f t="shared" si="2"/>
        <v>172714.65120000002</v>
      </c>
    </row>
    <row r="26" spans="1:17" ht="15.75" customHeight="1">
      <c r="A26" s="731" t="s">
        <v>1829</v>
      </c>
      <c r="B26" s="732">
        <v>44935</v>
      </c>
      <c r="C26" s="733" t="s">
        <v>1597</v>
      </c>
      <c r="D26" s="733" t="s">
        <v>1598</v>
      </c>
      <c r="E26" s="734">
        <v>6.2</v>
      </c>
      <c r="F26" s="731" t="s">
        <v>1599</v>
      </c>
      <c r="G26" s="735" t="s">
        <v>1600</v>
      </c>
      <c r="H26" s="731" t="s">
        <v>1828</v>
      </c>
      <c r="I26" s="736">
        <v>7448</v>
      </c>
      <c r="J26" s="735" t="s">
        <v>1599</v>
      </c>
      <c r="K26" s="737">
        <v>3840</v>
      </c>
      <c r="L26" s="738">
        <f t="shared" si="3"/>
        <v>17352</v>
      </c>
      <c r="M26" s="739">
        <v>21192</v>
      </c>
      <c r="N26" s="843">
        <v>10713.2</v>
      </c>
      <c r="O26" s="710">
        <f t="shared" si="0"/>
        <v>66.421840000000017</v>
      </c>
      <c r="P26" s="711">
        <f t="shared" si="1"/>
        <v>2.0756825000000005</v>
      </c>
      <c r="Q26" s="712">
        <f t="shared" si="2"/>
        <v>79791.913600000014</v>
      </c>
    </row>
    <row r="27" spans="1:17" ht="15.75" customHeight="1">
      <c r="A27" s="722" t="s">
        <v>1830</v>
      </c>
      <c r="B27" s="723">
        <v>44935</v>
      </c>
      <c r="C27" s="724" t="s">
        <v>1597</v>
      </c>
      <c r="D27" s="724" t="s">
        <v>1598</v>
      </c>
      <c r="E27" s="725">
        <v>6.2</v>
      </c>
      <c r="F27" s="722" t="s">
        <v>1599</v>
      </c>
      <c r="G27" s="726" t="s">
        <v>1600</v>
      </c>
      <c r="H27" s="722" t="s">
        <v>1831</v>
      </c>
      <c r="I27" s="727">
        <v>7283</v>
      </c>
      <c r="J27" s="726" t="s">
        <v>1599</v>
      </c>
      <c r="K27" s="728">
        <v>2190</v>
      </c>
      <c r="L27" s="729">
        <f t="shared" si="3"/>
        <v>11292</v>
      </c>
      <c r="M27" s="730">
        <v>13482</v>
      </c>
      <c r="N27" s="842">
        <v>9411</v>
      </c>
      <c r="O27" s="710">
        <f t="shared" si="0"/>
        <v>58.348200000000006</v>
      </c>
      <c r="P27" s="711">
        <f t="shared" si="1"/>
        <v>1.8233812500000002</v>
      </c>
      <c r="Q27" s="712">
        <f t="shared" si="2"/>
        <v>68540.312999999995</v>
      </c>
    </row>
    <row r="28" spans="1:17" ht="15.75" customHeight="1">
      <c r="A28" s="731" t="s">
        <v>1832</v>
      </c>
      <c r="B28" s="732">
        <v>44935</v>
      </c>
      <c r="C28" s="733" t="s">
        <v>1597</v>
      </c>
      <c r="D28" s="733" t="s">
        <v>1598</v>
      </c>
      <c r="E28" s="734">
        <v>6</v>
      </c>
      <c r="F28" s="731" t="s">
        <v>1599</v>
      </c>
      <c r="G28" s="735" t="s">
        <v>1600</v>
      </c>
      <c r="H28" s="731" t="s">
        <v>1833</v>
      </c>
      <c r="I28" s="736">
        <v>4795</v>
      </c>
      <c r="J28" s="735" t="s">
        <v>1599</v>
      </c>
      <c r="K28" s="737">
        <v>2130</v>
      </c>
      <c r="L28" s="738">
        <f t="shared" si="3"/>
        <v>6594.27</v>
      </c>
      <c r="M28" s="739">
        <v>8724.27</v>
      </c>
      <c r="N28" s="843">
        <v>5401.23</v>
      </c>
      <c r="O28" s="710">
        <f t="shared" si="0"/>
        <v>32.407379999999996</v>
      </c>
      <c r="P28" s="711">
        <f t="shared" si="1"/>
        <v>1.0127306249999999</v>
      </c>
      <c r="Q28" s="712">
        <f t="shared" si="2"/>
        <v>25898.897849999998</v>
      </c>
    </row>
    <row r="29" spans="1:17" ht="15.75" customHeight="1">
      <c r="A29" s="722" t="s">
        <v>1834</v>
      </c>
      <c r="B29" s="723">
        <v>44932</v>
      </c>
      <c r="C29" s="724" t="s">
        <v>1597</v>
      </c>
      <c r="D29" s="724" t="s">
        <v>1598</v>
      </c>
      <c r="E29" s="725">
        <v>5.3</v>
      </c>
      <c r="F29" s="722" t="s">
        <v>1599</v>
      </c>
      <c r="G29" s="726" t="s">
        <v>1600</v>
      </c>
      <c r="H29" s="722" t="s">
        <v>1825</v>
      </c>
      <c r="I29" s="727">
        <v>15486</v>
      </c>
      <c r="J29" s="726" t="s">
        <v>1599</v>
      </c>
      <c r="K29" s="728">
        <v>3800</v>
      </c>
      <c r="L29" s="729">
        <f t="shared" si="3"/>
        <v>9796.56</v>
      </c>
      <c r="M29" s="730">
        <v>13596.56</v>
      </c>
      <c r="N29" s="842">
        <v>7147.44</v>
      </c>
      <c r="O29" s="710">
        <f t="shared" si="0"/>
        <v>37.881431999999997</v>
      </c>
      <c r="P29" s="711">
        <f t="shared" si="1"/>
        <v>1.1837947499999999</v>
      </c>
      <c r="Q29" s="712">
        <f t="shared" si="2"/>
        <v>110685.25583999998</v>
      </c>
    </row>
    <row r="30" spans="1:17" ht="15.75" customHeight="1">
      <c r="A30" s="731" t="s">
        <v>1835</v>
      </c>
      <c r="B30" s="732">
        <v>44936</v>
      </c>
      <c r="C30" s="733" t="s">
        <v>1597</v>
      </c>
      <c r="D30" s="733" t="s">
        <v>1598</v>
      </c>
      <c r="E30" s="734">
        <v>6.2</v>
      </c>
      <c r="F30" s="731" t="s">
        <v>1599</v>
      </c>
      <c r="G30" s="735" t="s">
        <v>1600</v>
      </c>
      <c r="H30" s="731" t="s">
        <v>1836</v>
      </c>
      <c r="I30" s="736">
        <v>14544</v>
      </c>
      <c r="J30" s="735" t="s">
        <v>1599</v>
      </c>
      <c r="K30" s="737">
        <v>3780</v>
      </c>
      <c r="L30" s="738">
        <f t="shared" si="3"/>
        <v>14839</v>
      </c>
      <c r="M30" s="739">
        <v>18619</v>
      </c>
      <c r="N30" s="843">
        <v>12511.2</v>
      </c>
      <c r="O30" s="710">
        <f t="shared" si="0"/>
        <v>77.56944</v>
      </c>
      <c r="P30" s="711">
        <f t="shared" si="1"/>
        <v>2.424045</v>
      </c>
      <c r="Q30" s="712">
        <f t="shared" si="2"/>
        <v>181962.8928</v>
      </c>
    </row>
    <row r="31" spans="1:17" ht="15.75" customHeight="1">
      <c r="A31" s="722" t="s">
        <v>1837</v>
      </c>
      <c r="B31" s="723">
        <v>44935</v>
      </c>
      <c r="C31" s="724" t="s">
        <v>1597</v>
      </c>
      <c r="D31" s="724" t="s">
        <v>1598</v>
      </c>
      <c r="E31" s="725">
        <v>11.7</v>
      </c>
      <c r="F31" s="722" t="s">
        <v>1599</v>
      </c>
      <c r="G31" s="726" t="s">
        <v>1600</v>
      </c>
      <c r="H31" s="722" t="s">
        <v>1838</v>
      </c>
      <c r="I31" s="727">
        <v>4972</v>
      </c>
      <c r="J31" s="726" t="s">
        <v>1599</v>
      </c>
      <c r="K31" s="728">
        <v>3800</v>
      </c>
      <c r="L31" s="729">
        <f t="shared" si="3"/>
        <v>16723.689999999999</v>
      </c>
      <c r="M31" s="730">
        <v>20523.689999999999</v>
      </c>
      <c r="N31" s="842">
        <v>14665.8</v>
      </c>
      <c r="O31" s="710">
        <f t="shared" si="0"/>
        <v>171.58985999999999</v>
      </c>
      <c r="P31" s="711">
        <f t="shared" si="1"/>
        <v>5.3621831249999996</v>
      </c>
      <c r="Q31" s="712">
        <f t="shared" si="2"/>
        <v>72918.357599999988</v>
      </c>
    </row>
    <row r="32" spans="1:17" ht="15.75" customHeight="1">
      <c r="A32" s="731" t="s">
        <v>1839</v>
      </c>
      <c r="B32" s="732">
        <v>44935</v>
      </c>
      <c r="C32" s="733" t="s">
        <v>1597</v>
      </c>
      <c r="D32" s="733" t="s">
        <v>1598</v>
      </c>
      <c r="E32" s="734">
        <v>6.5</v>
      </c>
      <c r="F32" s="731" t="s">
        <v>1599</v>
      </c>
      <c r="G32" s="735" t="s">
        <v>1600</v>
      </c>
      <c r="H32" s="731" t="s">
        <v>1838</v>
      </c>
      <c r="I32" s="736">
        <v>4972</v>
      </c>
      <c r="J32" s="735" t="s">
        <v>1599</v>
      </c>
      <c r="K32" s="737">
        <v>3800</v>
      </c>
      <c r="L32" s="738">
        <f t="shared" si="3"/>
        <v>12792.77</v>
      </c>
      <c r="M32" s="739">
        <v>16592.77</v>
      </c>
      <c r="N32" s="843">
        <v>10413.450000000001</v>
      </c>
      <c r="O32" s="710">
        <f t="shared" si="0"/>
        <v>67.687425000000005</v>
      </c>
      <c r="P32" s="711">
        <f t="shared" si="1"/>
        <v>2.1152320312500001</v>
      </c>
      <c r="Q32" s="712">
        <f t="shared" si="2"/>
        <v>51775.673400000007</v>
      </c>
    </row>
    <row r="33" spans="1:17" ht="15.75" customHeight="1">
      <c r="A33" s="722" t="s">
        <v>1840</v>
      </c>
      <c r="B33" s="723">
        <v>44952</v>
      </c>
      <c r="C33" s="724" t="s">
        <v>1597</v>
      </c>
      <c r="D33" s="724" t="s">
        <v>1598</v>
      </c>
      <c r="E33" s="725">
        <v>11.9</v>
      </c>
      <c r="F33" s="722" t="s">
        <v>1599</v>
      </c>
      <c r="G33" s="726" t="s">
        <v>1600</v>
      </c>
      <c r="H33" s="722" t="s">
        <v>1841</v>
      </c>
      <c r="I33" s="727">
        <v>9486</v>
      </c>
      <c r="J33" s="726" t="s">
        <v>1599</v>
      </c>
      <c r="K33" s="728">
        <v>3700</v>
      </c>
      <c r="L33" s="729">
        <f t="shared" si="3"/>
        <v>18258.25</v>
      </c>
      <c r="M33" s="728">
        <v>21958.25</v>
      </c>
      <c r="N33" s="842">
        <v>13858.94</v>
      </c>
      <c r="O33" s="710">
        <f t="shared" si="0"/>
        <v>164.92138600000001</v>
      </c>
      <c r="P33" s="711">
        <f t="shared" si="1"/>
        <v>5.1537933125000004</v>
      </c>
      <c r="Q33" s="712">
        <f t="shared" si="2"/>
        <v>131465.90484</v>
      </c>
    </row>
    <row r="34" spans="1:17" ht="15.75" customHeight="1">
      <c r="A34" s="731" t="s">
        <v>1842</v>
      </c>
      <c r="B34" s="732">
        <v>44952</v>
      </c>
      <c r="C34" s="733" t="s">
        <v>1597</v>
      </c>
      <c r="D34" s="733" t="s">
        <v>1598</v>
      </c>
      <c r="E34" s="734">
        <v>11.9</v>
      </c>
      <c r="F34" s="731" t="s">
        <v>1599</v>
      </c>
      <c r="G34" s="735" t="s">
        <v>1600</v>
      </c>
      <c r="H34" s="731" t="s">
        <v>1841</v>
      </c>
      <c r="I34" s="736">
        <v>9486</v>
      </c>
      <c r="J34" s="735" t="s">
        <v>1599</v>
      </c>
      <c r="K34" s="737">
        <v>3740</v>
      </c>
      <c r="L34" s="738">
        <f t="shared" si="3"/>
        <v>16249.400000000001</v>
      </c>
      <c r="M34" s="737">
        <v>19989.400000000001</v>
      </c>
      <c r="N34" s="843">
        <v>13345.3</v>
      </c>
      <c r="O34" s="710">
        <f t="shared" si="0"/>
        <v>158.80907000000002</v>
      </c>
      <c r="P34" s="711">
        <f t="shared" si="1"/>
        <v>4.9627834375000006</v>
      </c>
      <c r="Q34" s="712">
        <f t="shared" si="2"/>
        <v>126593.51579999999</v>
      </c>
    </row>
    <row r="35" spans="1:17" ht="15.75" customHeight="1">
      <c r="A35" s="722" t="s">
        <v>1843</v>
      </c>
      <c r="B35" s="723">
        <v>44939</v>
      </c>
      <c r="C35" s="724" t="s">
        <v>1597</v>
      </c>
      <c r="D35" s="724" t="s">
        <v>1598</v>
      </c>
      <c r="E35" s="725">
        <v>7.1</v>
      </c>
      <c r="F35" s="722" t="s">
        <v>1599</v>
      </c>
      <c r="G35" s="726" t="s">
        <v>1600</v>
      </c>
      <c r="H35" s="722" t="s">
        <v>1844</v>
      </c>
      <c r="I35" s="727">
        <v>5727</v>
      </c>
      <c r="J35" s="726" t="s">
        <v>1599</v>
      </c>
      <c r="K35" s="728">
        <v>2280</v>
      </c>
      <c r="L35" s="729">
        <f t="shared" si="3"/>
        <v>7190.1299999999992</v>
      </c>
      <c r="M35" s="730">
        <v>9470.1299999999992</v>
      </c>
      <c r="N35" s="842">
        <v>6290.01</v>
      </c>
      <c r="O35" s="710">
        <f t="shared" si="0"/>
        <v>44.659070999999997</v>
      </c>
      <c r="P35" s="711">
        <f t="shared" si="1"/>
        <v>1.3955959687499999</v>
      </c>
      <c r="Q35" s="712">
        <f t="shared" si="2"/>
        <v>36022.887270000007</v>
      </c>
    </row>
    <row r="36" spans="1:17" ht="15.75" customHeight="1">
      <c r="A36" s="731" t="s">
        <v>1845</v>
      </c>
      <c r="B36" s="732">
        <v>44942</v>
      </c>
      <c r="C36" s="733" t="s">
        <v>1597</v>
      </c>
      <c r="D36" s="733" t="s">
        <v>1598</v>
      </c>
      <c r="E36" s="734">
        <v>11.9</v>
      </c>
      <c r="F36" s="731" t="s">
        <v>1599</v>
      </c>
      <c r="G36" s="735" t="s">
        <v>1600</v>
      </c>
      <c r="H36" s="731" t="s">
        <v>1846</v>
      </c>
      <c r="I36" s="736">
        <v>5317</v>
      </c>
      <c r="J36" s="735" t="s">
        <v>1599</v>
      </c>
      <c r="K36" s="737">
        <v>2230</v>
      </c>
      <c r="L36" s="738">
        <f t="shared" si="3"/>
        <v>6754.7999999999993</v>
      </c>
      <c r="M36" s="739">
        <v>8984.7999999999993</v>
      </c>
      <c r="N36" s="843">
        <v>5739.63</v>
      </c>
      <c r="O36" s="710">
        <f t="shared" si="0"/>
        <v>68.301597000000015</v>
      </c>
      <c r="P36" s="711">
        <f t="shared" si="1"/>
        <v>2.1344249062500005</v>
      </c>
      <c r="Q36" s="712">
        <f t="shared" si="2"/>
        <v>30517.612710000001</v>
      </c>
    </row>
    <row r="37" spans="1:17" ht="15.75" customHeight="1">
      <c r="A37" s="722" t="s">
        <v>1847</v>
      </c>
      <c r="B37" s="723">
        <v>44942</v>
      </c>
      <c r="C37" s="724" t="s">
        <v>1597</v>
      </c>
      <c r="D37" s="724" t="s">
        <v>1598</v>
      </c>
      <c r="E37" s="725">
        <v>6</v>
      </c>
      <c r="F37" s="722" t="s">
        <v>1599</v>
      </c>
      <c r="G37" s="726" t="s">
        <v>1600</v>
      </c>
      <c r="H37" s="722" t="s">
        <v>1848</v>
      </c>
      <c r="I37" s="727">
        <v>3740</v>
      </c>
      <c r="J37" s="726" t="s">
        <v>1599</v>
      </c>
      <c r="K37" s="728">
        <v>3850</v>
      </c>
      <c r="L37" s="729">
        <f t="shared" si="3"/>
        <v>5744.4400000000005</v>
      </c>
      <c r="M37" s="728">
        <v>9594.44</v>
      </c>
      <c r="N37" s="842">
        <v>3798.56</v>
      </c>
      <c r="O37" s="710">
        <f t="shared" si="0"/>
        <v>22.791360000000001</v>
      </c>
      <c r="P37" s="711">
        <f t="shared" si="1"/>
        <v>0.71223000000000003</v>
      </c>
      <c r="Q37" s="712">
        <f t="shared" si="2"/>
        <v>14206.6144</v>
      </c>
    </row>
    <row r="38" spans="1:17" ht="15.75" customHeight="1">
      <c r="A38" s="731" t="s">
        <v>1849</v>
      </c>
      <c r="B38" s="732">
        <v>44945</v>
      </c>
      <c r="C38" s="733" t="s">
        <v>1597</v>
      </c>
      <c r="D38" s="733" t="s">
        <v>1598</v>
      </c>
      <c r="E38" s="734">
        <v>6.5</v>
      </c>
      <c r="F38" s="731" t="s">
        <v>1599</v>
      </c>
      <c r="G38" s="735" t="s">
        <v>1600</v>
      </c>
      <c r="H38" s="731" t="s">
        <v>1850</v>
      </c>
      <c r="I38" s="736">
        <v>9687</v>
      </c>
      <c r="J38" s="735" t="s">
        <v>1599</v>
      </c>
      <c r="K38" s="737">
        <v>3630</v>
      </c>
      <c r="L38" s="738">
        <f t="shared" si="3"/>
        <v>19897</v>
      </c>
      <c r="M38" s="737">
        <v>23527</v>
      </c>
      <c r="N38" s="843">
        <v>18561</v>
      </c>
      <c r="O38" s="710">
        <f t="shared" si="0"/>
        <v>120.6465</v>
      </c>
      <c r="P38" s="711">
        <f t="shared" si="1"/>
        <v>3.7702031250000001</v>
      </c>
      <c r="Q38" s="712">
        <f t="shared" si="2"/>
        <v>179800.40700000001</v>
      </c>
    </row>
    <row r="39" spans="1:17" ht="15.75" customHeight="1">
      <c r="A39" s="722" t="s">
        <v>1851</v>
      </c>
      <c r="B39" s="723">
        <v>44944</v>
      </c>
      <c r="C39" s="724" t="s">
        <v>1597</v>
      </c>
      <c r="D39" s="724" t="s">
        <v>1598</v>
      </c>
      <c r="E39" s="725">
        <v>6.5</v>
      </c>
      <c r="F39" s="722" t="s">
        <v>1599</v>
      </c>
      <c r="G39" s="726" t="s">
        <v>1600</v>
      </c>
      <c r="H39" s="722" t="s">
        <v>1850</v>
      </c>
      <c r="I39" s="727">
        <v>9687</v>
      </c>
      <c r="J39" s="726" t="s">
        <v>1599</v>
      </c>
      <c r="K39" s="728">
        <v>3770</v>
      </c>
      <c r="L39" s="729">
        <f t="shared" si="3"/>
        <v>20080.2</v>
      </c>
      <c r="M39" s="741">
        <v>23850.2</v>
      </c>
      <c r="N39" s="842">
        <v>18565.8</v>
      </c>
      <c r="O39" s="710">
        <f t="shared" si="0"/>
        <v>120.6777</v>
      </c>
      <c r="P39" s="711">
        <f t="shared" si="1"/>
        <v>3.771178125</v>
      </c>
      <c r="Q39" s="712">
        <f t="shared" si="2"/>
        <v>179846.90459999998</v>
      </c>
    </row>
    <row r="40" spans="1:17" ht="15.75" customHeight="1">
      <c r="A40" s="731" t="s">
        <v>1852</v>
      </c>
      <c r="B40" s="732">
        <v>44939</v>
      </c>
      <c r="C40" s="733" t="s">
        <v>1597</v>
      </c>
      <c r="D40" s="733" t="s">
        <v>1598</v>
      </c>
      <c r="E40" s="734">
        <v>5.2</v>
      </c>
      <c r="F40" s="731" t="s">
        <v>1599</v>
      </c>
      <c r="G40" s="735" t="s">
        <v>1600</v>
      </c>
      <c r="H40" s="731" t="s">
        <v>1825</v>
      </c>
      <c r="I40" s="736">
        <v>15486</v>
      </c>
      <c r="J40" s="735" t="s">
        <v>1599</v>
      </c>
      <c r="K40" s="737">
        <v>3800</v>
      </c>
      <c r="L40" s="738">
        <f t="shared" si="3"/>
        <v>9293.1200000000008</v>
      </c>
      <c r="M40" s="739">
        <v>13093.12</v>
      </c>
      <c r="N40" s="843">
        <v>6641.12</v>
      </c>
      <c r="O40" s="710">
        <f t="shared" si="0"/>
        <v>34.533824000000003</v>
      </c>
      <c r="P40" s="711">
        <f t="shared" si="1"/>
        <v>1.0791820000000001</v>
      </c>
      <c r="Q40" s="712">
        <f t="shared" si="2"/>
        <v>102844.38432</v>
      </c>
    </row>
    <row r="41" spans="1:17" ht="15.75" customHeight="1">
      <c r="A41" s="722" t="s">
        <v>1853</v>
      </c>
      <c r="B41" s="723">
        <v>44945</v>
      </c>
      <c r="C41" s="724" t="s">
        <v>1597</v>
      </c>
      <c r="D41" s="724" t="s">
        <v>1598</v>
      </c>
      <c r="E41" s="725">
        <v>6</v>
      </c>
      <c r="F41" s="722" t="s">
        <v>1599</v>
      </c>
      <c r="G41" s="726" t="s">
        <v>1600</v>
      </c>
      <c r="H41" s="722" t="s">
        <v>1854</v>
      </c>
      <c r="I41" s="727">
        <v>8865</v>
      </c>
      <c r="J41" s="726" t="s">
        <v>1599</v>
      </c>
      <c r="K41" s="728">
        <v>2245</v>
      </c>
      <c r="L41" s="729">
        <f t="shared" si="3"/>
        <v>4289.5</v>
      </c>
      <c r="M41" s="741">
        <v>6534.5</v>
      </c>
      <c r="N41" s="842">
        <v>3022</v>
      </c>
      <c r="O41" s="710">
        <f t="shared" si="0"/>
        <v>18.132000000000001</v>
      </c>
      <c r="P41" s="711">
        <f t="shared" si="1"/>
        <v>0.56662500000000005</v>
      </c>
      <c r="Q41" s="712">
        <f t="shared" si="2"/>
        <v>26790.03</v>
      </c>
    </row>
    <row r="42" spans="1:17" ht="15.75" customHeight="1">
      <c r="A42" s="731" t="s">
        <v>1855</v>
      </c>
      <c r="B42" s="732">
        <v>44939</v>
      </c>
      <c r="C42" s="733" t="s">
        <v>1597</v>
      </c>
      <c r="D42" s="733" t="s">
        <v>1598</v>
      </c>
      <c r="E42" s="734">
        <v>7.1</v>
      </c>
      <c r="F42" s="731" t="s">
        <v>1599</v>
      </c>
      <c r="G42" s="735" t="s">
        <v>1600</v>
      </c>
      <c r="H42" s="731" t="s">
        <v>1818</v>
      </c>
      <c r="I42" s="736">
        <v>14000</v>
      </c>
      <c r="J42" s="735" t="s">
        <v>1599</v>
      </c>
      <c r="K42" s="737">
        <v>3700</v>
      </c>
      <c r="L42" s="738">
        <f t="shared" si="3"/>
        <v>17561.560000000001</v>
      </c>
      <c r="M42" s="739">
        <v>21261.56</v>
      </c>
      <c r="N42" s="843">
        <v>15283.2</v>
      </c>
      <c r="O42" s="710">
        <f t="shared" si="0"/>
        <v>108.51072000000001</v>
      </c>
      <c r="P42" s="711">
        <f t="shared" si="1"/>
        <v>3.3909600000000002</v>
      </c>
      <c r="Q42" s="712">
        <f t="shared" si="2"/>
        <v>213964.79999999999</v>
      </c>
    </row>
    <row r="43" spans="1:17" ht="15.75" customHeight="1">
      <c r="A43" s="722" t="s">
        <v>1856</v>
      </c>
      <c r="B43" s="723">
        <v>44942</v>
      </c>
      <c r="C43" s="724" t="s">
        <v>1597</v>
      </c>
      <c r="D43" s="724" t="s">
        <v>1598</v>
      </c>
      <c r="E43" s="725">
        <v>7.1</v>
      </c>
      <c r="F43" s="722" t="s">
        <v>1599</v>
      </c>
      <c r="G43" s="726" t="s">
        <v>1600</v>
      </c>
      <c r="H43" s="722" t="s">
        <v>1838</v>
      </c>
      <c r="I43" s="727">
        <v>4972</v>
      </c>
      <c r="J43" s="726" t="s">
        <v>1599</v>
      </c>
      <c r="K43" s="728">
        <v>2265</v>
      </c>
      <c r="L43" s="729">
        <f t="shared" si="3"/>
        <v>4931.6000000000004</v>
      </c>
      <c r="M43" s="730">
        <v>7196.6</v>
      </c>
      <c r="N43" s="842">
        <v>3619.2</v>
      </c>
      <c r="O43" s="710">
        <f t="shared" si="0"/>
        <v>25.696319999999996</v>
      </c>
      <c r="P43" s="711">
        <f t="shared" si="1"/>
        <v>0.80300999999999989</v>
      </c>
      <c r="Q43" s="712">
        <f t="shared" si="2"/>
        <v>17994.662399999997</v>
      </c>
    </row>
    <row r="44" spans="1:17" ht="15.75" customHeight="1">
      <c r="A44" s="731" t="s">
        <v>1857</v>
      </c>
      <c r="B44" s="732">
        <v>44942</v>
      </c>
      <c r="C44" s="733" t="s">
        <v>1597</v>
      </c>
      <c r="D44" s="733" t="s">
        <v>1598</v>
      </c>
      <c r="E44" s="734">
        <v>6</v>
      </c>
      <c r="F44" s="731" t="s">
        <v>1599</v>
      </c>
      <c r="G44" s="735" t="s">
        <v>1600</v>
      </c>
      <c r="H44" s="731" t="s">
        <v>1838</v>
      </c>
      <c r="I44" s="736">
        <v>4972</v>
      </c>
      <c r="J44" s="735" t="s">
        <v>1599</v>
      </c>
      <c r="K44" s="737">
        <v>3900</v>
      </c>
      <c r="L44" s="738">
        <f t="shared" si="3"/>
        <v>7218.6100000000006</v>
      </c>
      <c r="M44" s="742">
        <v>11118.61</v>
      </c>
      <c r="N44" s="843">
        <v>5213.46</v>
      </c>
      <c r="O44" s="710">
        <f t="shared" si="0"/>
        <v>31.280760000000001</v>
      </c>
      <c r="P44" s="711">
        <f t="shared" si="1"/>
        <v>0.97752375000000002</v>
      </c>
      <c r="Q44" s="712">
        <f t="shared" si="2"/>
        <v>25921.323120000001</v>
      </c>
    </row>
    <row r="45" spans="1:17" ht="15.75" customHeight="1">
      <c r="A45" s="722" t="s">
        <v>1858</v>
      </c>
      <c r="B45" s="723">
        <v>44942</v>
      </c>
      <c r="C45" s="724" t="s">
        <v>1597</v>
      </c>
      <c r="D45" s="724" t="s">
        <v>1598</v>
      </c>
      <c r="E45" s="725">
        <v>6.5</v>
      </c>
      <c r="F45" s="722" t="s">
        <v>1599</v>
      </c>
      <c r="G45" s="726" t="s">
        <v>1600</v>
      </c>
      <c r="H45" s="722" t="s">
        <v>1836</v>
      </c>
      <c r="I45" s="727">
        <v>14544</v>
      </c>
      <c r="J45" s="726" t="s">
        <v>1599</v>
      </c>
      <c r="K45" s="728">
        <v>3850</v>
      </c>
      <c r="L45" s="729">
        <f t="shared" si="3"/>
        <v>14839</v>
      </c>
      <c r="M45" s="741">
        <v>18689</v>
      </c>
      <c r="N45" s="842">
        <v>12511.2</v>
      </c>
      <c r="O45" s="710">
        <f t="shared" si="0"/>
        <v>81.322800000000001</v>
      </c>
      <c r="P45" s="711">
        <f t="shared" si="1"/>
        <v>2.5413375</v>
      </c>
      <c r="Q45" s="712">
        <f t="shared" si="2"/>
        <v>181962.8928</v>
      </c>
    </row>
    <row r="46" spans="1:17" ht="15.75" customHeight="1">
      <c r="A46" s="731" t="s">
        <v>1859</v>
      </c>
      <c r="B46" s="732">
        <v>44952</v>
      </c>
      <c r="C46" s="733" t="s">
        <v>1597</v>
      </c>
      <c r="D46" s="733" t="s">
        <v>1598</v>
      </c>
      <c r="E46" s="734">
        <v>11.9</v>
      </c>
      <c r="F46" s="731" t="s">
        <v>1599</v>
      </c>
      <c r="G46" s="735" t="s">
        <v>1600</v>
      </c>
      <c r="H46" s="731" t="s">
        <v>1841</v>
      </c>
      <c r="I46" s="736">
        <v>9486</v>
      </c>
      <c r="J46" s="735" t="s">
        <v>1599</v>
      </c>
      <c r="K46" s="737">
        <v>3910</v>
      </c>
      <c r="L46" s="738">
        <f t="shared" si="3"/>
        <v>19607.849999999999</v>
      </c>
      <c r="M46" s="742">
        <v>23517.85</v>
      </c>
      <c r="N46" s="843">
        <v>15982.1</v>
      </c>
      <c r="O46" s="710">
        <f t="shared" si="0"/>
        <v>190.18699000000001</v>
      </c>
      <c r="P46" s="711">
        <f t="shared" si="1"/>
        <v>5.9433434375000003</v>
      </c>
      <c r="Q46" s="712">
        <f t="shared" si="2"/>
        <v>151606.20059999998</v>
      </c>
    </row>
    <row r="47" spans="1:17" ht="15.75" customHeight="1">
      <c r="A47" s="722" t="s">
        <v>1860</v>
      </c>
      <c r="B47" s="723">
        <v>44943</v>
      </c>
      <c r="C47" s="724" t="s">
        <v>1597</v>
      </c>
      <c r="D47" s="724" t="s">
        <v>1598</v>
      </c>
      <c r="E47" s="725">
        <v>6.2</v>
      </c>
      <c r="F47" s="722" t="s">
        <v>1599</v>
      </c>
      <c r="G47" s="726" t="s">
        <v>1600</v>
      </c>
      <c r="H47" s="722" t="s">
        <v>1822</v>
      </c>
      <c r="I47" s="727">
        <v>13787</v>
      </c>
      <c r="J47" s="726" t="s">
        <v>1599</v>
      </c>
      <c r="K47" s="728">
        <v>3770</v>
      </c>
      <c r="L47" s="729">
        <f t="shared" si="3"/>
        <v>12615</v>
      </c>
      <c r="M47" s="728">
        <v>16385</v>
      </c>
      <c r="N47" s="842">
        <v>8688.6</v>
      </c>
      <c r="O47" s="710">
        <f t="shared" si="0"/>
        <v>53.869320000000009</v>
      </c>
      <c r="P47" s="711">
        <f t="shared" si="1"/>
        <v>1.6834162500000003</v>
      </c>
      <c r="Q47" s="712">
        <f t="shared" si="2"/>
        <v>119789.7282</v>
      </c>
    </row>
    <row r="48" spans="1:17" ht="15.75" customHeight="1">
      <c r="A48" s="731" t="s">
        <v>1861</v>
      </c>
      <c r="B48" s="732">
        <v>44949</v>
      </c>
      <c r="C48" s="733" t="s">
        <v>1597</v>
      </c>
      <c r="D48" s="733" t="s">
        <v>1598</v>
      </c>
      <c r="E48" s="734">
        <v>5.2</v>
      </c>
      <c r="F48" s="731" t="s">
        <v>1599</v>
      </c>
      <c r="G48" s="735" t="s">
        <v>1600</v>
      </c>
      <c r="H48" s="731" t="s">
        <v>1809</v>
      </c>
      <c r="I48" s="736">
        <v>15168</v>
      </c>
      <c r="J48" s="735" t="s">
        <v>1599</v>
      </c>
      <c r="K48" s="737">
        <v>3810</v>
      </c>
      <c r="L48" s="738">
        <f t="shared" si="3"/>
        <v>19889.28</v>
      </c>
      <c r="M48" s="742">
        <v>23699.279999999999</v>
      </c>
      <c r="N48" s="843">
        <v>16872</v>
      </c>
      <c r="O48" s="710">
        <f t="shared" si="0"/>
        <v>87.734400000000008</v>
      </c>
      <c r="P48" s="711">
        <f t="shared" si="1"/>
        <v>2.7417000000000002</v>
      </c>
      <c r="Q48" s="712">
        <f t="shared" si="2"/>
        <v>255914.49600000001</v>
      </c>
    </row>
    <row r="49" spans="1:17" ht="15.75" customHeight="1">
      <c r="A49" s="722" t="s">
        <v>1862</v>
      </c>
      <c r="B49" s="723">
        <v>44949</v>
      </c>
      <c r="C49" s="724" t="s">
        <v>1597</v>
      </c>
      <c r="D49" s="724" t="s">
        <v>1598</v>
      </c>
      <c r="E49" s="725">
        <v>10.199999999999999</v>
      </c>
      <c r="F49" s="722" t="s">
        <v>1599</v>
      </c>
      <c r="G49" s="726" t="s">
        <v>1600</v>
      </c>
      <c r="H49" s="722" t="s">
        <v>1838</v>
      </c>
      <c r="I49" s="727">
        <v>4972</v>
      </c>
      <c r="J49" s="726" t="s">
        <v>1599</v>
      </c>
      <c r="K49" s="728">
        <v>3700</v>
      </c>
      <c r="L49" s="729">
        <f t="shared" si="3"/>
        <v>14315.599999999999</v>
      </c>
      <c r="M49" s="741">
        <v>18015.599999999999</v>
      </c>
      <c r="N49" s="842">
        <v>11882.6</v>
      </c>
      <c r="O49" s="710">
        <f t="shared" si="0"/>
        <v>121.20251999999999</v>
      </c>
      <c r="P49" s="711">
        <f t="shared" si="1"/>
        <v>3.7875787499999998</v>
      </c>
      <c r="Q49" s="712">
        <f t="shared" si="2"/>
        <v>59080.287200000006</v>
      </c>
    </row>
    <row r="50" spans="1:17" ht="15.75" customHeight="1">
      <c r="A50" s="731" t="s">
        <v>1863</v>
      </c>
      <c r="B50" s="732">
        <v>44949</v>
      </c>
      <c r="C50" s="733" t="s">
        <v>1597</v>
      </c>
      <c r="D50" s="733" t="s">
        <v>1598</v>
      </c>
      <c r="E50" s="734">
        <v>6</v>
      </c>
      <c r="F50" s="731" t="s">
        <v>1599</v>
      </c>
      <c r="G50" s="735" t="s">
        <v>1600</v>
      </c>
      <c r="H50" s="731" t="s">
        <v>1838</v>
      </c>
      <c r="I50" s="736">
        <v>4972</v>
      </c>
      <c r="J50" s="735" t="s">
        <v>1599</v>
      </c>
      <c r="K50" s="737">
        <v>2150</v>
      </c>
      <c r="L50" s="738">
        <f t="shared" si="3"/>
        <v>4931.6000000000004</v>
      </c>
      <c r="M50" s="742">
        <v>7081.6</v>
      </c>
      <c r="N50" s="843">
        <v>3619.2</v>
      </c>
      <c r="O50" s="710">
        <f t="shared" si="0"/>
        <v>21.715199999999996</v>
      </c>
      <c r="P50" s="711">
        <f t="shared" si="1"/>
        <v>0.67859999999999987</v>
      </c>
      <c r="Q50" s="712">
        <f t="shared" si="2"/>
        <v>17994.662399999997</v>
      </c>
    </row>
    <row r="51" spans="1:17" ht="15.75" customHeight="1">
      <c r="A51" s="722" t="s">
        <v>1864</v>
      </c>
      <c r="B51" s="723">
        <v>44949</v>
      </c>
      <c r="C51" s="724" t="s">
        <v>1597</v>
      </c>
      <c r="D51" s="724" t="s">
        <v>1598</v>
      </c>
      <c r="E51" s="725">
        <v>6</v>
      </c>
      <c r="F51" s="722" t="s">
        <v>1599</v>
      </c>
      <c r="G51" s="726" t="s">
        <v>1600</v>
      </c>
      <c r="H51" s="722" t="s">
        <v>1838</v>
      </c>
      <c r="I51" s="727">
        <v>4972</v>
      </c>
      <c r="J51" s="726" t="s">
        <v>1599</v>
      </c>
      <c r="K51" s="728">
        <v>3670</v>
      </c>
      <c r="L51" s="729">
        <f t="shared" si="3"/>
        <v>8064.5300000000007</v>
      </c>
      <c r="M51" s="741">
        <v>11734.53</v>
      </c>
      <c r="N51" s="842">
        <v>5985.95</v>
      </c>
      <c r="O51" s="710">
        <f t="shared" si="0"/>
        <v>35.915699999999994</v>
      </c>
      <c r="P51" s="711">
        <f t="shared" si="1"/>
        <v>1.1223656249999998</v>
      </c>
      <c r="Q51" s="712">
        <f t="shared" si="2"/>
        <v>29762.143399999997</v>
      </c>
    </row>
    <row r="52" spans="1:17" ht="15.75" customHeight="1">
      <c r="A52" s="731" t="s">
        <v>1865</v>
      </c>
      <c r="B52" s="732">
        <v>44943</v>
      </c>
      <c r="C52" s="733" t="s">
        <v>1597</v>
      </c>
      <c r="D52" s="733" t="s">
        <v>1598</v>
      </c>
      <c r="E52" s="734">
        <v>6.2</v>
      </c>
      <c r="F52" s="731" t="s">
        <v>1599</v>
      </c>
      <c r="G52" s="735" t="s">
        <v>1600</v>
      </c>
      <c r="H52" s="731" t="s">
        <v>1866</v>
      </c>
      <c r="I52" s="736">
        <v>2597</v>
      </c>
      <c r="J52" s="735" t="s">
        <v>1599</v>
      </c>
      <c r="K52" s="737">
        <v>2140</v>
      </c>
      <c r="L52" s="738">
        <f t="shared" si="3"/>
        <v>4976</v>
      </c>
      <c r="M52" s="737">
        <v>7116</v>
      </c>
      <c r="N52" s="843">
        <v>3721</v>
      </c>
      <c r="O52" s="710">
        <f t="shared" si="0"/>
        <v>23.0702</v>
      </c>
      <c r="P52" s="711">
        <f t="shared" si="1"/>
        <v>0.72094374999999999</v>
      </c>
      <c r="Q52" s="712">
        <f t="shared" si="2"/>
        <v>9663.4369999999999</v>
      </c>
    </row>
    <row r="53" spans="1:17" ht="15.75" customHeight="1">
      <c r="A53" s="722" t="s">
        <v>1867</v>
      </c>
      <c r="B53" s="723">
        <v>44956</v>
      </c>
      <c r="C53" s="724" t="s">
        <v>1597</v>
      </c>
      <c r="D53" s="724" t="s">
        <v>1598</v>
      </c>
      <c r="E53" s="725">
        <v>6.2</v>
      </c>
      <c r="F53" s="722" t="s">
        <v>1599</v>
      </c>
      <c r="G53" s="726" t="s">
        <v>1600</v>
      </c>
      <c r="H53" s="722" t="s">
        <v>1822</v>
      </c>
      <c r="I53" s="727">
        <v>13787</v>
      </c>
      <c r="J53" s="726" t="s">
        <v>1599</v>
      </c>
      <c r="K53" s="728">
        <v>3850</v>
      </c>
      <c r="L53" s="729">
        <f t="shared" si="3"/>
        <v>13822</v>
      </c>
      <c r="M53" s="741">
        <v>17672</v>
      </c>
      <c r="N53" s="842">
        <v>11280</v>
      </c>
      <c r="O53" s="710">
        <f t="shared" si="0"/>
        <v>69.936000000000007</v>
      </c>
      <c r="P53" s="711">
        <f t="shared" si="1"/>
        <v>2.1855000000000002</v>
      </c>
      <c r="Q53" s="712">
        <f t="shared" si="2"/>
        <v>155517.35999999999</v>
      </c>
    </row>
    <row r="54" spans="1:17" ht="15.75" customHeight="1">
      <c r="A54" s="731" t="s">
        <v>1868</v>
      </c>
      <c r="B54" s="732">
        <v>44949</v>
      </c>
      <c r="C54" s="733" t="s">
        <v>1597</v>
      </c>
      <c r="D54" s="733" t="s">
        <v>1598</v>
      </c>
      <c r="E54" s="734">
        <v>4.0999999999999996</v>
      </c>
      <c r="F54" s="731" t="s">
        <v>1599</v>
      </c>
      <c r="G54" s="735" t="s">
        <v>1600</v>
      </c>
      <c r="H54" s="731" t="s">
        <v>1850</v>
      </c>
      <c r="I54" s="736">
        <v>9687</v>
      </c>
      <c r="J54" s="735" t="s">
        <v>1599</v>
      </c>
      <c r="K54" s="737">
        <v>2170</v>
      </c>
      <c r="L54" s="738">
        <f t="shared" si="3"/>
        <v>5777</v>
      </c>
      <c r="M54" s="737">
        <v>7947</v>
      </c>
      <c r="N54" s="843">
        <v>4550</v>
      </c>
      <c r="O54" s="710">
        <f t="shared" si="0"/>
        <v>18.655000000000001</v>
      </c>
      <c r="P54" s="711">
        <f t="shared" si="1"/>
        <v>0.58296875000000004</v>
      </c>
      <c r="Q54" s="712">
        <f t="shared" si="2"/>
        <v>44075.85</v>
      </c>
    </row>
    <row r="55" spans="1:17" ht="15.75" customHeight="1">
      <c r="A55" s="722" t="s">
        <v>1869</v>
      </c>
      <c r="B55" s="723">
        <v>44957</v>
      </c>
      <c r="C55" s="724" t="s">
        <v>1597</v>
      </c>
      <c r="D55" s="724" t="s">
        <v>1598</v>
      </c>
      <c r="E55" s="725">
        <v>6.2</v>
      </c>
      <c r="F55" s="722" t="s">
        <v>1599</v>
      </c>
      <c r="G55" s="726" t="s">
        <v>1600</v>
      </c>
      <c r="H55" s="722" t="s">
        <v>1828</v>
      </c>
      <c r="I55" s="727">
        <v>7448</v>
      </c>
      <c r="J55" s="726" t="s">
        <v>1599</v>
      </c>
      <c r="K55" s="728">
        <v>3700</v>
      </c>
      <c r="L55" s="729">
        <f t="shared" si="3"/>
        <v>25372.75</v>
      </c>
      <c r="M55" s="741">
        <v>29072.75</v>
      </c>
      <c r="N55" s="841">
        <v>19947.36</v>
      </c>
      <c r="O55" s="710">
        <f t="shared" si="0"/>
        <v>123.67363200000001</v>
      </c>
      <c r="P55" s="711">
        <f t="shared" si="1"/>
        <v>3.8648010000000004</v>
      </c>
      <c r="Q55" s="712">
        <f t="shared" si="2"/>
        <v>148567.93728000001</v>
      </c>
    </row>
    <row r="56" spans="1:17" ht="15.75" customHeight="1">
      <c r="A56" s="731" t="s">
        <v>1870</v>
      </c>
      <c r="B56" s="732">
        <v>44951</v>
      </c>
      <c r="C56" s="733" t="s">
        <v>1597</v>
      </c>
      <c r="D56" s="733" t="s">
        <v>1598</v>
      </c>
      <c r="E56" s="734">
        <v>7.1</v>
      </c>
      <c r="F56" s="731" t="s">
        <v>1599</v>
      </c>
      <c r="G56" s="735" t="s">
        <v>1600</v>
      </c>
      <c r="H56" s="731" t="s">
        <v>1818</v>
      </c>
      <c r="I56" s="736">
        <v>14000</v>
      </c>
      <c r="J56" s="735" t="s">
        <v>1599</v>
      </c>
      <c r="K56" s="737">
        <v>3890</v>
      </c>
      <c r="L56" s="738">
        <f t="shared" si="3"/>
        <v>19630.77</v>
      </c>
      <c r="M56" s="742">
        <v>23520.77</v>
      </c>
      <c r="N56" s="843">
        <v>17135.169999999998</v>
      </c>
      <c r="O56" s="710">
        <f t="shared" si="0"/>
        <v>121.65970699999998</v>
      </c>
      <c r="P56" s="711">
        <f t="shared" si="1"/>
        <v>3.8018658437499995</v>
      </c>
      <c r="Q56" s="712">
        <f t="shared" si="2"/>
        <v>239892.37999999998</v>
      </c>
    </row>
    <row r="57" spans="1:17" ht="15.75" customHeight="1">
      <c r="A57" s="722" t="s">
        <v>1871</v>
      </c>
      <c r="B57" s="723">
        <v>44953</v>
      </c>
      <c r="C57" s="724" t="s">
        <v>1597</v>
      </c>
      <c r="D57" s="724" t="s">
        <v>1598</v>
      </c>
      <c r="E57" s="725">
        <v>5.3</v>
      </c>
      <c r="F57" s="722" t="s">
        <v>1599</v>
      </c>
      <c r="G57" s="726" t="s">
        <v>1600</v>
      </c>
      <c r="H57" s="722" t="s">
        <v>1807</v>
      </c>
      <c r="I57" s="727">
        <v>1734</v>
      </c>
      <c r="J57" s="726" t="s">
        <v>1599</v>
      </c>
      <c r="K57" s="728">
        <v>3760</v>
      </c>
      <c r="L57" s="729">
        <f t="shared" si="3"/>
        <v>10443</v>
      </c>
      <c r="M57" s="741">
        <v>14203</v>
      </c>
      <c r="N57" s="842">
        <v>7915.5</v>
      </c>
      <c r="O57" s="710">
        <f t="shared" si="0"/>
        <v>41.952150000000003</v>
      </c>
      <c r="P57" s="711">
        <f t="shared" si="1"/>
        <v>1.3110046875000001</v>
      </c>
      <c r="Q57" s="712">
        <f t="shared" si="2"/>
        <v>13725.477000000001</v>
      </c>
    </row>
    <row r="58" spans="1:17" ht="15.75" customHeight="1">
      <c r="A58" s="731" t="s">
        <v>1872</v>
      </c>
      <c r="B58" s="732">
        <v>44952</v>
      </c>
      <c r="C58" s="733" t="s">
        <v>1597</v>
      </c>
      <c r="D58" s="733" t="s">
        <v>1598</v>
      </c>
      <c r="E58" s="734">
        <v>3.6</v>
      </c>
      <c r="F58" s="731" t="s">
        <v>1599</v>
      </c>
      <c r="G58" s="735" t="s">
        <v>1600</v>
      </c>
      <c r="H58" s="731" t="s">
        <v>1873</v>
      </c>
      <c r="I58" s="736">
        <v>3824</v>
      </c>
      <c r="J58" s="735" t="s">
        <v>1599</v>
      </c>
      <c r="K58" s="737">
        <v>3850</v>
      </c>
      <c r="L58" s="738">
        <f t="shared" si="3"/>
        <v>11352.41</v>
      </c>
      <c r="M58" s="739">
        <v>15202.41</v>
      </c>
      <c r="N58" s="843">
        <v>8515.2900000000009</v>
      </c>
      <c r="O58" s="710">
        <f t="shared" si="0"/>
        <v>30.655044000000004</v>
      </c>
      <c r="P58" s="711">
        <f t="shared" si="1"/>
        <v>0.95797012500000012</v>
      </c>
      <c r="Q58" s="712">
        <f t="shared" si="2"/>
        <v>32562.468960000006</v>
      </c>
    </row>
    <row r="59" spans="1:17" ht="15.75" customHeight="1">
      <c r="A59" s="722" t="s">
        <v>1874</v>
      </c>
      <c r="B59" s="723">
        <v>44951</v>
      </c>
      <c r="C59" s="724" t="s">
        <v>1597</v>
      </c>
      <c r="D59" s="724" t="s">
        <v>1598</v>
      </c>
      <c r="E59" s="725">
        <v>7.1</v>
      </c>
      <c r="F59" s="722" t="s">
        <v>1599</v>
      </c>
      <c r="G59" s="726" t="s">
        <v>1600</v>
      </c>
      <c r="H59" s="722" t="s">
        <v>1815</v>
      </c>
      <c r="I59" s="727">
        <v>17387</v>
      </c>
      <c r="J59" s="726" t="s">
        <v>1599</v>
      </c>
      <c r="K59" s="728">
        <v>3800</v>
      </c>
      <c r="L59" s="729">
        <f t="shared" si="3"/>
        <v>18654.57</v>
      </c>
      <c r="M59" s="741">
        <v>22454.57</v>
      </c>
      <c r="N59" s="842">
        <v>15940.41</v>
      </c>
      <c r="O59" s="710">
        <f t="shared" si="0"/>
        <v>113.17691099999999</v>
      </c>
      <c r="P59" s="711">
        <f t="shared" si="1"/>
        <v>3.5367784687499997</v>
      </c>
      <c r="Q59" s="712">
        <f t="shared" si="2"/>
        <v>277155.90867000003</v>
      </c>
    </row>
    <row r="60" spans="1:17" ht="15.75" customHeight="1">
      <c r="A60" s="731" t="s">
        <v>1875</v>
      </c>
      <c r="B60" s="732">
        <v>44953</v>
      </c>
      <c r="C60" s="733" t="s">
        <v>1597</v>
      </c>
      <c r="D60" s="733" t="s">
        <v>1598</v>
      </c>
      <c r="E60" s="734">
        <v>6.2</v>
      </c>
      <c r="F60" s="731" t="s">
        <v>1599</v>
      </c>
      <c r="G60" s="735" t="s">
        <v>1600</v>
      </c>
      <c r="H60" s="731" t="s">
        <v>1809</v>
      </c>
      <c r="I60" s="736">
        <v>15168</v>
      </c>
      <c r="J60" s="735" t="s">
        <v>1599</v>
      </c>
      <c r="K60" s="737">
        <v>3830</v>
      </c>
      <c r="L60" s="738">
        <f t="shared" si="3"/>
        <v>19889.28</v>
      </c>
      <c r="M60" s="742">
        <v>23719.279999999999</v>
      </c>
      <c r="N60" s="843">
        <v>16872</v>
      </c>
      <c r="O60" s="710">
        <f t="shared" si="0"/>
        <v>104.60640000000001</v>
      </c>
      <c r="P60" s="711">
        <f t="shared" si="1"/>
        <v>3.2689500000000002</v>
      </c>
      <c r="Q60" s="712">
        <f t="shared" si="2"/>
        <v>255914.49600000001</v>
      </c>
    </row>
    <row r="61" spans="1:17" ht="15.75" customHeight="1">
      <c r="A61" s="722" t="s">
        <v>1876</v>
      </c>
      <c r="B61" s="723">
        <v>44953</v>
      </c>
      <c r="C61" s="724" t="s">
        <v>1597</v>
      </c>
      <c r="D61" s="724" t="s">
        <v>1598</v>
      </c>
      <c r="E61" s="725">
        <v>6.2</v>
      </c>
      <c r="F61" s="722" t="s">
        <v>1599</v>
      </c>
      <c r="G61" s="726" t="s">
        <v>1600</v>
      </c>
      <c r="H61" s="722" t="s">
        <v>1809</v>
      </c>
      <c r="I61" s="727">
        <v>15168</v>
      </c>
      <c r="J61" s="726" t="s">
        <v>1599</v>
      </c>
      <c r="K61" s="728">
        <v>3700</v>
      </c>
      <c r="L61" s="729">
        <f t="shared" si="3"/>
        <v>19889.28</v>
      </c>
      <c r="M61" s="741">
        <v>23589.279999999999</v>
      </c>
      <c r="N61" s="842">
        <v>16872</v>
      </c>
      <c r="O61" s="710">
        <f t="shared" si="0"/>
        <v>104.60640000000001</v>
      </c>
      <c r="P61" s="711">
        <f t="shared" si="1"/>
        <v>3.2689500000000002</v>
      </c>
      <c r="Q61" s="712">
        <f t="shared" si="2"/>
        <v>255914.49600000001</v>
      </c>
    </row>
    <row r="62" spans="1:17" ht="15.75" customHeight="1">
      <c r="A62" s="731" t="s">
        <v>1877</v>
      </c>
      <c r="B62" s="732">
        <v>44953</v>
      </c>
      <c r="C62" s="733" t="s">
        <v>1597</v>
      </c>
      <c r="D62" s="733" t="s">
        <v>1598</v>
      </c>
      <c r="E62" s="734">
        <v>6.2</v>
      </c>
      <c r="F62" s="731" t="s">
        <v>1599</v>
      </c>
      <c r="G62" s="735" t="s">
        <v>1600</v>
      </c>
      <c r="H62" s="731" t="s">
        <v>1809</v>
      </c>
      <c r="I62" s="736">
        <v>15168</v>
      </c>
      <c r="J62" s="735" t="s">
        <v>1599</v>
      </c>
      <c r="K62" s="737">
        <v>3870</v>
      </c>
      <c r="L62" s="738">
        <f t="shared" si="3"/>
        <v>17137</v>
      </c>
      <c r="M62" s="742">
        <v>21007</v>
      </c>
      <c r="N62" s="843">
        <v>13759.2</v>
      </c>
      <c r="O62" s="710">
        <f t="shared" si="0"/>
        <v>85.307040000000015</v>
      </c>
      <c r="P62" s="711">
        <f t="shared" si="1"/>
        <v>2.6658450000000005</v>
      </c>
      <c r="Q62" s="712">
        <f t="shared" si="2"/>
        <v>208699.54560000001</v>
      </c>
    </row>
    <row r="63" spans="1:17" ht="15.75" customHeight="1">
      <c r="A63" s="722" t="s">
        <v>1878</v>
      </c>
      <c r="B63" s="723">
        <v>44953</v>
      </c>
      <c r="C63" s="724" t="s">
        <v>1597</v>
      </c>
      <c r="D63" s="724" t="s">
        <v>1598</v>
      </c>
      <c r="E63" s="725">
        <v>6.2</v>
      </c>
      <c r="F63" s="722" t="s">
        <v>1599</v>
      </c>
      <c r="G63" s="726" t="s">
        <v>1600</v>
      </c>
      <c r="H63" s="722" t="s">
        <v>1809</v>
      </c>
      <c r="I63" s="727">
        <v>15168</v>
      </c>
      <c r="J63" s="726" t="s">
        <v>1599</v>
      </c>
      <c r="K63" s="728">
        <v>3720</v>
      </c>
      <c r="L63" s="729">
        <f t="shared" si="3"/>
        <v>18750</v>
      </c>
      <c r="M63" s="741">
        <v>22470</v>
      </c>
      <c r="N63" s="842">
        <v>14962.5</v>
      </c>
      <c r="O63" s="710">
        <f t="shared" si="0"/>
        <v>92.767499999999998</v>
      </c>
      <c r="P63" s="711">
        <f t="shared" si="1"/>
        <v>2.8989843749999999</v>
      </c>
      <c r="Q63" s="712">
        <f t="shared" si="2"/>
        <v>226951.2</v>
      </c>
    </row>
    <row r="64" spans="1:17" ht="15.75" customHeight="1">
      <c r="A64" s="731" t="s">
        <v>1879</v>
      </c>
      <c r="B64" s="732">
        <v>44953</v>
      </c>
      <c r="C64" s="733" t="s">
        <v>1597</v>
      </c>
      <c r="D64" s="733" t="s">
        <v>1598</v>
      </c>
      <c r="E64" s="734">
        <v>6.2</v>
      </c>
      <c r="F64" s="731" t="s">
        <v>1599</v>
      </c>
      <c r="G64" s="735" t="s">
        <v>1600</v>
      </c>
      <c r="H64" s="731" t="s">
        <v>1880</v>
      </c>
      <c r="I64" s="736">
        <v>13558</v>
      </c>
      <c r="J64" s="735" t="s">
        <v>1599</v>
      </c>
      <c r="K64" s="737">
        <v>3860</v>
      </c>
      <c r="L64" s="738">
        <f t="shared" si="3"/>
        <v>15005</v>
      </c>
      <c r="M64" s="742">
        <v>18865</v>
      </c>
      <c r="N64" s="843">
        <v>12414</v>
      </c>
      <c r="O64" s="710">
        <f t="shared" si="0"/>
        <v>76.966800000000006</v>
      </c>
      <c r="P64" s="711">
        <f t="shared" si="1"/>
        <v>2.4052125000000002</v>
      </c>
      <c r="Q64" s="712">
        <f t="shared" si="2"/>
        <v>168309.01199999999</v>
      </c>
    </row>
    <row r="65" spans="1:17" ht="15.75" customHeight="1">
      <c r="A65" s="722" t="s">
        <v>1881</v>
      </c>
      <c r="B65" s="723">
        <v>44953</v>
      </c>
      <c r="C65" s="724" t="s">
        <v>1597</v>
      </c>
      <c r="D65" s="724" t="s">
        <v>1598</v>
      </c>
      <c r="E65" s="725">
        <v>6.2</v>
      </c>
      <c r="F65" s="722" t="s">
        <v>1599</v>
      </c>
      <c r="G65" s="726" t="s">
        <v>1600</v>
      </c>
      <c r="H65" s="722" t="s">
        <v>1809</v>
      </c>
      <c r="I65" s="727">
        <v>15168</v>
      </c>
      <c r="J65" s="726" t="s">
        <v>1599</v>
      </c>
      <c r="K65" s="728">
        <v>3700</v>
      </c>
      <c r="L65" s="729">
        <f t="shared" si="3"/>
        <v>17077</v>
      </c>
      <c r="M65" s="741">
        <v>20777</v>
      </c>
      <c r="N65" s="842">
        <v>15333.35</v>
      </c>
      <c r="O65" s="710">
        <f t="shared" si="0"/>
        <v>95.066770000000005</v>
      </c>
      <c r="P65" s="711">
        <f t="shared" si="1"/>
        <v>2.9708365625000002</v>
      </c>
      <c r="Q65" s="712">
        <f t="shared" si="2"/>
        <v>232576.25280000002</v>
      </c>
    </row>
    <row r="66" spans="1:17" ht="15.75" customHeight="1">
      <c r="A66" s="731" t="s">
        <v>1882</v>
      </c>
      <c r="B66" s="732">
        <v>44953</v>
      </c>
      <c r="C66" s="733" t="s">
        <v>1597</v>
      </c>
      <c r="D66" s="733" t="s">
        <v>1598</v>
      </c>
      <c r="E66" s="734">
        <v>6.2</v>
      </c>
      <c r="F66" s="731" t="s">
        <v>1599</v>
      </c>
      <c r="G66" s="735" t="s">
        <v>1600</v>
      </c>
      <c r="H66" s="731" t="s">
        <v>1809</v>
      </c>
      <c r="I66" s="736">
        <v>15168</v>
      </c>
      <c r="J66" s="735" t="s">
        <v>1599</v>
      </c>
      <c r="K66" s="737">
        <v>3700</v>
      </c>
      <c r="L66" s="738">
        <f t="shared" si="3"/>
        <v>15320</v>
      </c>
      <c r="M66" s="742">
        <v>19020</v>
      </c>
      <c r="N66" s="843">
        <v>12558</v>
      </c>
      <c r="O66" s="710">
        <f t="shared" si="0"/>
        <v>77.8596</v>
      </c>
      <c r="P66" s="711">
        <f t="shared" si="1"/>
        <v>2.4331125</v>
      </c>
      <c r="Q66" s="712">
        <f t="shared" si="2"/>
        <v>190479.74400000001</v>
      </c>
    </row>
    <row r="67" spans="1:17" ht="15.75" customHeight="1">
      <c r="A67" s="722" t="s">
        <v>1883</v>
      </c>
      <c r="B67" s="723">
        <v>44953</v>
      </c>
      <c r="C67" s="724" t="s">
        <v>1597</v>
      </c>
      <c r="D67" s="724" t="s">
        <v>1598</v>
      </c>
      <c r="E67" s="725">
        <v>6.2</v>
      </c>
      <c r="F67" s="722" t="s">
        <v>1599</v>
      </c>
      <c r="G67" s="726" t="s">
        <v>1600</v>
      </c>
      <c r="H67" s="722" t="s">
        <v>1884</v>
      </c>
      <c r="I67" s="727">
        <v>13413</v>
      </c>
      <c r="J67" s="726" t="s">
        <v>1599</v>
      </c>
      <c r="K67" s="728">
        <v>3840</v>
      </c>
      <c r="L67" s="729">
        <f t="shared" si="3"/>
        <v>14839</v>
      </c>
      <c r="M67" s="728">
        <v>18679</v>
      </c>
      <c r="N67" s="842">
        <v>12511.2</v>
      </c>
      <c r="O67" s="710">
        <f t="shared" si="0"/>
        <v>77.56944</v>
      </c>
      <c r="P67" s="711">
        <f t="shared" si="1"/>
        <v>2.424045</v>
      </c>
      <c r="Q67" s="712">
        <f t="shared" si="2"/>
        <v>167812.72560000003</v>
      </c>
    </row>
    <row r="68" spans="1:17" ht="15.75" customHeight="1">
      <c r="A68" s="731" t="s">
        <v>1885</v>
      </c>
      <c r="B68" s="732">
        <v>44952</v>
      </c>
      <c r="C68" s="733" t="s">
        <v>1597</v>
      </c>
      <c r="D68" s="733" t="s">
        <v>1598</v>
      </c>
      <c r="E68" s="734">
        <v>7.1</v>
      </c>
      <c r="F68" s="731" t="s">
        <v>1599</v>
      </c>
      <c r="G68" s="735" t="s">
        <v>1600</v>
      </c>
      <c r="H68" s="731" t="s">
        <v>1886</v>
      </c>
      <c r="I68" s="736">
        <v>13877</v>
      </c>
      <c r="J68" s="735" t="s">
        <v>1599</v>
      </c>
      <c r="K68" s="737">
        <v>3840</v>
      </c>
      <c r="L68" s="738">
        <f t="shared" si="3"/>
        <v>10189.799999999999</v>
      </c>
      <c r="M68" s="742">
        <v>14029.8</v>
      </c>
      <c r="N68" s="843">
        <v>7660</v>
      </c>
      <c r="O68" s="710">
        <f t="shared" si="0"/>
        <v>54.386000000000003</v>
      </c>
      <c r="P68" s="711">
        <f t="shared" si="1"/>
        <v>1.6995625000000001</v>
      </c>
      <c r="Q68" s="712">
        <f t="shared" si="2"/>
        <v>106297.82</v>
      </c>
    </row>
    <row r="69" spans="1:17" ht="15.75" customHeight="1">
      <c r="A69" s="722" t="s">
        <v>1887</v>
      </c>
      <c r="B69" s="723">
        <v>44952</v>
      </c>
      <c r="C69" s="724" t="s">
        <v>1597</v>
      </c>
      <c r="D69" s="724" t="s">
        <v>1598</v>
      </c>
      <c r="E69" s="725">
        <v>7.1</v>
      </c>
      <c r="F69" s="722" t="s">
        <v>1599</v>
      </c>
      <c r="G69" s="726" t="s">
        <v>1600</v>
      </c>
      <c r="H69" s="722" t="s">
        <v>1886</v>
      </c>
      <c r="I69" s="727">
        <v>13877</v>
      </c>
      <c r="J69" s="726" t="s">
        <v>1599</v>
      </c>
      <c r="K69" s="728">
        <v>3700</v>
      </c>
      <c r="L69" s="729">
        <f t="shared" si="3"/>
        <v>12014</v>
      </c>
      <c r="M69" s="741">
        <v>15714</v>
      </c>
      <c r="N69" s="842">
        <v>8988</v>
      </c>
      <c r="O69" s="710">
        <f t="shared" si="0"/>
        <v>63.814799999999998</v>
      </c>
      <c r="P69" s="711">
        <f t="shared" si="1"/>
        <v>1.9942124999999999</v>
      </c>
      <c r="Q69" s="712">
        <f t="shared" si="2"/>
        <v>124726.476</v>
      </c>
    </row>
    <row r="70" spans="1:17" ht="15.75" customHeight="1">
      <c r="A70" s="731" t="s">
        <v>1888</v>
      </c>
      <c r="B70" s="732">
        <v>44952</v>
      </c>
      <c r="C70" s="733" t="s">
        <v>1597</v>
      </c>
      <c r="D70" s="733" t="s">
        <v>1598</v>
      </c>
      <c r="E70" s="734">
        <v>7.1</v>
      </c>
      <c r="F70" s="731" t="s">
        <v>1599</v>
      </c>
      <c r="G70" s="735" t="s">
        <v>1600</v>
      </c>
      <c r="H70" s="731" t="s">
        <v>1886</v>
      </c>
      <c r="I70" s="736">
        <v>13877</v>
      </c>
      <c r="J70" s="735" t="s">
        <v>1599</v>
      </c>
      <c r="K70" s="737">
        <v>3900</v>
      </c>
      <c r="L70" s="738">
        <f t="shared" si="3"/>
        <v>19599.5</v>
      </c>
      <c r="M70" s="742">
        <v>23499.5</v>
      </c>
      <c r="N70" s="843">
        <v>15795</v>
      </c>
      <c r="O70" s="710">
        <f t="shared" ref="O70:O133" si="4">N70*E70/1000</f>
        <v>112.14449999999999</v>
      </c>
      <c r="P70" s="711">
        <f t="shared" ref="P70:P133" si="5">O70/32</f>
        <v>3.5045156249999998</v>
      </c>
      <c r="Q70" s="712">
        <f t="shared" ref="Q70:Q133" si="6">N70*I70/1000</f>
        <v>219187.215</v>
      </c>
    </row>
    <row r="71" spans="1:17" ht="15.75" customHeight="1">
      <c r="A71" s="722" t="s">
        <v>1889</v>
      </c>
      <c r="B71" s="723">
        <v>44952</v>
      </c>
      <c r="C71" s="724" t="s">
        <v>1597</v>
      </c>
      <c r="D71" s="724" t="s">
        <v>1598</v>
      </c>
      <c r="E71" s="725">
        <v>7.1</v>
      </c>
      <c r="F71" s="722" t="s">
        <v>1599</v>
      </c>
      <c r="G71" s="726" t="s">
        <v>1600</v>
      </c>
      <c r="H71" s="722" t="s">
        <v>1886</v>
      </c>
      <c r="I71" s="727">
        <v>13877</v>
      </c>
      <c r="J71" s="726" t="s">
        <v>1599</v>
      </c>
      <c r="K71" s="728">
        <v>3840</v>
      </c>
      <c r="L71" s="729">
        <f t="shared" si="3"/>
        <v>19599.5</v>
      </c>
      <c r="M71" s="741">
        <v>23439.5</v>
      </c>
      <c r="N71" s="842">
        <v>15795</v>
      </c>
      <c r="O71" s="710">
        <f t="shared" si="4"/>
        <v>112.14449999999999</v>
      </c>
      <c r="P71" s="711">
        <f t="shared" si="5"/>
        <v>3.5045156249999998</v>
      </c>
      <c r="Q71" s="712">
        <f t="shared" si="6"/>
        <v>219187.215</v>
      </c>
    </row>
    <row r="72" spans="1:17" ht="15.75" customHeight="1">
      <c r="A72" s="731" t="s">
        <v>1890</v>
      </c>
      <c r="B72" s="732">
        <v>44957</v>
      </c>
      <c r="C72" s="733" t="s">
        <v>1597</v>
      </c>
      <c r="D72" s="733" t="s">
        <v>1598</v>
      </c>
      <c r="E72" s="734">
        <v>5.2</v>
      </c>
      <c r="F72" s="731" t="s">
        <v>1599</v>
      </c>
      <c r="G72" s="735" t="s">
        <v>1600</v>
      </c>
      <c r="H72" s="731" t="s">
        <v>1844</v>
      </c>
      <c r="I72" s="736">
        <v>5727</v>
      </c>
      <c r="J72" s="735" t="s">
        <v>1599</v>
      </c>
      <c r="K72" s="737">
        <v>2265</v>
      </c>
      <c r="L72" s="738">
        <f t="shared" si="3"/>
        <v>3639.2</v>
      </c>
      <c r="M72" s="742">
        <v>5904.2</v>
      </c>
      <c r="N72" s="843">
        <v>2567.16</v>
      </c>
      <c r="O72" s="710">
        <f t="shared" si="4"/>
        <v>13.349232000000001</v>
      </c>
      <c r="P72" s="711">
        <f t="shared" si="5"/>
        <v>0.41716350000000002</v>
      </c>
      <c r="Q72" s="712">
        <f t="shared" si="6"/>
        <v>14702.125319999999</v>
      </c>
    </row>
    <row r="73" spans="1:17" ht="15.75" customHeight="1">
      <c r="A73" s="722" t="s">
        <v>1891</v>
      </c>
      <c r="B73" s="723">
        <v>44958</v>
      </c>
      <c r="C73" s="724" t="s">
        <v>1597</v>
      </c>
      <c r="D73" s="724" t="s">
        <v>1598</v>
      </c>
      <c r="E73" s="725">
        <v>6.2</v>
      </c>
      <c r="F73" s="722" t="s">
        <v>1599</v>
      </c>
      <c r="G73" s="726" t="s">
        <v>1600</v>
      </c>
      <c r="H73" s="722" t="s">
        <v>1815</v>
      </c>
      <c r="I73" s="727">
        <v>17387</v>
      </c>
      <c r="J73" s="726" t="s">
        <v>1599</v>
      </c>
      <c r="K73" s="728">
        <v>3830</v>
      </c>
      <c r="L73" s="729">
        <f t="shared" si="3"/>
        <v>19082.07</v>
      </c>
      <c r="M73" s="741">
        <v>22912.07</v>
      </c>
      <c r="N73" s="841">
        <v>16552.45</v>
      </c>
      <c r="O73" s="710">
        <f t="shared" si="4"/>
        <v>102.62519</v>
      </c>
      <c r="P73" s="711">
        <f t="shared" si="5"/>
        <v>3.2070371875000001</v>
      </c>
      <c r="Q73" s="712">
        <f t="shared" si="6"/>
        <v>287797.44815000001</v>
      </c>
    </row>
    <row r="74" spans="1:17" ht="15.75" customHeight="1">
      <c r="A74" s="731" t="s">
        <v>1892</v>
      </c>
      <c r="B74" s="732">
        <v>44956</v>
      </c>
      <c r="C74" s="733" t="s">
        <v>1597</v>
      </c>
      <c r="D74" s="733" t="s">
        <v>1598</v>
      </c>
      <c r="E74" s="734">
        <v>5.2</v>
      </c>
      <c r="F74" s="731" t="s">
        <v>1599</v>
      </c>
      <c r="G74" s="735" t="s">
        <v>1600</v>
      </c>
      <c r="H74" s="731" t="s">
        <v>1893</v>
      </c>
      <c r="I74" s="736">
        <v>2167</v>
      </c>
      <c r="J74" s="735" t="s">
        <v>1599</v>
      </c>
      <c r="K74" s="737">
        <v>2200</v>
      </c>
      <c r="L74" s="738">
        <f t="shared" si="3"/>
        <v>4398.3999999999996</v>
      </c>
      <c r="M74" s="742">
        <v>6598.4</v>
      </c>
      <c r="N74" s="843">
        <v>3272.8</v>
      </c>
      <c r="O74" s="710">
        <f t="shared" si="4"/>
        <v>17.018560000000001</v>
      </c>
      <c r="P74" s="711">
        <f t="shared" si="5"/>
        <v>0.53183000000000002</v>
      </c>
      <c r="Q74" s="712">
        <f t="shared" si="6"/>
        <v>7092.1576000000005</v>
      </c>
    </row>
    <row r="75" spans="1:17" ht="15.75" customHeight="1">
      <c r="A75" s="722" t="s">
        <v>1894</v>
      </c>
      <c r="B75" s="723">
        <v>44956</v>
      </c>
      <c r="C75" s="724" t="s">
        <v>1597</v>
      </c>
      <c r="D75" s="724" t="s">
        <v>1598</v>
      </c>
      <c r="E75" s="725">
        <v>5.2</v>
      </c>
      <c r="F75" s="722" t="s">
        <v>1599</v>
      </c>
      <c r="G75" s="726" t="s">
        <v>1600</v>
      </c>
      <c r="H75" s="722" t="s">
        <v>1880</v>
      </c>
      <c r="I75" s="727">
        <v>13558</v>
      </c>
      <c r="J75" s="726" t="s">
        <v>1599</v>
      </c>
      <c r="K75" s="728">
        <v>3770</v>
      </c>
      <c r="L75" s="729">
        <f t="shared" si="3"/>
        <v>14893.5</v>
      </c>
      <c r="M75" s="741">
        <v>18663.5</v>
      </c>
      <c r="N75" s="842">
        <v>12312.5</v>
      </c>
      <c r="O75" s="710">
        <f t="shared" si="4"/>
        <v>64.025000000000006</v>
      </c>
      <c r="P75" s="711">
        <f t="shared" si="5"/>
        <v>2.0007812500000002</v>
      </c>
      <c r="Q75" s="712">
        <f t="shared" si="6"/>
        <v>166932.875</v>
      </c>
    </row>
    <row r="76" spans="1:17" ht="15.75" customHeight="1">
      <c r="A76" s="731" t="s">
        <v>1895</v>
      </c>
      <c r="B76" s="732">
        <v>44953</v>
      </c>
      <c r="C76" s="733" t="s">
        <v>1597</v>
      </c>
      <c r="D76" s="733" t="s">
        <v>1598</v>
      </c>
      <c r="E76" s="734">
        <v>11.9</v>
      </c>
      <c r="F76" s="731" t="s">
        <v>1599</v>
      </c>
      <c r="G76" s="735" t="s">
        <v>1600</v>
      </c>
      <c r="H76" s="731" t="s">
        <v>1854</v>
      </c>
      <c r="I76" s="736">
        <v>8865</v>
      </c>
      <c r="J76" s="735" t="s">
        <v>1599</v>
      </c>
      <c r="K76" s="737">
        <v>2230</v>
      </c>
      <c r="L76" s="738">
        <f t="shared" si="3"/>
        <v>10775.5</v>
      </c>
      <c r="M76" s="737">
        <v>13005.5</v>
      </c>
      <c r="N76" s="843">
        <v>9915</v>
      </c>
      <c r="O76" s="710">
        <f t="shared" si="4"/>
        <v>117.9885</v>
      </c>
      <c r="P76" s="711">
        <f t="shared" si="5"/>
        <v>3.6871406250000001</v>
      </c>
      <c r="Q76" s="712">
        <f t="shared" si="6"/>
        <v>87896.475000000006</v>
      </c>
    </row>
    <row r="77" spans="1:17" ht="15.75" customHeight="1">
      <c r="A77" s="722" t="s">
        <v>1896</v>
      </c>
      <c r="B77" s="723">
        <v>44957</v>
      </c>
      <c r="C77" s="724" t="s">
        <v>1597</v>
      </c>
      <c r="D77" s="724" t="s">
        <v>1598</v>
      </c>
      <c r="E77" s="725">
        <v>6.2</v>
      </c>
      <c r="F77" s="722" t="s">
        <v>1599</v>
      </c>
      <c r="G77" s="726" t="s">
        <v>1600</v>
      </c>
      <c r="H77" s="722" t="s">
        <v>1836</v>
      </c>
      <c r="I77" s="727">
        <v>14544</v>
      </c>
      <c r="J77" s="726" t="s">
        <v>1599</v>
      </c>
      <c r="K77" s="728">
        <v>3870</v>
      </c>
      <c r="L77" s="729">
        <f t="shared" si="3"/>
        <v>13950.400000000001</v>
      </c>
      <c r="M77" s="741">
        <v>17820.400000000001</v>
      </c>
      <c r="N77" s="842">
        <v>12112.5</v>
      </c>
      <c r="O77" s="710">
        <f t="shared" si="4"/>
        <v>75.097499999999997</v>
      </c>
      <c r="P77" s="711">
        <f t="shared" si="5"/>
        <v>2.3467968749999999</v>
      </c>
      <c r="Q77" s="712">
        <f t="shared" si="6"/>
        <v>176164.2</v>
      </c>
    </row>
    <row r="78" spans="1:17" ht="15.75" customHeight="1">
      <c r="A78" s="731" t="s">
        <v>1897</v>
      </c>
      <c r="B78" s="732">
        <v>44957</v>
      </c>
      <c r="C78" s="733" t="s">
        <v>1597</v>
      </c>
      <c r="D78" s="733" t="s">
        <v>1598</v>
      </c>
      <c r="E78" s="734">
        <v>6.5</v>
      </c>
      <c r="F78" s="731" t="s">
        <v>1599</v>
      </c>
      <c r="G78" s="735" t="s">
        <v>1600</v>
      </c>
      <c r="H78" s="731" t="s">
        <v>1809</v>
      </c>
      <c r="I78" s="736">
        <v>15168</v>
      </c>
      <c r="J78" s="735" t="s">
        <v>1599</v>
      </c>
      <c r="K78" s="737">
        <v>3810</v>
      </c>
      <c r="L78" s="738">
        <f t="shared" si="3"/>
        <v>18727</v>
      </c>
      <c r="M78" s="742">
        <v>22537</v>
      </c>
      <c r="N78" s="843">
        <v>14962.5</v>
      </c>
      <c r="O78" s="710">
        <f t="shared" si="4"/>
        <v>97.256249999999994</v>
      </c>
      <c r="P78" s="711">
        <f t="shared" si="5"/>
        <v>3.0392578124999998</v>
      </c>
      <c r="Q78" s="712">
        <f t="shared" si="6"/>
        <v>226951.2</v>
      </c>
    </row>
    <row r="79" spans="1:17" ht="15.75" customHeight="1">
      <c r="A79" s="722" t="s">
        <v>1898</v>
      </c>
      <c r="B79" s="723">
        <v>44958</v>
      </c>
      <c r="C79" s="724" t="s">
        <v>1597</v>
      </c>
      <c r="D79" s="724" t="s">
        <v>1598</v>
      </c>
      <c r="E79" s="725">
        <v>6.2</v>
      </c>
      <c r="F79" s="722" t="s">
        <v>1599</v>
      </c>
      <c r="G79" s="726" t="s">
        <v>1600</v>
      </c>
      <c r="H79" s="722" t="s">
        <v>1825</v>
      </c>
      <c r="I79" s="727">
        <v>15486</v>
      </c>
      <c r="J79" s="726" t="s">
        <v>1599</v>
      </c>
      <c r="K79" s="728">
        <v>3700</v>
      </c>
      <c r="L79" s="729">
        <f t="shared" si="3"/>
        <v>9793.4</v>
      </c>
      <c r="M79" s="741">
        <v>13493.4</v>
      </c>
      <c r="N79" s="841">
        <v>7122</v>
      </c>
      <c r="O79" s="710">
        <f t="shared" si="4"/>
        <v>44.156400000000005</v>
      </c>
      <c r="P79" s="711">
        <f t="shared" si="5"/>
        <v>1.3798875000000002</v>
      </c>
      <c r="Q79" s="712">
        <f t="shared" si="6"/>
        <v>110291.292</v>
      </c>
    </row>
    <row r="80" spans="1:17" ht="15.75" customHeight="1">
      <c r="A80" s="722" t="s">
        <v>1899</v>
      </c>
      <c r="B80" s="723">
        <v>44960</v>
      </c>
      <c r="C80" s="724" t="s">
        <v>1597</v>
      </c>
      <c r="D80" s="724" t="s">
        <v>1598</v>
      </c>
      <c r="E80" s="725">
        <v>6.5</v>
      </c>
      <c r="F80" s="722" t="s">
        <v>1599</v>
      </c>
      <c r="G80" s="722" t="s">
        <v>1600</v>
      </c>
      <c r="H80" s="722" t="s">
        <v>1850</v>
      </c>
      <c r="I80" s="727">
        <v>9687</v>
      </c>
      <c r="J80" s="726" t="s">
        <v>1599</v>
      </c>
      <c r="K80" s="728">
        <v>3900</v>
      </c>
      <c r="L80" s="743">
        <f t="shared" ref="L80:L104" si="7">M80-K80</f>
        <v>25027</v>
      </c>
      <c r="M80" s="741">
        <v>28927</v>
      </c>
      <c r="N80" s="842">
        <v>23842</v>
      </c>
      <c r="O80" s="710">
        <f t="shared" si="4"/>
        <v>154.97300000000001</v>
      </c>
      <c r="P80" s="711">
        <f t="shared" si="5"/>
        <v>4.8429062500000004</v>
      </c>
      <c r="Q80" s="712">
        <f t="shared" si="6"/>
        <v>230957.454</v>
      </c>
    </row>
    <row r="81" spans="1:17" ht="15.75" customHeight="1">
      <c r="A81" s="731" t="s">
        <v>1900</v>
      </c>
      <c r="B81" s="732">
        <v>44964</v>
      </c>
      <c r="C81" s="733" t="s">
        <v>1597</v>
      </c>
      <c r="D81" s="733" t="s">
        <v>1598</v>
      </c>
      <c r="E81" s="734">
        <v>6.2</v>
      </c>
      <c r="F81" s="731" t="s">
        <v>1599</v>
      </c>
      <c r="G81" s="731" t="s">
        <v>1600</v>
      </c>
      <c r="H81" s="731" t="s">
        <v>1828</v>
      </c>
      <c r="I81" s="736">
        <v>7448</v>
      </c>
      <c r="J81" s="735" t="s">
        <v>1599</v>
      </c>
      <c r="K81" s="737">
        <v>3860</v>
      </c>
      <c r="L81" s="744">
        <f t="shared" si="7"/>
        <v>10542</v>
      </c>
      <c r="M81" s="739">
        <v>14402</v>
      </c>
      <c r="N81" s="843">
        <v>5202</v>
      </c>
      <c r="O81" s="710">
        <f t="shared" si="4"/>
        <v>32.252400000000002</v>
      </c>
      <c r="P81" s="711">
        <f t="shared" si="5"/>
        <v>1.0078875</v>
      </c>
      <c r="Q81" s="712">
        <f t="shared" si="6"/>
        <v>38744.495999999999</v>
      </c>
    </row>
    <row r="82" spans="1:17" ht="15.75" customHeight="1">
      <c r="A82" s="722" t="s">
        <v>1901</v>
      </c>
      <c r="B82" s="723">
        <v>44964</v>
      </c>
      <c r="C82" s="724" t="s">
        <v>1597</v>
      </c>
      <c r="D82" s="724" t="s">
        <v>1598</v>
      </c>
      <c r="E82" s="725">
        <v>6.2</v>
      </c>
      <c r="F82" s="722" t="s">
        <v>1599</v>
      </c>
      <c r="G82" s="722" t="s">
        <v>1600</v>
      </c>
      <c r="H82" s="722" t="s">
        <v>1828</v>
      </c>
      <c r="I82" s="727">
        <v>7448</v>
      </c>
      <c r="J82" s="726" t="s">
        <v>1599</v>
      </c>
      <c r="K82" s="728">
        <v>3700</v>
      </c>
      <c r="L82" s="743">
        <f t="shared" si="7"/>
        <v>10542</v>
      </c>
      <c r="M82" s="730">
        <v>14242</v>
      </c>
      <c r="N82" s="842">
        <v>5202</v>
      </c>
      <c r="O82" s="710">
        <f t="shared" si="4"/>
        <v>32.252400000000002</v>
      </c>
      <c r="P82" s="711">
        <f t="shared" si="5"/>
        <v>1.0078875</v>
      </c>
      <c r="Q82" s="712">
        <f t="shared" si="6"/>
        <v>38744.495999999999</v>
      </c>
    </row>
    <row r="83" spans="1:17" ht="15.75" customHeight="1">
      <c r="A83" s="731" t="s">
        <v>1902</v>
      </c>
      <c r="B83" s="732">
        <v>44959</v>
      </c>
      <c r="C83" s="733" t="s">
        <v>1597</v>
      </c>
      <c r="D83" s="733" t="s">
        <v>1598</v>
      </c>
      <c r="E83" s="734">
        <v>6.2</v>
      </c>
      <c r="F83" s="733" t="s">
        <v>1599</v>
      </c>
      <c r="G83" s="733" t="s">
        <v>1600</v>
      </c>
      <c r="H83" s="731" t="s">
        <v>1809</v>
      </c>
      <c r="I83" s="736">
        <v>15168</v>
      </c>
      <c r="J83" s="740" t="s">
        <v>1599</v>
      </c>
      <c r="K83" s="737">
        <v>3660</v>
      </c>
      <c r="L83" s="744">
        <f t="shared" si="7"/>
        <v>16200</v>
      </c>
      <c r="M83" s="742">
        <v>19860</v>
      </c>
      <c r="N83" s="843">
        <v>13083</v>
      </c>
      <c r="O83" s="710">
        <f t="shared" si="4"/>
        <v>81.11460000000001</v>
      </c>
      <c r="P83" s="711">
        <f t="shared" si="5"/>
        <v>2.5348312500000003</v>
      </c>
      <c r="Q83" s="712">
        <f t="shared" si="6"/>
        <v>198442.94399999999</v>
      </c>
    </row>
    <row r="84" spans="1:17" ht="15.75" customHeight="1">
      <c r="A84" s="722" t="s">
        <v>1903</v>
      </c>
      <c r="B84" s="723">
        <v>44963</v>
      </c>
      <c r="C84" s="724" t="s">
        <v>1597</v>
      </c>
      <c r="D84" s="724" t="s">
        <v>1598</v>
      </c>
      <c r="E84" s="725">
        <v>5.3</v>
      </c>
      <c r="F84" s="722" t="s">
        <v>1599</v>
      </c>
      <c r="G84" s="722" t="s">
        <v>1600</v>
      </c>
      <c r="H84" s="722" t="s">
        <v>1809</v>
      </c>
      <c r="I84" s="727">
        <v>15168</v>
      </c>
      <c r="J84" s="726" t="s">
        <v>1599</v>
      </c>
      <c r="K84" s="728">
        <v>3850</v>
      </c>
      <c r="L84" s="743">
        <f t="shared" si="7"/>
        <v>19078</v>
      </c>
      <c r="M84" s="741">
        <v>22928</v>
      </c>
      <c r="N84" s="842">
        <v>16275</v>
      </c>
      <c r="O84" s="710">
        <f t="shared" si="4"/>
        <v>86.257499999999993</v>
      </c>
      <c r="P84" s="711">
        <f t="shared" si="5"/>
        <v>2.6955468749999998</v>
      </c>
      <c r="Q84" s="712">
        <f t="shared" si="6"/>
        <v>246859.2</v>
      </c>
    </row>
    <row r="85" spans="1:17" ht="15.75" customHeight="1">
      <c r="A85" s="731" t="s">
        <v>1904</v>
      </c>
      <c r="B85" s="732">
        <v>44961</v>
      </c>
      <c r="C85" s="733" t="s">
        <v>1597</v>
      </c>
      <c r="D85" s="733" t="s">
        <v>1598</v>
      </c>
      <c r="E85" s="734">
        <v>6</v>
      </c>
      <c r="F85" s="731" t="s">
        <v>1599</v>
      </c>
      <c r="G85" s="731" t="s">
        <v>1600</v>
      </c>
      <c r="H85" s="731" t="s">
        <v>1809</v>
      </c>
      <c r="I85" s="736">
        <v>15168</v>
      </c>
      <c r="J85" s="735" t="s">
        <v>1599</v>
      </c>
      <c r="K85" s="737">
        <v>3700</v>
      </c>
      <c r="L85" s="744">
        <f t="shared" si="7"/>
        <v>19078</v>
      </c>
      <c r="M85" s="742">
        <v>22778</v>
      </c>
      <c r="N85" s="843">
        <v>16275</v>
      </c>
      <c r="O85" s="710">
        <f t="shared" si="4"/>
        <v>97.65</v>
      </c>
      <c r="P85" s="711">
        <f t="shared" si="5"/>
        <v>3.0515625000000002</v>
      </c>
      <c r="Q85" s="712">
        <f t="shared" si="6"/>
        <v>246859.2</v>
      </c>
    </row>
    <row r="86" spans="1:17" ht="15.75" customHeight="1">
      <c r="A86" s="722" t="s">
        <v>1905</v>
      </c>
      <c r="B86" s="723">
        <v>44985</v>
      </c>
      <c r="C86" s="724" t="s">
        <v>1597</v>
      </c>
      <c r="D86" s="724" t="s">
        <v>1598</v>
      </c>
      <c r="E86" s="725">
        <v>6.2</v>
      </c>
      <c r="F86" s="722" t="s">
        <v>1599</v>
      </c>
      <c r="G86" s="722" t="s">
        <v>1600</v>
      </c>
      <c r="H86" s="722" t="s">
        <v>1884</v>
      </c>
      <c r="I86" s="727">
        <v>13413</v>
      </c>
      <c r="J86" s="726" t="s">
        <v>1599</v>
      </c>
      <c r="K86" s="728">
        <v>3700</v>
      </c>
      <c r="L86" s="743">
        <f t="shared" si="7"/>
        <v>14839</v>
      </c>
      <c r="M86" s="730">
        <v>18539</v>
      </c>
      <c r="N86" s="842">
        <v>12511.2</v>
      </c>
      <c r="O86" s="710">
        <f t="shared" si="4"/>
        <v>77.56944</v>
      </c>
      <c r="P86" s="711">
        <f t="shared" si="5"/>
        <v>2.424045</v>
      </c>
      <c r="Q86" s="712">
        <f t="shared" si="6"/>
        <v>167812.72560000003</v>
      </c>
    </row>
    <row r="87" spans="1:17" ht="15.75" customHeight="1">
      <c r="A87" s="731" t="s">
        <v>1906</v>
      </c>
      <c r="B87" s="732">
        <v>44960</v>
      </c>
      <c r="C87" s="733" t="s">
        <v>1597</v>
      </c>
      <c r="D87" s="733" t="s">
        <v>1598</v>
      </c>
      <c r="E87" s="734">
        <v>5.3</v>
      </c>
      <c r="F87" s="731" t="s">
        <v>1599</v>
      </c>
      <c r="G87" s="731" t="s">
        <v>1600</v>
      </c>
      <c r="H87" s="731" t="s">
        <v>1818</v>
      </c>
      <c r="I87" s="736">
        <v>14000</v>
      </c>
      <c r="J87" s="735" t="s">
        <v>1599</v>
      </c>
      <c r="K87" s="737">
        <v>3830</v>
      </c>
      <c r="L87" s="744">
        <f t="shared" si="7"/>
        <v>18035.259999999998</v>
      </c>
      <c r="M87" s="742">
        <v>21865.26</v>
      </c>
      <c r="N87" s="843">
        <v>15154.58</v>
      </c>
      <c r="O87" s="710">
        <f t="shared" si="4"/>
        <v>80.319273999999993</v>
      </c>
      <c r="P87" s="711">
        <f t="shared" si="5"/>
        <v>2.5099773124999998</v>
      </c>
      <c r="Q87" s="712">
        <f t="shared" si="6"/>
        <v>212164.12</v>
      </c>
    </row>
    <row r="88" spans="1:17" ht="15.75" customHeight="1">
      <c r="A88" s="722" t="s">
        <v>1907</v>
      </c>
      <c r="B88" s="723">
        <v>44961</v>
      </c>
      <c r="C88" s="724" t="s">
        <v>1597</v>
      </c>
      <c r="D88" s="724" t="s">
        <v>1598</v>
      </c>
      <c r="E88" s="725">
        <v>6</v>
      </c>
      <c r="F88" s="722" t="s">
        <v>1599</v>
      </c>
      <c r="G88" s="722" t="s">
        <v>1600</v>
      </c>
      <c r="H88" s="722" t="s">
        <v>1908</v>
      </c>
      <c r="I88" s="727">
        <v>6579</v>
      </c>
      <c r="J88" s="726" t="s">
        <v>1599</v>
      </c>
      <c r="K88" s="728">
        <v>3900</v>
      </c>
      <c r="L88" s="743">
        <f t="shared" si="7"/>
        <v>10335.379999999999</v>
      </c>
      <c r="M88" s="741">
        <v>14235.38</v>
      </c>
      <c r="N88" s="842">
        <v>8194.0499999999993</v>
      </c>
      <c r="O88" s="710">
        <f t="shared" si="4"/>
        <v>49.164299999999997</v>
      </c>
      <c r="P88" s="711">
        <f t="shared" si="5"/>
        <v>1.5363843749999999</v>
      </c>
      <c r="Q88" s="712">
        <f t="shared" si="6"/>
        <v>53908.654949999996</v>
      </c>
    </row>
    <row r="89" spans="1:17" ht="15.75" customHeight="1">
      <c r="A89" s="731" t="s">
        <v>1909</v>
      </c>
      <c r="B89" s="732">
        <v>44960</v>
      </c>
      <c r="C89" s="733" t="s">
        <v>1597</v>
      </c>
      <c r="D89" s="733" t="s">
        <v>1598</v>
      </c>
      <c r="E89" s="734">
        <v>11.9</v>
      </c>
      <c r="F89" s="731" t="s">
        <v>1599</v>
      </c>
      <c r="G89" s="731" t="s">
        <v>1600</v>
      </c>
      <c r="H89" s="731" t="s">
        <v>1844</v>
      </c>
      <c r="I89" s="736">
        <v>5727</v>
      </c>
      <c r="J89" s="735" t="s">
        <v>1599</v>
      </c>
      <c r="K89" s="737">
        <v>2200</v>
      </c>
      <c r="L89" s="744">
        <f t="shared" si="7"/>
        <v>6708.15</v>
      </c>
      <c r="M89" s="742">
        <v>8908.15</v>
      </c>
      <c r="N89" s="843">
        <v>5684.31</v>
      </c>
      <c r="O89" s="710">
        <f t="shared" si="4"/>
        <v>67.64328900000001</v>
      </c>
      <c r="P89" s="711">
        <f t="shared" si="5"/>
        <v>2.1138527812500003</v>
      </c>
      <c r="Q89" s="712">
        <f t="shared" si="6"/>
        <v>32554.043369999999</v>
      </c>
    </row>
    <row r="90" spans="1:17" ht="15.75" customHeight="1">
      <c r="A90" s="722" t="s">
        <v>1910</v>
      </c>
      <c r="B90" s="723">
        <v>44960</v>
      </c>
      <c r="C90" s="724" t="s">
        <v>1597</v>
      </c>
      <c r="D90" s="724" t="s">
        <v>1598</v>
      </c>
      <c r="E90" s="725">
        <v>11.9</v>
      </c>
      <c r="F90" s="722" t="s">
        <v>1599</v>
      </c>
      <c r="G90" s="722" t="s">
        <v>1600</v>
      </c>
      <c r="H90" s="722" t="s">
        <v>1846</v>
      </c>
      <c r="I90" s="727">
        <v>5317</v>
      </c>
      <c r="J90" s="726" t="s">
        <v>1599</v>
      </c>
      <c r="K90" s="728">
        <v>2180</v>
      </c>
      <c r="L90" s="743">
        <f t="shared" si="7"/>
        <v>6755.08</v>
      </c>
      <c r="M90" s="741">
        <v>8935.08</v>
      </c>
      <c r="N90" s="842">
        <v>5656.48</v>
      </c>
      <c r="O90" s="710">
        <f t="shared" si="4"/>
        <v>67.312111999999999</v>
      </c>
      <c r="P90" s="711">
        <f t="shared" si="5"/>
        <v>2.1035035</v>
      </c>
      <c r="Q90" s="712">
        <f t="shared" si="6"/>
        <v>30075.504159999997</v>
      </c>
    </row>
    <row r="91" spans="1:17" ht="15.75" customHeight="1">
      <c r="A91" s="731" t="s">
        <v>1911</v>
      </c>
      <c r="B91" s="732">
        <v>44967</v>
      </c>
      <c r="C91" s="733" t="s">
        <v>1597</v>
      </c>
      <c r="D91" s="733" t="s">
        <v>1598</v>
      </c>
      <c r="E91" s="734">
        <v>6.2</v>
      </c>
      <c r="F91" s="731" t="s">
        <v>1599</v>
      </c>
      <c r="G91" s="731" t="s">
        <v>1600</v>
      </c>
      <c r="H91" s="731" t="s">
        <v>1912</v>
      </c>
      <c r="I91" s="736">
        <v>4929</v>
      </c>
      <c r="J91" s="735" t="s">
        <v>1599</v>
      </c>
      <c r="K91" s="737">
        <v>3780</v>
      </c>
      <c r="L91" s="744">
        <f t="shared" si="7"/>
        <v>15269</v>
      </c>
      <c r="M91" s="739">
        <v>19049</v>
      </c>
      <c r="N91" s="843">
        <v>13988.44</v>
      </c>
      <c r="O91" s="710">
        <f t="shared" si="4"/>
        <v>86.728328000000005</v>
      </c>
      <c r="P91" s="711">
        <f t="shared" si="5"/>
        <v>2.7102602500000001</v>
      </c>
      <c r="Q91" s="712">
        <f t="shared" si="6"/>
        <v>68949.020759999999</v>
      </c>
    </row>
    <row r="92" spans="1:17" ht="15.75" customHeight="1">
      <c r="A92" s="722" t="s">
        <v>1913</v>
      </c>
      <c r="B92" s="723">
        <v>44967</v>
      </c>
      <c r="C92" s="724" t="s">
        <v>1597</v>
      </c>
      <c r="D92" s="724" t="s">
        <v>1598</v>
      </c>
      <c r="E92" s="725">
        <v>11.9</v>
      </c>
      <c r="F92" s="722" t="s">
        <v>1599</v>
      </c>
      <c r="G92" s="722" t="s">
        <v>1600</v>
      </c>
      <c r="H92" s="722" t="s">
        <v>1912</v>
      </c>
      <c r="I92" s="727">
        <v>4929</v>
      </c>
      <c r="J92" s="726" t="s">
        <v>1599</v>
      </c>
      <c r="K92" s="728">
        <v>3800</v>
      </c>
      <c r="L92" s="743">
        <f t="shared" si="7"/>
        <v>13020.2</v>
      </c>
      <c r="M92" s="730">
        <v>16820.2</v>
      </c>
      <c r="N92" s="842">
        <v>10330.799999999999</v>
      </c>
      <c r="O92" s="710">
        <f t="shared" si="4"/>
        <v>122.93651999999999</v>
      </c>
      <c r="P92" s="711">
        <f t="shared" si="5"/>
        <v>3.8417662499999996</v>
      </c>
      <c r="Q92" s="712">
        <f t="shared" si="6"/>
        <v>50920.513199999994</v>
      </c>
    </row>
    <row r="93" spans="1:17" ht="15.75" customHeight="1">
      <c r="A93" s="731" t="s">
        <v>1914</v>
      </c>
      <c r="B93" s="732">
        <v>44967</v>
      </c>
      <c r="C93" s="733" t="s">
        <v>1597</v>
      </c>
      <c r="D93" s="733" t="s">
        <v>1598</v>
      </c>
      <c r="E93" s="734">
        <v>11.9</v>
      </c>
      <c r="F93" s="731" t="s">
        <v>1599</v>
      </c>
      <c r="G93" s="731" t="s">
        <v>1600</v>
      </c>
      <c r="H93" s="731" t="s">
        <v>1912</v>
      </c>
      <c r="I93" s="736">
        <v>4929</v>
      </c>
      <c r="J93" s="735" t="s">
        <v>1599</v>
      </c>
      <c r="K93" s="737">
        <v>2180</v>
      </c>
      <c r="L93" s="744">
        <f t="shared" si="7"/>
        <v>7627.9500000000007</v>
      </c>
      <c r="M93" s="742">
        <v>9807.9500000000007</v>
      </c>
      <c r="N93" s="843">
        <v>6535.96</v>
      </c>
      <c r="O93" s="710">
        <f t="shared" si="4"/>
        <v>77.777923999999999</v>
      </c>
      <c r="P93" s="711">
        <f t="shared" si="5"/>
        <v>2.430560125</v>
      </c>
      <c r="Q93" s="712">
        <f t="shared" si="6"/>
        <v>32215.74684</v>
      </c>
    </row>
    <row r="94" spans="1:17" ht="15.75" customHeight="1">
      <c r="A94" s="722" t="s">
        <v>1915</v>
      </c>
      <c r="B94" s="723">
        <v>44967</v>
      </c>
      <c r="C94" s="724" t="s">
        <v>1597</v>
      </c>
      <c r="D94" s="724" t="s">
        <v>1598</v>
      </c>
      <c r="E94" s="725">
        <v>11.9</v>
      </c>
      <c r="F94" s="722" t="s">
        <v>1599</v>
      </c>
      <c r="G94" s="722" t="s">
        <v>1600</v>
      </c>
      <c r="H94" s="722" t="s">
        <v>1912</v>
      </c>
      <c r="I94" s="727">
        <v>4929</v>
      </c>
      <c r="J94" s="726" t="s">
        <v>1599</v>
      </c>
      <c r="K94" s="728">
        <v>3640</v>
      </c>
      <c r="L94" s="743">
        <f t="shared" si="7"/>
        <v>13282.259999999998</v>
      </c>
      <c r="M94" s="741">
        <v>16922.259999999998</v>
      </c>
      <c r="N94" s="842">
        <v>11172.38</v>
      </c>
      <c r="O94" s="710">
        <f t="shared" si="4"/>
        <v>132.95132199999998</v>
      </c>
      <c r="P94" s="711">
        <f t="shared" si="5"/>
        <v>4.1547288124999993</v>
      </c>
      <c r="Q94" s="712">
        <f t="shared" si="6"/>
        <v>55068.661019999992</v>
      </c>
    </row>
    <row r="95" spans="1:17" ht="15.75" customHeight="1">
      <c r="A95" s="731" t="s">
        <v>1916</v>
      </c>
      <c r="B95" s="732">
        <v>44964</v>
      </c>
      <c r="C95" s="733" t="s">
        <v>1597</v>
      </c>
      <c r="D95" s="733" t="s">
        <v>1598</v>
      </c>
      <c r="E95" s="734">
        <v>6.2</v>
      </c>
      <c r="F95" s="731" t="s">
        <v>1599</v>
      </c>
      <c r="G95" s="731" t="s">
        <v>1600</v>
      </c>
      <c r="H95" s="731" t="s">
        <v>1822</v>
      </c>
      <c r="I95" s="736">
        <v>13787</v>
      </c>
      <c r="J95" s="735" t="s">
        <v>1599</v>
      </c>
      <c r="K95" s="737">
        <v>3700</v>
      </c>
      <c r="L95" s="744">
        <f t="shared" si="7"/>
        <v>14669.5</v>
      </c>
      <c r="M95" s="739">
        <v>18369.5</v>
      </c>
      <c r="N95" s="843">
        <v>10271.5</v>
      </c>
      <c r="O95" s="710">
        <f t="shared" si="4"/>
        <v>63.683300000000003</v>
      </c>
      <c r="P95" s="711">
        <f t="shared" si="5"/>
        <v>1.9901031250000001</v>
      </c>
      <c r="Q95" s="712">
        <f t="shared" si="6"/>
        <v>141613.17050000001</v>
      </c>
    </row>
    <row r="96" spans="1:17" ht="15.75" customHeight="1">
      <c r="A96" s="722" t="s">
        <v>1917</v>
      </c>
      <c r="B96" s="723">
        <v>44966</v>
      </c>
      <c r="C96" s="724" t="s">
        <v>1597</v>
      </c>
      <c r="D96" s="724" t="s">
        <v>1598</v>
      </c>
      <c r="E96" s="725">
        <v>6.2</v>
      </c>
      <c r="F96" s="722" t="s">
        <v>1599</v>
      </c>
      <c r="G96" s="722" t="s">
        <v>1600</v>
      </c>
      <c r="H96" s="722" t="s">
        <v>1809</v>
      </c>
      <c r="I96" s="727">
        <v>15168</v>
      </c>
      <c r="J96" s="726" t="s">
        <v>1599</v>
      </c>
      <c r="K96" s="728">
        <v>3630</v>
      </c>
      <c r="L96" s="743">
        <f t="shared" si="7"/>
        <v>17077</v>
      </c>
      <c r="M96" s="730">
        <v>20707</v>
      </c>
      <c r="N96" s="842">
        <v>15333.35</v>
      </c>
      <c r="O96" s="710">
        <f t="shared" si="4"/>
        <v>95.066770000000005</v>
      </c>
      <c r="P96" s="711">
        <f t="shared" si="5"/>
        <v>2.9708365625000002</v>
      </c>
      <c r="Q96" s="712">
        <f t="shared" si="6"/>
        <v>232576.25280000002</v>
      </c>
    </row>
    <row r="97" spans="1:17" ht="15.75" customHeight="1">
      <c r="A97" s="731" t="s">
        <v>1918</v>
      </c>
      <c r="B97" s="732">
        <v>44965</v>
      </c>
      <c r="C97" s="733" t="s">
        <v>1597</v>
      </c>
      <c r="D97" s="733" t="s">
        <v>1598</v>
      </c>
      <c r="E97" s="734">
        <v>11.9</v>
      </c>
      <c r="F97" s="731" t="s">
        <v>1599</v>
      </c>
      <c r="G97" s="731" t="s">
        <v>1600</v>
      </c>
      <c r="H97" s="731" t="s">
        <v>1809</v>
      </c>
      <c r="I97" s="736">
        <v>15168</v>
      </c>
      <c r="J97" s="735" t="s">
        <v>1599</v>
      </c>
      <c r="K97" s="737">
        <v>3820</v>
      </c>
      <c r="L97" s="744">
        <f t="shared" si="7"/>
        <v>19079</v>
      </c>
      <c r="M97" s="739">
        <v>22899</v>
      </c>
      <c r="N97" s="843">
        <v>16275</v>
      </c>
      <c r="O97" s="710">
        <f t="shared" si="4"/>
        <v>193.67250000000001</v>
      </c>
      <c r="P97" s="711">
        <f t="shared" si="5"/>
        <v>6.0522656250000004</v>
      </c>
      <c r="Q97" s="712">
        <f t="shared" si="6"/>
        <v>246859.2</v>
      </c>
    </row>
    <row r="98" spans="1:17" ht="15.75" customHeight="1">
      <c r="A98" s="722" t="s">
        <v>1919</v>
      </c>
      <c r="B98" s="723">
        <v>44972</v>
      </c>
      <c r="C98" s="724" t="s">
        <v>1597</v>
      </c>
      <c r="D98" s="724" t="s">
        <v>1598</v>
      </c>
      <c r="E98" s="725">
        <v>4.9000000000000004</v>
      </c>
      <c r="F98" s="722" t="s">
        <v>1599</v>
      </c>
      <c r="G98" s="722" t="s">
        <v>1600</v>
      </c>
      <c r="H98" s="722" t="s">
        <v>1850</v>
      </c>
      <c r="I98" s="727">
        <v>9687</v>
      </c>
      <c r="J98" s="726" t="s">
        <v>1599</v>
      </c>
      <c r="K98" s="728">
        <v>3700</v>
      </c>
      <c r="L98" s="743">
        <f t="shared" si="7"/>
        <v>19897</v>
      </c>
      <c r="M98" s="741">
        <v>23597</v>
      </c>
      <c r="N98" s="842">
        <v>18561</v>
      </c>
      <c r="O98" s="710">
        <f t="shared" si="4"/>
        <v>90.948900000000009</v>
      </c>
      <c r="P98" s="711">
        <f t="shared" si="5"/>
        <v>2.8421531250000003</v>
      </c>
      <c r="Q98" s="712">
        <f t="shared" si="6"/>
        <v>179800.40700000001</v>
      </c>
    </row>
    <row r="99" spans="1:17" ht="15.75" customHeight="1">
      <c r="A99" s="731" t="s">
        <v>1920</v>
      </c>
      <c r="B99" s="732">
        <v>44965</v>
      </c>
      <c r="C99" s="733" t="s">
        <v>1597</v>
      </c>
      <c r="D99" s="733" t="s">
        <v>1598</v>
      </c>
      <c r="E99" s="734">
        <v>11.9</v>
      </c>
      <c r="F99" s="731" t="s">
        <v>1599</v>
      </c>
      <c r="G99" s="731" t="s">
        <v>1600</v>
      </c>
      <c r="H99" s="731" t="s">
        <v>1809</v>
      </c>
      <c r="I99" s="736">
        <v>15168</v>
      </c>
      <c r="J99" s="735" t="s">
        <v>1599</v>
      </c>
      <c r="K99" s="737">
        <v>3700</v>
      </c>
      <c r="L99" s="744">
        <f t="shared" si="7"/>
        <v>19079</v>
      </c>
      <c r="M99" s="739">
        <v>22779</v>
      </c>
      <c r="N99" s="843">
        <v>16275</v>
      </c>
      <c r="O99" s="710">
        <f t="shared" si="4"/>
        <v>193.67250000000001</v>
      </c>
      <c r="P99" s="711">
        <f t="shared" si="5"/>
        <v>6.0522656250000004</v>
      </c>
      <c r="Q99" s="712">
        <f t="shared" si="6"/>
        <v>246859.2</v>
      </c>
    </row>
    <row r="100" spans="1:17" ht="15.75" customHeight="1">
      <c r="A100" s="722" t="s">
        <v>1921</v>
      </c>
      <c r="B100" s="723">
        <v>44965</v>
      </c>
      <c r="C100" s="724" t="s">
        <v>1597</v>
      </c>
      <c r="D100" s="724" t="s">
        <v>1598</v>
      </c>
      <c r="E100" s="725">
        <v>11.9</v>
      </c>
      <c r="F100" s="722" t="s">
        <v>1599</v>
      </c>
      <c r="G100" s="722" t="s">
        <v>1600</v>
      </c>
      <c r="H100" s="722" t="s">
        <v>1884</v>
      </c>
      <c r="I100" s="727">
        <v>13413</v>
      </c>
      <c r="J100" s="726" t="s">
        <v>1599</v>
      </c>
      <c r="K100" s="728">
        <v>3860</v>
      </c>
      <c r="L100" s="743">
        <f t="shared" si="7"/>
        <v>13513</v>
      </c>
      <c r="M100" s="730">
        <v>17373</v>
      </c>
      <c r="N100" s="842">
        <v>11057</v>
      </c>
      <c r="O100" s="710">
        <f t="shared" si="4"/>
        <v>131.57830000000001</v>
      </c>
      <c r="P100" s="711">
        <f t="shared" si="5"/>
        <v>4.1118218750000004</v>
      </c>
      <c r="Q100" s="712">
        <f t="shared" si="6"/>
        <v>148307.541</v>
      </c>
    </row>
    <row r="101" spans="1:17" ht="15.75" customHeight="1">
      <c r="A101" s="731" t="s">
        <v>1922</v>
      </c>
      <c r="B101" s="732">
        <v>44967</v>
      </c>
      <c r="C101" s="733" t="s">
        <v>1597</v>
      </c>
      <c r="D101" s="733" t="s">
        <v>1598</v>
      </c>
      <c r="E101" s="734">
        <v>11.9</v>
      </c>
      <c r="F101" s="731" t="s">
        <v>1599</v>
      </c>
      <c r="G101" s="731" t="s">
        <v>1600</v>
      </c>
      <c r="H101" s="731" t="s">
        <v>1854</v>
      </c>
      <c r="I101" s="736">
        <v>8865</v>
      </c>
      <c r="J101" s="735" t="s">
        <v>1599</v>
      </c>
      <c r="K101" s="737">
        <v>3745</v>
      </c>
      <c r="L101" s="744">
        <f t="shared" si="7"/>
        <v>22086.75</v>
      </c>
      <c r="M101" s="742">
        <v>25831.75</v>
      </c>
      <c r="N101" s="843">
        <v>20199</v>
      </c>
      <c r="O101" s="710">
        <f t="shared" si="4"/>
        <v>240.3681</v>
      </c>
      <c r="P101" s="711">
        <f t="shared" si="5"/>
        <v>7.5115031249999999</v>
      </c>
      <c r="Q101" s="712">
        <f t="shared" si="6"/>
        <v>179064.13500000001</v>
      </c>
    </row>
    <row r="102" spans="1:17" ht="15.75" customHeight="1">
      <c r="A102" s="722" t="s">
        <v>1923</v>
      </c>
      <c r="B102" s="723">
        <v>44967</v>
      </c>
      <c r="C102" s="724" t="s">
        <v>1597</v>
      </c>
      <c r="D102" s="724" t="s">
        <v>1598</v>
      </c>
      <c r="E102" s="725">
        <v>6</v>
      </c>
      <c r="F102" s="722" t="s">
        <v>1599</v>
      </c>
      <c r="G102" s="722" t="s">
        <v>1600</v>
      </c>
      <c r="H102" s="722" t="s">
        <v>1838</v>
      </c>
      <c r="I102" s="727">
        <v>4972</v>
      </c>
      <c r="J102" s="726" t="s">
        <v>1599</v>
      </c>
      <c r="K102" s="728">
        <v>3820</v>
      </c>
      <c r="L102" s="743">
        <f t="shared" si="7"/>
        <v>11290.74</v>
      </c>
      <c r="M102" s="741">
        <v>15110.74</v>
      </c>
      <c r="N102" s="842">
        <v>8580.01</v>
      </c>
      <c r="O102" s="710">
        <f t="shared" si="4"/>
        <v>51.480059999999995</v>
      </c>
      <c r="P102" s="711">
        <f t="shared" si="5"/>
        <v>1.6087518749999998</v>
      </c>
      <c r="Q102" s="712">
        <f t="shared" si="6"/>
        <v>42659.809719999997</v>
      </c>
    </row>
    <row r="103" spans="1:17" ht="15.75" customHeight="1">
      <c r="A103" s="731" t="s">
        <v>1924</v>
      </c>
      <c r="B103" s="732">
        <v>44972</v>
      </c>
      <c r="C103" s="733" t="s">
        <v>1597</v>
      </c>
      <c r="D103" s="733" t="s">
        <v>1598</v>
      </c>
      <c r="E103" s="734">
        <v>11.9</v>
      </c>
      <c r="F103" s="731" t="s">
        <v>1599</v>
      </c>
      <c r="G103" s="731" t="s">
        <v>1600</v>
      </c>
      <c r="H103" s="731" t="s">
        <v>1807</v>
      </c>
      <c r="I103" s="736">
        <v>1734</v>
      </c>
      <c r="J103" s="735" t="s">
        <v>1599</v>
      </c>
      <c r="K103" s="737">
        <v>3820</v>
      </c>
      <c r="L103" s="744">
        <f t="shared" si="7"/>
        <v>12167.3</v>
      </c>
      <c r="M103" s="742">
        <v>15987.3</v>
      </c>
      <c r="N103" s="843">
        <v>9494.7000000000007</v>
      </c>
      <c r="O103" s="710">
        <f t="shared" si="4"/>
        <v>112.98693</v>
      </c>
      <c r="P103" s="711">
        <f t="shared" si="5"/>
        <v>3.5308415625</v>
      </c>
      <c r="Q103" s="712">
        <f t="shared" si="6"/>
        <v>16463.809799999999</v>
      </c>
    </row>
    <row r="104" spans="1:17" ht="15.75" customHeight="1">
      <c r="A104" s="722" t="s">
        <v>1925</v>
      </c>
      <c r="B104" s="723">
        <v>44964</v>
      </c>
      <c r="C104" s="724" t="s">
        <v>1597</v>
      </c>
      <c r="D104" s="724" t="s">
        <v>1598</v>
      </c>
      <c r="E104" s="725">
        <v>11.9</v>
      </c>
      <c r="F104" s="722" t="s">
        <v>1599</v>
      </c>
      <c r="G104" s="722" t="s">
        <v>1600</v>
      </c>
      <c r="H104" s="722" t="s">
        <v>1798</v>
      </c>
      <c r="I104" s="727">
        <v>1931</v>
      </c>
      <c r="J104" s="726" t="s">
        <v>1599</v>
      </c>
      <c r="K104" s="728">
        <v>5303.5</v>
      </c>
      <c r="L104" s="743">
        <f t="shared" si="7"/>
        <v>956</v>
      </c>
      <c r="M104" s="730">
        <v>6259.5</v>
      </c>
      <c r="N104" s="842">
        <v>5303.5</v>
      </c>
      <c r="O104" s="710">
        <f t="shared" si="4"/>
        <v>63.111650000000004</v>
      </c>
      <c r="P104" s="711">
        <f t="shared" si="5"/>
        <v>1.9722390625000001</v>
      </c>
      <c r="Q104" s="712">
        <f t="shared" si="6"/>
        <v>10241.058499999999</v>
      </c>
    </row>
    <row r="105" spans="1:17" ht="15.75" customHeight="1">
      <c r="A105" s="713" t="s">
        <v>1926</v>
      </c>
      <c r="B105" s="732">
        <v>44966</v>
      </c>
      <c r="C105" s="713" t="s">
        <v>1597</v>
      </c>
      <c r="D105" s="713" t="s">
        <v>1598</v>
      </c>
      <c r="E105" s="715">
        <v>11.9</v>
      </c>
      <c r="F105" s="713" t="s">
        <v>1599</v>
      </c>
      <c r="G105" s="713" t="s">
        <v>1600</v>
      </c>
      <c r="H105" s="731" t="s">
        <v>1798</v>
      </c>
      <c r="I105" s="736">
        <v>1931</v>
      </c>
      <c r="J105" s="718" t="s">
        <v>1599</v>
      </c>
      <c r="K105" s="719">
        <v>3336.51</v>
      </c>
      <c r="L105" s="745">
        <v>1360.48</v>
      </c>
      <c r="M105" s="746">
        <v>4696.99</v>
      </c>
      <c r="N105" s="843">
        <v>3336.51</v>
      </c>
      <c r="O105" s="710">
        <f t="shared" si="4"/>
        <v>39.704469000000003</v>
      </c>
      <c r="P105" s="711">
        <f t="shared" si="5"/>
        <v>1.2407646562500001</v>
      </c>
      <c r="Q105" s="712">
        <f t="shared" si="6"/>
        <v>6442.8008100000006</v>
      </c>
    </row>
    <row r="106" spans="1:17" ht="15.75" customHeight="1">
      <c r="A106" s="722" t="s">
        <v>1927</v>
      </c>
      <c r="B106" s="723">
        <v>44971</v>
      </c>
      <c r="C106" s="724" t="s">
        <v>1597</v>
      </c>
      <c r="D106" s="724" t="s">
        <v>1598</v>
      </c>
      <c r="E106" s="725">
        <v>6</v>
      </c>
      <c r="F106" s="722" t="s">
        <v>1599</v>
      </c>
      <c r="G106" s="722" t="s">
        <v>1600</v>
      </c>
      <c r="H106" s="722" t="s">
        <v>1846</v>
      </c>
      <c r="I106" s="727">
        <v>5317</v>
      </c>
      <c r="J106" s="726" t="s">
        <v>1599</v>
      </c>
      <c r="K106" s="728">
        <v>2210</v>
      </c>
      <c r="L106" s="743">
        <f t="shared" ref="L106:L153" si="8">M106-K106</f>
        <v>3679.16</v>
      </c>
      <c r="M106" s="741">
        <v>5889.16</v>
      </c>
      <c r="N106" s="842">
        <v>2576.88</v>
      </c>
      <c r="O106" s="710">
        <f t="shared" si="4"/>
        <v>15.46128</v>
      </c>
      <c r="P106" s="711">
        <f t="shared" si="5"/>
        <v>0.48316500000000001</v>
      </c>
      <c r="Q106" s="712">
        <f t="shared" si="6"/>
        <v>13701.270960000002</v>
      </c>
    </row>
    <row r="107" spans="1:17" ht="15.75" customHeight="1">
      <c r="A107" s="731" t="s">
        <v>1928</v>
      </c>
      <c r="B107" s="732">
        <v>44971</v>
      </c>
      <c r="C107" s="733" t="s">
        <v>1597</v>
      </c>
      <c r="D107" s="733" t="s">
        <v>1598</v>
      </c>
      <c r="E107" s="734">
        <v>5.3</v>
      </c>
      <c r="F107" s="731" t="s">
        <v>1599</v>
      </c>
      <c r="G107" s="731" t="s">
        <v>1600</v>
      </c>
      <c r="H107" s="731" t="s">
        <v>1815</v>
      </c>
      <c r="I107" s="736">
        <v>17387</v>
      </c>
      <c r="J107" s="735" t="s">
        <v>1599</v>
      </c>
      <c r="K107" s="737">
        <v>3760</v>
      </c>
      <c r="L107" s="744">
        <f t="shared" si="8"/>
        <v>19093.32</v>
      </c>
      <c r="M107" s="742">
        <v>22853.32</v>
      </c>
      <c r="N107" s="843">
        <v>16282.18</v>
      </c>
      <c r="O107" s="710">
        <f t="shared" si="4"/>
        <v>86.29555400000001</v>
      </c>
      <c r="P107" s="711">
        <f t="shared" si="5"/>
        <v>2.6967360625000003</v>
      </c>
      <c r="Q107" s="712">
        <f t="shared" si="6"/>
        <v>283098.26366000006</v>
      </c>
    </row>
    <row r="108" spans="1:17" ht="15.75" customHeight="1">
      <c r="A108" s="722" t="s">
        <v>1929</v>
      </c>
      <c r="B108" s="723">
        <v>44971</v>
      </c>
      <c r="C108" s="724" t="s">
        <v>1597</v>
      </c>
      <c r="D108" s="724" t="s">
        <v>1598</v>
      </c>
      <c r="E108" s="725">
        <v>6.2</v>
      </c>
      <c r="F108" s="722" t="s">
        <v>1599</v>
      </c>
      <c r="G108" s="722" t="s">
        <v>1600</v>
      </c>
      <c r="H108" s="722" t="s">
        <v>1836</v>
      </c>
      <c r="I108" s="727">
        <v>14544</v>
      </c>
      <c r="J108" s="726" t="s">
        <v>1599</v>
      </c>
      <c r="K108" s="728">
        <v>3700</v>
      </c>
      <c r="L108" s="743">
        <f t="shared" si="8"/>
        <v>14839</v>
      </c>
      <c r="M108" s="741">
        <v>18539</v>
      </c>
      <c r="N108" s="842">
        <v>12511.2</v>
      </c>
      <c r="O108" s="710">
        <f t="shared" si="4"/>
        <v>77.56944</v>
      </c>
      <c r="P108" s="711">
        <f t="shared" si="5"/>
        <v>2.424045</v>
      </c>
      <c r="Q108" s="712">
        <f t="shared" si="6"/>
        <v>181962.8928</v>
      </c>
    </row>
    <row r="109" spans="1:17" ht="15.75" customHeight="1">
      <c r="A109" s="731" t="s">
        <v>1930</v>
      </c>
      <c r="B109" s="732">
        <v>44972</v>
      </c>
      <c r="C109" s="733" t="s">
        <v>1597</v>
      </c>
      <c r="D109" s="733" t="s">
        <v>1598</v>
      </c>
      <c r="E109" s="734">
        <v>6.5</v>
      </c>
      <c r="F109" s="731" t="s">
        <v>1599</v>
      </c>
      <c r="G109" s="731" t="s">
        <v>1600</v>
      </c>
      <c r="H109" s="731" t="s">
        <v>1880</v>
      </c>
      <c r="I109" s="736">
        <v>13558</v>
      </c>
      <c r="J109" s="735" t="s">
        <v>1599</v>
      </c>
      <c r="K109" s="737">
        <v>3950</v>
      </c>
      <c r="L109" s="744">
        <f t="shared" si="8"/>
        <v>11206</v>
      </c>
      <c r="M109" s="742">
        <v>15156</v>
      </c>
      <c r="N109" s="843">
        <v>7130</v>
      </c>
      <c r="O109" s="710">
        <f t="shared" si="4"/>
        <v>46.344999999999999</v>
      </c>
      <c r="P109" s="711">
        <f t="shared" si="5"/>
        <v>1.44828125</v>
      </c>
      <c r="Q109" s="712">
        <f t="shared" si="6"/>
        <v>96668.54</v>
      </c>
    </row>
    <row r="110" spans="1:17" ht="15.75" customHeight="1">
      <c r="A110" s="722" t="s">
        <v>1931</v>
      </c>
      <c r="B110" s="723">
        <v>44977</v>
      </c>
      <c r="C110" s="724" t="s">
        <v>1597</v>
      </c>
      <c r="D110" s="724" t="s">
        <v>1598</v>
      </c>
      <c r="E110" s="725">
        <v>6.2</v>
      </c>
      <c r="F110" s="722" t="s">
        <v>1599</v>
      </c>
      <c r="G110" s="722" t="s">
        <v>1600</v>
      </c>
      <c r="H110" s="722" t="s">
        <v>1932</v>
      </c>
      <c r="I110" s="727">
        <v>4823</v>
      </c>
      <c r="J110" s="726" t="s">
        <v>1599</v>
      </c>
      <c r="K110" s="728">
        <v>2080</v>
      </c>
      <c r="L110" s="743">
        <f t="shared" si="8"/>
        <v>5327.7</v>
      </c>
      <c r="M110" s="741">
        <v>7407.7</v>
      </c>
      <c r="N110" s="842">
        <v>4361.25</v>
      </c>
      <c r="O110" s="710">
        <f t="shared" si="4"/>
        <v>27.039750000000002</v>
      </c>
      <c r="P110" s="711">
        <f t="shared" si="5"/>
        <v>0.84499218750000005</v>
      </c>
      <c r="Q110" s="712">
        <f t="shared" si="6"/>
        <v>21034.30875</v>
      </c>
    </row>
    <row r="111" spans="1:17" ht="15.75" customHeight="1">
      <c r="A111" s="731" t="s">
        <v>1933</v>
      </c>
      <c r="B111" s="732">
        <v>44971</v>
      </c>
      <c r="C111" s="733" t="s">
        <v>1597</v>
      </c>
      <c r="D111" s="733" t="s">
        <v>1598</v>
      </c>
      <c r="E111" s="734">
        <v>6.2</v>
      </c>
      <c r="F111" s="731" t="s">
        <v>1599</v>
      </c>
      <c r="G111" s="731" t="s">
        <v>1600</v>
      </c>
      <c r="H111" s="731" t="s">
        <v>1822</v>
      </c>
      <c r="I111" s="736">
        <v>13787</v>
      </c>
      <c r="J111" s="735" t="s">
        <v>1599</v>
      </c>
      <c r="K111" s="737">
        <v>3900</v>
      </c>
      <c r="L111" s="744">
        <f t="shared" si="8"/>
        <v>9602</v>
      </c>
      <c r="M111" s="742">
        <v>13502</v>
      </c>
      <c r="N111" s="843">
        <v>5376</v>
      </c>
      <c r="O111" s="710">
        <f t="shared" si="4"/>
        <v>33.331200000000003</v>
      </c>
      <c r="P111" s="711">
        <f t="shared" si="5"/>
        <v>1.0416000000000001</v>
      </c>
      <c r="Q111" s="712">
        <f t="shared" si="6"/>
        <v>74118.911999999997</v>
      </c>
    </row>
    <row r="112" spans="1:17" ht="15.75" customHeight="1">
      <c r="A112" s="722" t="s">
        <v>1934</v>
      </c>
      <c r="B112" s="723">
        <v>44971</v>
      </c>
      <c r="C112" s="724" t="s">
        <v>1597</v>
      </c>
      <c r="D112" s="724" t="s">
        <v>1598</v>
      </c>
      <c r="E112" s="725">
        <v>6.2</v>
      </c>
      <c r="F112" s="722" t="s">
        <v>1599</v>
      </c>
      <c r="G112" s="722" t="s">
        <v>1600</v>
      </c>
      <c r="H112" s="722" t="s">
        <v>1884</v>
      </c>
      <c r="I112" s="727">
        <v>13413</v>
      </c>
      <c r="J112" s="726" t="s">
        <v>1599</v>
      </c>
      <c r="K112" s="728">
        <v>3830</v>
      </c>
      <c r="L112" s="743">
        <f t="shared" si="8"/>
        <v>16517</v>
      </c>
      <c r="M112" s="741">
        <v>20347</v>
      </c>
      <c r="N112" s="842">
        <v>12697</v>
      </c>
      <c r="O112" s="710">
        <f t="shared" si="4"/>
        <v>78.721400000000003</v>
      </c>
      <c r="P112" s="711">
        <f t="shared" si="5"/>
        <v>2.4600437500000001</v>
      </c>
      <c r="Q112" s="712">
        <f t="shared" si="6"/>
        <v>170304.861</v>
      </c>
    </row>
    <row r="113" spans="1:17" ht="15.75" customHeight="1">
      <c r="A113" s="731" t="s">
        <v>1935</v>
      </c>
      <c r="B113" s="732">
        <v>44972</v>
      </c>
      <c r="C113" s="733" t="s">
        <v>1597</v>
      </c>
      <c r="D113" s="733" t="s">
        <v>1598</v>
      </c>
      <c r="E113" s="734">
        <v>6.2</v>
      </c>
      <c r="F113" s="731" t="s">
        <v>1599</v>
      </c>
      <c r="G113" s="731" t="s">
        <v>1600</v>
      </c>
      <c r="H113" s="731" t="s">
        <v>1809</v>
      </c>
      <c r="I113" s="736">
        <v>15168</v>
      </c>
      <c r="J113" s="735" t="s">
        <v>1599</v>
      </c>
      <c r="K113" s="737">
        <v>3690</v>
      </c>
      <c r="L113" s="744">
        <f t="shared" si="8"/>
        <v>18727</v>
      </c>
      <c r="M113" s="742">
        <v>22417</v>
      </c>
      <c r="N113" s="843">
        <v>14962.5</v>
      </c>
      <c r="O113" s="710">
        <f t="shared" si="4"/>
        <v>92.767499999999998</v>
      </c>
      <c r="P113" s="711">
        <f t="shared" si="5"/>
        <v>2.8989843749999999</v>
      </c>
      <c r="Q113" s="712">
        <f t="shared" si="6"/>
        <v>226951.2</v>
      </c>
    </row>
    <row r="114" spans="1:17" ht="15.75" customHeight="1">
      <c r="A114" s="722" t="s">
        <v>1936</v>
      </c>
      <c r="B114" s="723">
        <v>44978</v>
      </c>
      <c r="C114" s="724" t="s">
        <v>1597</v>
      </c>
      <c r="D114" s="724" t="s">
        <v>1598</v>
      </c>
      <c r="E114" s="725">
        <v>7.1</v>
      </c>
      <c r="F114" s="722" t="s">
        <v>1599</v>
      </c>
      <c r="G114" s="722" t="s">
        <v>1600</v>
      </c>
      <c r="H114" s="722" t="s">
        <v>1850</v>
      </c>
      <c r="I114" s="727">
        <v>9687</v>
      </c>
      <c r="J114" s="726" t="s">
        <v>1599</v>
      </c>
      <c r="K114" s="728">
        <v>2220</v>
      </c>
      <c r="L114" s="743">
        <f t="shared" si="8"/>
        <v>5777</v>
      </c>
      <c r="M114" s="741">
        <v>7997</v>
      </c>
      <c r="N114" s="842">
        <v>4550</v>
      </c>
      <c r="O114" s="710">
        <f t="shared" si="4"/>
        <v>32.305</v>
      </c>
      <c r="P114" s="711">
        <f t="shared" si="5"/>
        <v>1.00953125</v>
      </c>
      <c r="Q114" s="712">
        <f t="shared" si="6"/>
        <v>44075.85</v>
      </c>
    </row>
    <row r="115" spans="1:17" ht="15.75" customHeight="1">
      <c r="A115" s="731" t="s">
        <v>1937</v>
      </c>
      <c r="B115" s="732">
        <v>44972</v>
      </c>
      <c r="C115" s="733" t="s">
        <v>1597</v>
      </c>
      <c r="D115" s="733" t="s">
        <v>1598</v>
      </c>
      <c r="E115" s="734">
        <v>6.5</v>
      </c>
      <c r="F115" s="731" t="s">
        <v>1599</v>
      </c>
      <c r="G115" s="731" t="s">
        <v>1600</v>
      </c>
      <c r="H115" s="731" t="s">
        <v>1873</v>
      </c>
      <c r="I115" s="736">
        <v>3824</v>
      </c>
      <c r="J115" s="735" t="s">
        <v>1599</v>
      </c>
      <c r="K115" s="737">
        <v>3850</v>
      </c>
      <c r="L115" s="744">
        <f t="shared" si="8"/>
        <v>9663.0499999999993</v>
      </c>
      <c r="M115" s="742">
        <v>13513.05</v>
      </c>
      <c r="N115" s="843">
        <v>7106.49</v>
      </c>
      <c r="O115" s="710">
        <f t="shared" si="4"/>
        <v>46.192184999999995</v>
      </c>
      <c r="P115" s="711">
        <f t="shared" si="5"/>
        <v>1.4435057812499998</v>
      </c>
      <c r="Q115" s="712">
        <f t="shared" si="6"/>
        <v>27175.21776</v>
      </c>
    </row>
    <row r="116" spans="1:17" ht="15.75" customHeight="1">
      <c r="A116" s="722" t="s">
        <v>1938</v>
      </c>
      <c r="B116" s="723">
        <v>44971</v>
      </c>
      <c r="C116" s="724" t="s">
        <v>1597</v>
      </c>
      <c r="D116" s="724" t="s">
        <v>1598</v>
      </c>
      <c r="E116" s="725">
        <v>6</v>
      </c>
      <c r="F116" s="722" t="s">
        <v>1599</v>
      </c>
      <c r="G116" s="722" t="s">
        <v>1600</v>
      </c>
      <c r="H116" s="722" t="s">
        <v>1798</v>
      </c>
      <c r="I116" s="727">
        <v>1931</v>
      </c>
      <c r="J116" s="726" t="s">
        <v>1599</v>
      </c>
      <c r="K116" s="728">
        <v>5482.2</v>
      </c>
      <c r="L116" s="743">
        <f t="shared" si="8"/>
        <v>1015.5</v>
      </c>
      <c r="M116" s="741">
        <v>6497.7</v>
      </c>
      <c r="N116" s="842">
        <v>5482.2</v>
      </c>
      <c r="O116" s="710">
        <f t="shared" si="4"/>
        <v>32.8932</v>
      </c>
      <c r="P116" s="711">
        <f t="shared" si="5"/>
        <v>1.0279125</v>
      </c>
      <c r="Q116" s="712">
        <f t="shared" si="6"/>
        <v>10586.128199999999</v>
      </c>
    </row>
    <row r="117" spans="1:17" ht="15.75" customHeight="1">
      <c r="A117" s="731" t="s">
        <v>1939</v>
      </c>
      <c r="B117" s="732">
        <v>44985</v>
      </c>
      <c r="C117" s="733" t="s">
        <v>1597</v>
      </c>
      <c r="D117" s="733" t="s">
        <v>1598</v>
      </c>
      <c r="E117" s="734">
        <v>11.9</v>
      </c>
      <c r="F117" s="731" t="s">
        <v>1599</v>
      </c>
      <c r="G117" s="731" t="s">
        <v>1600</v>
      </c>
      <c r="H117" s="731" t="s">
        <v>1798</v>
      </c>
      <c r="I117" s="736">
        <v>1931</v>
      </c>
      <c r="J117" s="735" t="s">
        <v>1599</v>
      </c>
      <c r="K117" s="737">
        <v>5236.68</v>
      </c>
      <c r="L117" s="744">
        <f t="shared" si="8"/>
        <v>986.5</v>
      </c>
      <c r="M117" s="742">
        <v>6223.18</v>
      </c>
      <c r="N117" s="843">
        <v>5236.68</v>
      </c>
      <c r="O117" s="710">
        <f t="shared" si="4"/>
        <v>62.316492000000004</v>
      </c>
      <c r="P117" s="711">
        <f t="shared" si="5"/>
        <v>1.9473903750000001</v>
      </c>
      <c r="Q117" s="712">
        <f t="shared" si="6"/>
        <v>10112.02908</v>
      </c>
    </row>
    <row r="118" spans="1:17" ht="15.75" customHeight="1">
      <c r="A118" s="722" t="s">
        <v>1940</v>
      </c>
      <c r="B118" s="723">
        <v>44977</v>
      </c>
      <c r="C118" s="724" t="s">
        <v>1597</v>
      </c>
      <c r="D118" s="724" t="s">
        <v>1598</v>
      </c>
      <c r="E118" s="725">
        <v>6.5</v>
      </c>
      <c r="F118" s="722" t="s">
        <v>1599</v>
      </c>
      <c r="G118" s="722" t="s">
        <v>1600</v>
      </c>
      <c r="H118" s="722" t="s">
        <v>1941</v>
      </c>
      <c r="I118" s="727">
        <v>1588</v>
      </c>
      <c r="J118" s="726" t="s">
        <v>1599</v>
      </c>
      <c r="K118" s="728">
        <v>2265</v>
      </c>
      <c r="L118" s="743">
        <f t="shared" si="8"/>
        <v>4365.37</v>
      </c>
      <c r="M118" s="728">
        <v>6630.37</v>
      </c>
      <c r="N118" s="842">
        <v>3250.48</v>
      </c>
      <c r="O118" s="710">
        <f t="shared" si="4"/>
        <v>21.128119999999999</v>
      </c>
      <c r="P118" s="711">
        <f t="shared" si="5"/>
        <v>0.66025374999999997</v>
      </c>
      <c r="Q118" s="712">
        <f t="shared" si="6"/>
        <v>5161.76224</v>
      </c>
    </row>
    <row r="119" spans="1:17" ht="15.75" customHeight="1">
      <c r="A119" s="731" t="s">
        <v>1942</v>
      </c>
      <c r="B119" s="732">
        <v>44978</v>
      </c>
      <c r="C119" s="733" t="s">
        <v>1597</v>
      </c>
      <c r="D119" s="733" t="s">
        <v>1598</v>
      </c>
      <c r="E119" s="734">
        <v>6.2</v>
      </c>
      <c r="F119" s="731" t="s">
        <v>1599</v>
      </c>
      <c r="G119" s="731" t="s">
        <v>1600</v>
      </c>
      <c r="H119" s="731" t="s">
        <v>1828</v>
      </c>
      <c r="I119" s="736">
        <v>7448</v>
      </c>
      <c r="J119" s="735" t="s">
        <v>1599</v>
      </c>
      <c r="K119" s="737">
        <v>3860</v>
      </c>
      <c r="L119" s="744">
        <f t="shared" si="8"/>
        <v>24002</v>
      </c>
      <c r="M119" s="742">
        <v>27862</v>
      </c>
      <c r="N119" s="843">
        <v>18990</v>
      </c>
      <c r="O119" s="710">
        <f t="shared" si="4"/>
        <v>117.738</v>
      </c>
      <c r="P119" s="711">
        <f t="shared" si="5"/>
        <v>3.6793125</v>
      </c>
      <c r="Q119" s="712">
        <f t="shared" si="6"/>
        <v>141437.51999999999</v>
      </c>
    </row>
    <row r="120" spans="1:17" ht="15.75" customHeight="1">
      <c r="A120" s="722" t="s">
        <v>1943</v>
      </c>
      <c r="B120" s="723">
        <v>44978</v>
      </c>
      <c r="C120" s="724" t="s">
        <v>1597</v>
      </c>
      <c r="D120" s="724" t="s">
        <v>1598</v>
      </c>
      <c r="E120" s="725">
        <v>6.2</v>
      </c>
      <c r="F120" s="722" t="s">
        <v>1599</v>
      </c>
      <c r="G120" s="722" t="s">
        <v>1600</v>
      </c>
      <c r="H120" s="722" t="s">
        <v>1828</v>
      </c>
      <c r="I120" s="727">
        <v>7448</v>
      </c>
      <c r="J120" s="726" t="s">
        <v>1599</v>
      </c>
      <c r="K120" s="728">
        <v>3830</v>
      </c>
      <c r="L120" s="743">
        <f t="shared" si="8"/>
        <v>20502</v>
      </c>
      <c r="M120" s="741">
        <v>24332</v>
      </c>
      <c r="N120" s="842">
        <v>16550</v>
      </c>
      <c r="O120" s="710">
        <f t="shared" si="4"/>
        <v>102.61</v>
      </c>
      <c r="P120" s="711">
        <f t="shared" si="5"/>
        <v>3.2065625</v>
      </c>
      <c r="Q120" s="712">
        <f t="shared" si="6"/>
        <v>123264.4</v>
      </c>
    </row>
    <row r="121" spans="1:17" ht="15.75" customHeight="1">
      <c r="A121" s="731" t="s">
        <v>1944</v>
      </c>
      <c r="B121" s="732">
        <v>44979</v>
      </c>
      <c r="C121" s="733" t="s">
        <v>1597</v>
      </c>
      <c r="D121" s="733" t="s">
        <v>1598</v>
      </c>
      <c r="E121" s="734">
        <v>6.2</v>
      </c>
      <c r="F121" s="731" t="s">
        <v>1599</v>
      </c>
      <c r="G121" s="731" t="s">
        <v>1600</v>
      </c>
      <c r="H121" s="731" t="s">
        <v>1831</v>
      </c>
      <c r="I121" s="736">
        <v>7283</v>
      </c>
      <c r="J121" s="735" t="s">
        <v>1599</v>
      </c>
      <c r="K121" s="737">
        <v>3820</v>
      </c>
      <c r="L121" s="744">
        <f t="shared" si="8"/>
        <v>24802</v>
      </c>
      <c r="M121" s="742">
        <v>28622</v>
      </c>
      <c r="N121" s="843">
        <v>20725</v>
      </c>
      <c r="O121" s="710">
        <f t="shared" si="4"/>
        <v>128.495</v>
      </c>
      <c r="P121" s="711">
        <f t="shared" si="5"/>
        <v>4.0154687500000001</v>
      </c>
      <c r="Q121" s="712">
        <f t="shared" si="6"/>
        <v>150940.17499999999</v>
      </c>
    </row>
    <row r="122" spans="1:17" ht="15.75" customHeight="1">
      <c r="A122" s="722" t="s">
        <v>1945</v>
      </c>
      <c r="B122" s="723">
        <v>44979</v>
      </c>
      <c r="C122" s="724" t="s">
        <v>1597</v>
      </c>
      <c r="D122" s="724" t="s">
        <v>1598</v>
      </c>
      <c r="E122" s="725">
        <v>6.2</v>
      </c>
      <c r="F122" s="722" t="s">
        <v>1599</v>
      </c>
      <c r="G122" s="722" t="s">
        <v>1600</v>
      </c>
      <c r="H122" s="722" t="s">
        <v>1831</v>
      </c>
      <c r="I122" s="727">
        <v>7283</v>
      </c>
      <c r="J122" s="726" t="s">
        <v>1599</v>
      </c>
      <c r="K122" s="728">
        <v>3900</v>
      </c>
      <c r="L122" s="743">
        <f t="shared" si="8"/>
        <v>23232</v>
      </c>
      <c r="M122" s="741">
        <v>27132</v>
      </c>
      <c r="N122" s="842">
        <v>20159</v>
      </c>
      <c r="O122" s="710">
        <f t="shared" si="4"/>
        <v>124.9858</v>
      </c>
      <c r="P122" s="711">
        <f t="shared" si="5"/>
        <v>3.9058062499999999</v>
      </c>
      <c r="Q122" s="712">
        <f t="shared" si="6"/>
        <v>146817.997</v>
      </c>
    </row>
    <row r="123" spans="1:17" ht="15.75" customHeight="1">
      <c r="A123" s="731" t="s">
        <v>1946</v>
      </c>
      <c r="B123" s="732">
        <v>44979</v>
      </c>
      <c r="C123" s="733" t="s">
        <v>1597</v>
      </c>
      <c r="D123" s="733" t="s">
        <v>1598</v>
      </c>
      <c r="E123" s="734">
        <v>6.2</v>
      </c>
      <c r="F123" s="731" t="s">
        <v>1599</v>
      </c>
      <c r="G123" s="731" t="s">
        <v>1600</v>
      </c>
      <c r="H123" s="731" t="s">
        <v>1831</v>
      </c>
      <c r="I123" s="736">
        <v>7283</v>
      </c>
      <c r="J123" s="735" t="s">
        <v>1599</v>
      </c>
      <c r="K123" s="737">
        <v>2160</v>
      </c>
      <c r="L123" s="744">
        <f t="shared" si="8"/>
        <v>11002</v>
      </c>
      <c r="M123" s="742">
        <v>13162</v>
      </c>
      <c r="N123" s="843">
        <v>9340</v>
      </c>
      <c r="O123" s="710">
        <f t="shared" si="4"/>
        <v>57.908000000000001</v>
      </c>
      <c r="P123" s="711">
        <f t="shared" si="5"/>
        <v>1.809625</v>
      </c>
      <c r="Q123" s="712">
        <f t="shared" si="6"/>
        <v>68023.22</v>
      </c>
    </row>
    <row r="124" spans="1:17" ht="15.75" customHeight="1">
      <c r="A124" s="722" t="s">
        <v>1947</v>
      </c>
      <c r="B124" s="723">
        <v>44977</v>
      </c>
      <c r="C124" s="724" t="s">
        <v>1597</v>
      </c>
      <c r="D124" s="724" t="s">
        <v>1598</v>
      </c>
      <c r="E124" s="725">
        <v>7.1</v>
      </c>
      <c r="F124" s="722" t="s">
        <v>1599</v>
      </c>
      <c r="G124" s="722" t="s">
        <v>1600</v>
      </c>
      <c r="H124" s="722" t="s">
        <v>1948</v>
      </c>
      <c r="I124" s="727">
        <v>13695</v>
      </c>
      <c r="J124" s="726" t="s">
        <v>1599</v>
      </c>
      <c r="K124" s="728">
        <v>3650</v>
      </c>
      <c r="L124" s="743">
        <f t="shared" si="8"/>
        <v>18736</v>
      </c>
      <c r="M124" s="741">
        <v>22386</v>
      </c>
      <c r="N124" s="842">
        <v>17822</v>
      </c>
      <c r="O124" s="710">
        <f t="shared" si="4"/>
        <v>126.53619999999999</v>
      </c>
      <c r="P124" s="711">
        <f t="shared" si="5"/>
        <v>3.9542562499999998</v>
      </c>
      <c r="Q124" s="712">
        <f t="shared" si="6"/>
        <v>244072.29</v>
      </c>
    </row>
    <row r="125" spans="1:17" ht="15.75" customHeight="1">
      <c r="A125" s="731" t="s">
        <v>1949</v>
      </c>
      <c r="B125" s="732">
        <v>44977</v>
      </c>
      <c r="C125" s="733" t="s">
        <v>1597</v>
      </c>
      <c r="D125" s="733" t="s">
        <v>1598</v>
      </c>
      <c r="E125" s="734">
        <v>7.1</v>
      </c>
      <c r="F125" s="731" t="s">
        <v>1599</v>
      </c>
      <c r="G125" s="731" t="s">
        <v>1600</v>
      </c>
      <c r="H125" s="731" t="s">
        <v>1948</v>
      </c>
      <c r="I125" s="736">
        <v>13695</v>
      </c>
      <c r="J125" s="735" t="s">
        <v>1599</v>
      </c>
      <c r="K125" s="737">
        <v>3700</v>
      </c>
      <c r="L125" s="744">
        <f t="shared" si="8"/>
        <v>18800</v>
      </c>
      <c r="M125" s="742">
        <v>22500</v>
      </c>
      <c r="N125" s="843">
        <v>17940</v>
      </c>
      <c r="O125" s="710">
        <f t="shared" si="4"/>
        <v>127.374</v>
      </c>
      <c r="P125" s="711">
        <f t="shared" si="5"/>
        <v>3.9804374999999999</v>
      </c>
      <c r="Q125" s="712">
        <f t="shared" si="6"/>
        <v>245688.3</v>
      </c>
    </row>
    <row r="126" spans="1:17" ht="15.75" customHeight="1">
      <c r="A126" s="722" t="s">
        <v>1950</v>
      </c>
      <c r="B126" s="723">
        <v>44979</v>
      </c>
      <c r="C126" s="724" t="s">
        <v>1597</v>
      </c>
      <c r="D126" s="724" t="s">
        <v>1598</v>
      </c>
      <c r="E126" s="725">
        <v>7.1</v>
      </c>
      <c r="F126" s="722" t="s">
        <v>1599</v>
      </c>
      <c r="G126" s="722" t="s">
        <v>1600</v>
      </c>
      <c r="H126" s="722" t="s">
        <v>1886</v>
      </c>
      <c r="I126" s="727">
        <v>13877</v>
      </c>
      <c r="J126" s="726" t="s">
        <v>1599</v>
      </c>
      <c r="K126" s="728">
        <v>3800</v>
      </c>
      <c r="L126" s="743">
        <f t="shared" si="8"/>
        <v>10189.799999999999</v>
      </c>
      <c r="M126" s="741">
        <v>13989.8</v>
      </c>
      <c r="N126" s="842">
        <v>7660</v>
      </c>
      <c r="O126" s="710">
        <f t="shared" si="4"/>
        <v>54.386000000000003</v>
      </c>
      <c r="P126" s="711">
        <f t="shared" si="5"/>
        <v>1.6995625000000001</v>
      </c>
      <c r="Q126" s="712">
        <f t="shared" si="6"/>
        <v>106297.82</v>
      </c>
    </row>
    <row r="127" spans="1:17" ht="15.75" customHeight="1">
      <c r="A127" s="731" t="s">
        <v>1951</v>
      </c>
      <c r="B127" s="732">
        <v>44980</v>
      </c>
      <c r="C127" s="733" t="s">
        <v>1597</v>
      </c>
      <c r="D127" s="733" t="s">
        <v>1598</v>
      </c>
      <c r="E127" s="734">
        <v>6.2</v>
      </c>
      <c r="F127" s="731" t="s">
        <v>1599</v>
      </c>
      <c r="G127" s="731" t="s">
        <v>1600</v>
      </c>
      <c r="H127" s="731" t="s">
        <v>1886</v>
      </c>
      <c r="I127" s="736">
        <v>13877</v>
      </c>
      <c r="J127" s="735" t="s">
        <v>1599</v>
      </c>
      <c r="K127" s="737">
        <v>3900</v>
      </c>
      <c r="L127" s="744">
        <f t="shared" si="8"/>
        <v>19599.5</v>
      </c>
      <c r="M127" s="742">
        <v>23499.5</v>
      </c>
      <c r="N127" s="843">
        <v>15795</v>
      </c>
      <c r="O127" s="710">
        <f t="shared" si="4"/>
        <v>97.929000000000002</v>
      </c>
      <c r="P127" s="711">
        <f t="shared" si="5"/>
        <v>3.0602812500000001</v>
      </c>
      <c r="Q127" s="712">
        <f t="shared" si="6"/>
        <v>219187.215</v>
      </c>
    </row>
    <row r="128" spans="1:17" ht="15.75" customHeight="1">
      <c r="A128" s="722" t="s">
        <v>1952</v>
      </c>
      <c r="B128" s="723">
        <v>44980</v>
      </c>
      <c r="C128" s="724" t="s">
        <v>1597</v>
      </c>
      <c r="D128" s="724" t="s">
        <v>1598</v>
      </c>
      <c r="E128" s="725">
        <v>7.1</v>
      </c>
      <c r="F128" s="722" t="s">
        <v>1599</v>
      </c>
      <c r="G128" s="722" t="s">
        <v>1600</v>
      </c>
      <c r="H128" s="722" t="s">
        <v>1886</v>
      </c>
      <c r="I128" s="727">
        <v>13877</v>
      </c>
      <c r="J128" s="726" t="s">
        <v>1599</v>
      </c>
      <c r="K128" s="728">
        <v>3840</v>
      </c>
      <c r="L128" s="743">
        <f t="shared" si="8"/>
        <v>12014</v>
      </c>
      <c r="M128" s="741">
        <v>15854</v>
      </c>
      <c r="N128" s="842">
        <v>8988</v>
      </c>
      <c r="O128" s="710">
        <f t="shared" si="4"/>
        <v>63.814799999999998</v>
      </c>
      <c r="P128" s="711">
        <f t="shared" si="5"/>
        <v>1.9942124999999999</v>
      </c>
      <c r="Q128" s="712">
        <f t="shared" si="6"/>
        <v>124726.476</v>
      </c>
    </row>
    <row r="129" spans="1:17" ht="15.75" customHeight="1">
      <c r="A129" s="731" t="s">
        <v>1953</v>
      </c>
      <c r="B129" s="732">
        <v>44977</v>
      </c>
      <c r="C129" s="733" t="s">
        <v>1597</v>
      </c>
      <c r="D129" s="733" t="s">
        <v>1598</v>
      </c>
      <c r="E129" s="734">
        <v>7.1</v>
      </c>
      <c r="F129" s="731" t="s">
        <v>1599</v>
      </c>
      <c r="G129" s="731" t="s">
        <v>1600</v>
      </c>
      <c r="H129" s="731" t="s">
        <v>1822</v>
      </c>
      <c r="I129" s="736">
        <v>13787</v>
      </c>
      <c r="J129" s="735" t="s">
        <v>1599</v>
      </c>
      <c r="K129" s="737">
        <v>3820</v>
      </c>
      <c r="L129" s="744">
        <f t="shared" si="8"/>
        <v>12251.5</v>
      </c>
      <c r="M129" s="742">
        <v>16071.5</v>
      </c>
      <c r="N129" s="843">
        <v>8585.49</v>
      </c>
      <c r="O129" s="710">
        <f t="shared" si="4"/>
        <v>60.95697899999999</v>
      </c>
      <c r="P129" s="711">
        <f t="shared" si="5"/>
        <v>1.9049055937499997</v>
      </c>
      <c r="Q129" s="712">
        <f t="shared" si="6"/>
        <v>118368.15062999999</v>
      </c>
    </row>
    <row r="130" spans="1:17" ht="15.75" customHeight="1">
      <c r="A130" s="722" t="s">
        <v>1954</v>
      </c>
      <c r="B130" s="723">
        <v>44981</v>
      </c>
      <c r="C130" s="724" t="s">
        <v>1597</v>
      </c>
      <c r="D130" s="724" t="s">
        <v>1598</v>
      </c>
      <c r="E130" s="725">
        <v>6.2</v>
      </c>
      <c r="F130" s="722" t="s">
        <v>1599</v>
      </c>
      <c r="G130" s="722" t="s">
        <v>1600</v>
      </c>
      <c r="H130" s="722" t="s">
        <v>1807</v>
      </c>
      <c r="I130" s="727">
        <v>1734</v>
      </c>
      <c r="J130" s="726" t="s">
        <v>1599</v>
      </c>
      <c r="K130" s="728">
        <v>3650</v>
      </c>
      <c r="L130" s="743">
        <f t="shared" si="8"/>
        <v>11888</v>
      </c>
      <c r="M130" s="741">
        <v>15538</v>
      </c>
      <c r="N130" s="842">
        <v>9380.7999999999993</v>
      </c>
      <c r="O130" s="710">
        <f t="shared" si="4"/>
        <v>58.160959999999996</v>
      </c>
      <c r="P130" s="711">
        <f t="shared" si="5"/>
        <v>1.8175299999999999</v>
      </c>
      <c r="Q130" s="712">
        <f t="shared" si="6"/>
        <v>16266.307199999999</v>
      </c>
    </row>
    <row r="131" spans="1:17" ht="15.75" customHeight="1">
      <c r="A131" s="731" t="s">
        <v>1955</v>
      </c>
      <c r="B131" s="732">
        <v>44981</v>
      </c>
      <c r="C131" s="733" t="s">
        <v>1597</v>
      </c>
      <c r="D131" s="733" t="s">
        <v>1598</v>
      </c>
      <c r="E131" s="734">
        <v>7.1</v>
      </c>
      <c r="F131" s="731" t="s">
        <v>1599</v>
      </c>
      <c r="G131" s="731" t="s">
        <v>1600</v>
      </c>
      <c r="H131" s="731" t="s">
        <v>1807</v>
      </c>
      <c r="I131" s="736">
        <v>1734</v>
      </c>
      <c r="J131" s="735" t="s">
        <v>1599</v>
      </c>
      <c r="K131" s="737">
        <v>2100</v>
      </c>
      <c r="L131" s="744">
        <f t="shared" si="8"/>
        <v>5238.3</v>
      </c>
      <c r="M131" s="742">
        <v>7338.3</v>
      </c>
      <c r="N131" s="843">
        <v>4096.6000000000004</v>
      </c>
      <c r="O131" s="710">
        <f t="shared" si="4"/>
        <v>29.08586</v>
      </c>
      <c r="P131" s="711">
        <f t="shared" si="5"/>
        <v>0.90893312500000001</v>
      </c>
      <c r="Q131" s="712">
        <f t="shared" si="6"/>
        <v>7103.5044000000007</v>
      </c>
    </row>
    <row r="132" spans="1:17" ht="15.75" customHeight="1">
      <c r="A132" s="722" t="s">
        <v>1956</v>
      </c>
      <c r="B132" s="723">
        <v>44980</v>
      </c>
      <c r="C132" s="724" t="s">
        <v>1597</v>
      </c>
      <c r="D132" s="724" t="s">
        <v>1598</v>
      </c>
      <c r="E132" s="725">
        <v>6.2</v>
      </c>
      <c r="F132" s="722" t="s">
        <v>1599</v>
      </c>
      <c r="G132" s="722" t="s">
        <v>1600</v>
      </c>
      <c r="H132" s="722" t="s">
        <v>1809</v>
      </c>
      <c r="I132" s="727">
        <v>15168</v>
      </c>
      <c r="J132" s="726" t="s">
        <v>1599</v>
      </c>
      <c r="K132" s="728">
        <v>3700</v>
      </c>
      <c r="L132" s="743">
        <f t="shared" si="8"/>
        <v>17077</v>
      </c>
      <c r="M132" s="741">
        <v>20777</v>
      </c>
      <c r="N132" s="842">
        <v>15333.35</v>
      </c>
      <c r="O132" s="710">
        <f t="shared" si="4"/>
        <v>95.066770000000005</v>
      </c>
      <c r="P132" s="711">
        <f t="shared" si="5"/>
        <v>2.9708365625000002</v>
      </c>
      <c r="Q132" s="712">
        <f t="shared" si="6"/>
        <v>232576.25280000002</v>
      </c>
    </row>
    <row r="133" spans="1:17" ht="15.75" customHeight="1">
      <c r="A133" s="731" t="s">
        <v>1957</v>
      </c>
      <c r="B133" s="732">
        <v>44979</v>
      </c>
      <c r="C133" s="733" t="s">
        <v>1597</v>
      </c>
      <c r="D133" s="733" t="s">
        <v>1598</v>
      </c>
      <c r="E133" s="734">
        <v>6.2</v>
      </c>
      <c r="F133" s="731" t="s">
        <v>1599</v>
      </c>
      <c r="G133" s="731" t="s">
        <v>1600</v>
      </c>
      <c r="H133" s="731" t="s">
        <v>1809</v>
      </c>
      <c r="I133" s="736">
        <v>15168</v>
      </c>
      <c r="J133" s="735" t="s">
        <v>1599</v>
      </c>
      <c r="K133" s="737">
        <v>3700</v>
      </c>
      <c r="L133" s="744">
        <f t="shared" si="8"/>
        <v>19181</v>
      </c>
      <c r="M133" s="742">
        <v>22881</v>
      </c>
      <c r="N133" s="843">
        <v>16275</v>
      </c>
      <c r="O133" s="710">
        <f t="shared" si="4"/>
        <v>100.905</v>
      </c>
      <c r="P133" s="711">
        <f t="shared" si="5"/>
        <v>3.15328125</v>
      </c>
      <c r="Q133" s="712">
        <f t="shared" si="6"/>
        <v>246859.2</v>
      </c>
    </row>
    <row r="134" spans="1:17" ht="15.75" customHeight="1">
      <c r="A134" s="722" t="s">
        <v>1958</v>
      </c>
      <c r="B134" s="723">
        <v>44979</v>
      </c>
      <c r="C134" s="724" t="s">
        <v>1597</v>
      </c>
      <c r="D134" s="724" t="s">
        <v>1598</v>
      </c>
      <c r="E134" s="725">
        <v>6.2</v>
      </c>
      <c r="F134" s="722" t="s">
        <v>1599</v>
      </c>
      <c r="G134" s="722" t="s">
        <v>1600</v>
      </c>
      <c r="H134" s="722" t="s">
        <v>1809</v>
      </c>
      <c r="I134" s="727">
        <v>15168</v>
      </c>
      <c r="J134" s="726" t="s">
        <v>1599</v>
      </c>
      <c r="K134" s="728">
        <v>3700</v>
      </c>
      <c r="L134" s="743">
        <f t="shared" si="8"/>
        <v>19181</v>
      </c>
      <c r="M134" s="741">
        <v>22881</v>
      </c>
      <c r="N134" s="842">
        <v>16275</v>
      </c>
      <c r="O134" s="710">
        <f t="shared" ref="O134:O197" si="9">N134*E134/1000</f>
        <v>100.905</v>
      </c>
      <c r="P134" s="711">
        <f t="shared" ref="P134:P197" si="10">O134/32</f>
        <v>3.15328125</v>
      </c>
      <c r="Q134" s="712">
        <f t="shared" ref="Q134:Q197" si="11">N134*I134/1000</f>
        <v>246859.2</v>
      </c>
    </row>
    <row r="135" spans="1:17" ht="15.75" customHeight="1">
      <c r="A135" s="731" t="s">
        <v>1959</v>
      </c>
      <c r="B135" s="732">
        <v>44979</v>
      </c>
      <c r="C135" s="733" t="s">
        <v>1597</v>
      </c>
      <c r="D135" s="733" t="s">
        <v>1598</v>
      </c>
      <c r="E135" s="734">
        <v>7.1</v>
      </c>
      <c r="F135" s="731" t="s">
        <v>1599</v>
      </c>
      <c r="G135" s="731" t="s">
        <v>1600</v>
      </c>
      <c r="H135" s="731" t="s">
        <v>1850</v>
      </c>
      <c r="I135" s="736">
        <v>9687</v>
      </c>
      <c r="J135" s="735" t="s">
        <v>1599</v>
      </c>
      <c r="K135" s="737">
        <v>3770</v>
      </c>
      <c r="L135" s="744">
        <f t="shared" si="8"/>
        <v>19897</v>
      </c>
      <c r="M135" s="742">
        <v>23667</v>
      </c>
      <c r="N135" s="843">
        <v>18561</v>
      </c>
      <c r="O135" s="710">
        <f t="shared" si="9"/>
        <v>131.78310000000002</v>
      </c>
      <c r="P135" s="711">
        <f t="shared" si="10"/>
        <v>4.1182218750000006</v>
      </c>
      <c r="Q135" s="712">
        <f t="shared" si="11"/>
        <v>179800.40700000001</v>
      </c>
    </row>
    <row r="136" spans="1:17" ht="15.75" customHeight="1">
      <c r="A136" s="722" t="s">
        <v>1960</v>
      </c>
      <c r="B136" s="723">
        <v>44984</v>
      </c>
      <c r="C136" s="724" t="s">
        <v>1597</v>
      </c>
      <c r="D136" s="724" t="s">
        <v>1598</v>
      </c>
      <c r="E136" s="725">
        <v>7.1</v>
      </c>
      <c r="F136" s="722" t="s">
        <v>1599</v>
      </c>
      <c r="G136" s="722" t="s">
        <v>1600</v>
      </c>
      <c r="H136" s="722" t="s">
        <v>1828</v>
      </c>
      <c r="I136" s="727">
        <v>7448</v>
      </c>
      <c r="J136" s="726" t="s">
        <v>1599</v>
      </c>
      <c r="K136" s="728">
        <v>3700</v>
      </c>
      <c r="L136" s="743">
        <f t="shared" si="8"/>
        <v>23802</v>
      </c>
      <c r="M136" s="741">
        <v>27502</v>
      </c>
      <c r="N136" s="842">
        <v>20199</v>
      </c>
      <c r="O136" s="710">
        <f t="shared" si="9"/>
        <v>143.41290000000001</v>
      </c>
      <c r="P136" s="711">
        <f t="shared" si="10"/>
        <v>4.4816531250000002</v>
      </c>
      <c r="Q136" s="712">
        <f t="shared" si="11"/>
        <v>150442.152</v>
      </c>
    </row>
    <row r="137" spans="1:17" ht="15.75" customHeight="1">
      <c r="A137" s="731" t="s">
        <v>1961</v>
      </c>
      <c r="B137" s="732">
        <v>44979</v>
      </c>
      <c r="C137" s="733" t="s">
        <v>1597</v>
      </c>
      <c r="D137" s="733" t="s">
        <v>1598</v>
      </c>
      <c r="E137" s="734">
        <v>6.2</v>
      </c>
      <c r="F137" s="731" t="s">
        <v>1599</v>
      </c>
      <c r="G137" s="731" t="s">
        <v>1600</v>
      </c>
      <c r="H137" s="731" t="s">
        <v>1836</v>
      </c>
      <c r="I137" s="736">
        <v>14544</v>
      </c>
      <c r="J137" s="735" t="s">
        <v>1599</v>
      </c>
      <c r="K137" s="737">
        <v>3840</v>
      </c>
      <c r="L137" s="744">
        <f t="shared" si="8"/>
        <v>14839</v>
      </c>
      <c r="M137" s="742">
        <v>18679</v>
      </c>
      <c r="N137" s="843">
        <v>12511.2</v>
      </c>
      <c r="O137" s="710">
        <f t="shared" si="9"/>
        <v>77.56944</v>
      </c>
      <c r="P137" s="711">
        <f t="shared" si="10"/>
        <v>2.424045</v>
      </c>
      <c r="Q137" s="712">
        <f t="shared" si="11"/>
        <v>181962.8928</v>
      </c>
    </row>
    <row r="138" spans="1:17" ht="15.75" customHeight="1">
      <c r="A138" s="722" t="s">
        <v>1962</v>
      </c>
      <c r="B138" s="723">
        <v>44984</v>
      </c>
      <c r="C138" s="724" t="s">
        <v>1597</v>
      </c>
      <c r="D138" s="724" t="s">
        <v>1598</v>
      </c>
      <c r="E138" s="725">
        <v>5.2</v>
      </c>
      <c r="F138" s="722" t="s">
        <v>1599</v>
      </c>
      <c r="G138" s="722" t="s">
        <v>1600</v>
      </c>
      <c r="H138" s="722" t="s">
        <v>1963</v>
      </c>
      <c r="I138" s="727">
        <v>14253</v>
      </c>
      <c r="J138" s="726" t="s">
        <v>1599</v>
      </c>
      <c r="K138" s="728">
        <v>3780</v>
      </c>
      <c r="L138" s="743">
        <f t="shared" si="8"/>
        <v>10901.63</v>
      </c>
      <c r="M138" s="741">
        <v>14681.63</v>
      </c>
      <c r="N138" s="842">
        <v>8102.34</v>
      </c>
      <c r="O138" s="710">
        <f t="shared" si="9"/>
        <v>42.132168000000007</v>
      </c>
      <c r="P138" s="711">
        <f t="shared" si="10"/>
        <v>1.3166302500000002</v>
      </c>
      <c r="Q138" s="712">
        <f t="shared" si="11"/>
        <v>115482.65201999999</v>
      </c>
    </row>
    <row r="139" spans="1:17" ht="15.75" customHeight="1">
      <c r="A139" s="731" t="s">
        <v>1964</v>
      </c>
      <c r="B139" s="732">
        <v>44985</v>
      </c>
      <c r="C139" s="733" t="s">
        <v>1597</v>
      </c>
      <c r="D139" s="733" t="s">
        <v>1598</v>
      </c>
      <c r="E139" s="734">
        <v>3.6</v>
      </c>
      <c r="F139" s="731" t="s">
        <v>1599</v>
      </c>
      <c r="G139" s="731" t="s">
        <v>1600</v>
      </c>
      <c r="H139" s="731" t="s">
        <v>1965</v>
      </c>
      <c r="I139" s="736">
        <v>5092</v>
      </c>
      <c r="J139" s="735" t="s">
        <v>1599</v>
      </c>
      <c r="K139" s="737">
        <v>2185</v>
      </c>
      <c r="L139" s="744">
        <f t="shared" si="8"/>
        <v>5334.5</v>
      </c>
      <c r="M139" s="739">
        <v>7519.5</v>
      </c>
      <c r="N139" s="843">
        <v>4398.8999999999996</v>
      </c>
      <c r="O139" s="710">
        <f t="shared" si="9"/>
        <v>15.836039999999999</v>
      </c>
      <c r="P139" s="711">
        <f t="shared" si="10"/>
        <v>0.49487624999999996</v>
      </c>
      <c r="Q139" s="712">
        <f t="shared" si="11"/>
        <v>22399.198799999998</v>
      </c>
    </row>
    <row r="140" spans="1:17" ht="15.75" customHeight="1">
      <c r="A140" s="722" t="s">
        <v>1966</v>
      </c>
      <c r="B140" s="723">
        <v>44985</v>
      </c>
      <c r="C140" s="724" t="s">
        <v>1597</v>
      </c>
      <c r="D140" s="724" t="s">
        <v>1598</v>
      </c>
      <c r="E140" s="725">
        <v>5.3</v>
      </c>
      <c r="F140" s="722" t="s">
        <v>1599</v>
      </c>
      <c r="G140" s="722" t="s">
        <v>1600</v>
      </c>
      <c r="H140" s="722" t="s">
        <v>1815</v>
      </c>
      <c r="I140" s="727">
        <v>17387</v>
      </c>
      <c r="J140" s="726" t="s">
        <v>1599</v>
      </c>
      <c r="K140" s="728">
        <v>3770</v>
      </c>
      <c r="L140" s="743">
        <f t="shared" si="8"/>
        <v>17959.849999999999</v>
      </c>
      <c r="M140" s="730">
        <v>21729.85</v>
      </c>
      <c r="N140" s="842">
        <v>15637.32</v>
      </c>
      <c r="O140" s="710">
        <f t="shared" si="9"/>
        <v>82.877796000000004</v>
      </c>
      <c r="P140" s="711">
        <f t="shared" si="10"/>
        <v>2.5899311250000001</v>
      </c>
      <c r="Q140" s="712">
        <f t="shared" si="11"/>
        <v>271886.08283999999</v>
      </c>
    </row>
    <row r="141" spans="1:17" ht="15.75" customHeight="1">
      <c r="A141" s="731" t="s">
        <v>1967</v>
      </c>
      <c r="B141" s="732">
        <v>44980</v>
      </c>
      <c r="C141" s="733" t="s">
        <v>1597</v>
      </c>
      <c r="D141" s="733" t="s">
        <v>1598</v>
      </c>
      <c r="E141" s="734">
        <v>6.2</v>
      </c>
      <c r="F141" s="731" t="s">
        <v>1599</v>
      </c>
      <c r="G141" s="731" t="s">
        <v>1600</v>
      </c>
      <c r="H141" s="731" t="s">
        <v>1866</v>
      </c>
      <c r="I141" s="736">
        <v>2597</v>
      </c>
      <c r="J141" s="735" t="s">
        <v>1599</v>
      </c>
      <c r="K141" s="737">
        <v>3120</v>
      </c>
      <c r="L141" s="744">
        <f t="shared" si="8"/>
        <v>13088</v>
      </c>
      <c r="M141" s="742">
        <v>16208</v>
      </c>
      <c r="N141" s="843">
        <v>10669</v>
      </c>
      <c r="O141" s="710">
        <f t="shared" si="9"/>
        <v>66.147800000000004</v>
      </c>
      <c r="P141" s="711">
        <f t="shared" si="10"/>
        <v>2.0671187500000001</v>
      </c>
      <c r="Q141" s="712">
        <f t="shared" si="11"/>
        <v>27707.393</v>
      </c>
    </row>
    <row r="142" spans="1:17" ht="15.75" customHeight="1">
      <c r="A142" s="722" t="s">
        <v>1968</v>
      </c>
      <c r="B142" s="723">
        <v>44985</v>
      </c>
      <c r="C142" s="724" t="s">
        <v>1597</v>
      </c>
      <c r="D142" s="724" t="s">
        <v>1598</v>
      </c>
      <c r="E142" s="725">
        <v>7.1</v>
      </c>
      <c r="F142" s="722" t="s">
        <v>1599</v>
      </c>
      <c r="G142" s="722" t="s">
        <v>1600</v>
      </c>
      <c r="H142" s="722" t="s">
        <v>1818</v>
      </c>
      <c r="I142" s="727">
        <v>14000</v>
      </c>
      <c r="J142" s="726" t="s">
        <v>1599</v>
      </c>
      <c r="K142" s="728">
        <v>3700</v>
      </c>
      <c r="L142" s="743">
        <f t="shared" si="8"/>
        <v>18316.560000000001</v>
      </c>
      <c r="M142" s="730">
        <v>22016.560000000001</v>
      </c>
      <c r="N142" s="842">
        <v>15942.2</v>
      </c>
      <c r="O142" s="710">
        <f t="shared" si="9"/>
        <v>113.18961999999999</v>
      </c>
      <c r="P142" s="711">
        <f t="shared" si="10"/>
        <v>3.5371756249999997</v>
      </c>
      <c r="Q142" s="712">
        <f t="shared" si="11"/>
        <v>223190.8</v>
      </c>
    </row>
    <row r="143" spans="1:17" ht="15.75" customHeight="1">
      <c r="A143" s="731" t="s">
        <v>1969</v>
      </c>
      <c r="B143" s="732">
        <v>44985</v>
      </c>
      <c r="C143" s="733" t="s">
        <v>1597</v>
      </c>
      <c r="D143" s="733" t="s">
        <v>1598</v>
      </c>
      <c r="E143" s="734">
        <v>6.5</v>
      </c>
      <c r="F143" s="731" t="s">
        <v>1599</v>
      </c>
      <c r="G143" s="731" t="s">
        <v>1600</v>
      </c>
      <c r="H143" s="731" t="s">
        <v>1880</v>
      </c>
      <c r="I143" s="736">
        <v>13558</v>
      </c>
      <c r="J143" s="735" t="s">
        <v>1599</v>
      </c>
      <c r="K143" s="737">
        <v>3700</v>
      </c>
      <c r="L143" s="744">
        <f t="shared" si="8"/>
        <v>12605.25</v>
      </c>
      <c r="M143" s="739">
        <v>16305.25</v>
      </c>
      <c r="N143" s="843">
        <v>8711.25</v>
      </c>
      <c r="O143" s="710">
        <f t="shared" si="9"/>
        <v>56.623125000000002</v>
      </c>
      <c r="P143" s="711">
        <f t="shared" si="10"/>
        <v>1.7694726562500001</v>
      </c>
      <c r="Q143" s="712">
        <f t="shared" si="11"/>
        <v>118107.1275</v>
      </c>
    </row>
    <row r="144" spans="1:17" ht="15.75" customHeight="1">
      <c r="A144" s="722" t="s">
        <v>1970</v>
      </c>
      <c r="B144" s="723">
        <v>44986</v>
      </c>
      <c r="C144" s="724" t="s">
        <v>1597</v>
      </c>
      <c r="D144" s="724" t="s">
        <v>1598</v>
      </c>
      <c r="E144" s="725">
        <v>6</v>
      </c>
      <c r="F144" s="722" t="s">
        <v>1599</v>
      </c>
      <c r="G144" s="722" t="s">
        <v>1600</v>
      </c>
      <c r="H144" s="722" t="s">
        <v>1971</v>
      </c>
      <c r="I144" s="727">
        <v>4358</v>
      </c>
      <c r="J144" s="726" t="s">
        <v>1599</v>
      </c>
      <c r="K144" s="725">
        <v>2265</v>
      </c>
      <c r="L144" s="743">
        <f t="shared" si="8"/>
        <v>5347.15</v>
      </c>
      <c r="M144" s="725">
        <v>7612.15</v>
      </c>
      <c r="N144" s="841">
        <v>4360.3999999999996</v>
      </c>
      <c r="O144" s="710">
        <f t="shared" si="9"/>
        <v>26.162399999999998</v>
      </c>
      <c r="P144" s="711">
        <f t="shared" si="10"/>
        <v>0.81757499999999994</v>
      </c>
      <c r="Q144" s="712">
        <f t="shared" si="11"/>
        <v>19002.623199999998</v>
      </c>
    </row>
    <row r="145" spans="1:17" ht="15.75" customHeight="1">
      <c r="A145" s="731" t="s">
        <v>1972</v>
      </c>
      <c r="B145" s="732">
        <v>44986</v>
      </c>
      <c r="C145" s="733" t="s">
        <v>1597</v>
      </c>
      <c r="D145" s="733" t="s">
        <v>1598</v>
      </c>
      <c r="E145" s="734">
        <v>6</v>
      </c>
      <c r="F145" s="731" t="s">
        <v>1599</v>
      </c>
      <c r="G145" s="731" t="s">
        <v>1600</v>
      </c>
      <c r="H145" s="731" t="s">
        <v>1973</v>
      </c>
      <c r="I145" s="736">
        <v>4482</v>
      </c>
      <c r="J145" s="735" t="s">
        <v>1599</v>
      </c>
      <c r="K145" s="734">
        <v>2185</v>
      </c>
      <c r="L145" s="744">
        <f t="shared" si="8"/>
        <v>5249.35</v>
      </c>
      <c r="M145" s="734">
        <v>7434.35</v>
      </c>
      <c r="N145" s="895">
        <v>4200.95</v>
      </c>
      <c r="O145" s="710">
        <f t="shared" si="9"/>
        <v>25.205699999999997</v>
      </c>
      <c r="P145" s="711">
        <f t="shared" si="10"/>
        <v>0.7876781249999999</v>
      </c>
      <c r="Q145" s="712">
        <f t="shared" si="11"/>
        <v>18828.657899999998</v>
      </c>
    </row>
    <row r="146" spans="1:17" ht="15.75" customHeight="1">
      <c r="A146" s="722" t="s">
        <v>1974</v>
      </c>
      <c r="B146" s="723">
        <v>44984</v>
      </c>
      <c r="C146" s="724" t="s">
        <v>1597</v>
      </c>
      <c r="D146" s="724" t="s">
        <v>1598</v>
      </c>
      <c r="E146" s="725">
        <v>6.5</v>
      </c>
      <c r="F146" s="722" t="s">
        <v>1599</v>
      </c>
      <c r="G146" s="722" t="s">
        <v>1600</v>
      </c>
      <c r="H146" s="722" t="s">
        <v>1809</v>
      </c>
      <c r="I146" s="727">
        <v>15168</v>
      </c>
      <c r="J146" s="726" t="s">
        <v>1599</v>
      </c>
      <c r="K146" s="728">
        <v>3700</v>
      </c>
      <c r="L146" s="743">
        <f t="shared" si="8"/>
        <v>15320</v>
      </c>
      <c r="M146" s="741">
        <v>19020</v>
      </c>
      <c r="N146" s="842">
        <v>12558</v>
      </c>
      <c r="O146" s="710">
        <f t="shared" si="9"/>
        <v>81.626999999999995</v>
      </c>
      <c r="P146" s="711">
        <f t="shared" si="10"/>
        <v>2.5508437499999999</v>
      </c>
      <c r="Q146" s="712">
        <f t="shared" si="11"/>
        <v>190479.74400000001</v>
      </c>
    </row>
    <row r="147" spans="1:17" ht="15.75" customHeight="1">
      <c r="A147" s="731" t="s">
        <v>1975</v>
      </c>
      <c r="B147" s="732">
        <v>44985</v>
      </c>
      <c r="C147" s="733" t="s">
        <v>1597</v>
      </c>
      <c r="D147" s="733" t="s">
        <v>1598</v>
      </c>
      <c r="E147" s="734">
        <v>6</v>
      </c>
      <c r="F147" s="731" t="s">
        <v>1599</v>
      </c>
      <c r="G147" s="731" t="s">
        <v>1600</v>
      </c>
      <c r="H147" s="731" t="s">
        <v>1976</v>
      </c>
      <c r="I147" s="736">
        <v>4608</v>
      </c>
      <c r="J147" s="735" t="s">
        <v>1599</v>
      </c>
      <c r="K147" s="734">
        <v>2210</v>
      </c>
      <c r="L147" s="744">
        <f t="shared" si="8"/>
        <v>5249.35</v>
      </c>
      <c r="M147" s="734">
        <v>7459.35</v>
      </c>
      <c r="N147" s="895">
        <v>4200.95</v>
      </c>
      <c r="O147" s="710">
        <f t="shared" si="9"/>
        <v>25.205699999999997</v>
      </c>
      <c r="P147" s="711">
        <f t="shared" si="10"/>
        <v>0.7876781249999999</v>
      </c>
      <c r="Q147" s="712">
        <f t="shared" si="11"/>
        <v>19357.977599999998</v>
      </c>
    </row>
    <row r="148" spans="1:17" ht="15.75" customHeight="1">
      <c r="A148" s="722" t="s">
        <v>1977</v>
      </c>
      <c r="B148" s="723">
        <v>44985</v>
      </c>
      <c r="C148" s="724" t="s">
        <v>1597</v>
      </c>
      <c r="D148" s="724" t="s">
        <v>1598</v>
      </c>
      <c r="E148" s="725">
        <v>6.5</v>
      </c>
      <c r="F148" s="722" t="s">
        <v>1599</v>
      </c>
      <c r="G148" s="722" t="s">
        <v>1600</v>
      </c>
      <c r="H148" s="722" t="s">
        <v>1809</v>
      </c>
      <c r="I148" s="727">
        <v>15168</v>
      </c>
      <c r="J148" s="726" t="s">
        <v>1599</v>
      </c>
      <c r="K148" s="725">
        <v>3700</v>
      </c>
      <c r="L148" s="743">
        <f t="shared" si="8"/>
        <v>16200</v>
      </c>
      <c r="M148" s="725">
        <v>19900</v>
      </c>
      <c r="N148" s="841">
        <v>13083</v>
      </c>
      <c r="O148" s="710">
        <f t="shared" si="9"/>
        <v>85.039500000000004</v>
      </c>
      <c r="P148" s="711">
        <f t="shared" si="10"/>
        <v>2.6574843750000001</v>
      </c>
      <c r="Q148" s="712">
        <f t="shared" si="11"/>
        <v>198442.94399999999</v>
      </c>
    </row>
    <row r="149" spans="1:17" ht="15.75" customHeight="1">
      <c r="A149" s="731" t="s">
        <v>1978</v>
      </c>
      <c r="B149" s="732">
        <v>44985</v>
      </c>
      <c r="C149" s="733" t="s">
        <v>1597</v>
      </c>
      <c r="D149" s="733" t="s">
        <v>1598</v>
      </c>
      <c r="E149" s="734">
        <v>6.5</v>
      </c>
      <c r="F149" s="731" t="s">
        <v>1599</v>
      </c>
      <c r="G149" s="731" t="s">
        <v>1600</v>
      </c>
      <c r="H149" s="731" t="s">
        <v>1809</v>
      </c>
      <c r="I149" s="736">
        <v>15168</v>
      </c>
      <c r="J149" s="735" t="s">
        <v>1599</v>
      </c>
      <c r="K149" s="734">
        <v>3900</v>
      </c>
      <c r="L149" s="744">
        <f t="shared" si="8"/>
        <v>18916.400000000001</v>
      </c>
      <c r="M149" s="734">
        <v>22816.400000000001</v>
      </c>
      <c r="N149" s="895">
        <v>15960</v>
      </c>
      <c r="O149" s="710">
        <f t="shared" si="9"/>
        <v>103.74</v>
      </c>
      <c r="P149" s="711">
        <f t="shared" si="10"/>
        <v>3.2418749999999998</v>
      </c>
      <c r="Q149" s="712">
        <f t="shared" si="11"/>
        <v>242081.28</v>
      </c>
    </row>
    <row r="150" spans="1:17" ht="15.75" customHeight="1">
      <c r="A150" s="722" t="s">
        <v>1979</v>
      </c>
      <c r="B150" s="723">
        <v>44984</v>
      </c>
      <c r="C150" s="724" t="s">
        <v>1597</v>
      </c>
      <c r="D150" s="724" t="s">
        <v>1598</v>
      </c>
      <c r="E150" s="725">
        <v>11.9</v>
      </c>
      <c r="F150" s="722" t="s">
        <v>1599</v>
      </c>
      <c r="G150" s="722" t="s">
        <v>1600</v>
      </c>
      <c r="H150" s="722" t="s">
        <v>1844</v>
      </c>
      <c r="I150" s="727">
        <v>5727</v>
      </c>
      <c r="J150" s="726" t="s">
        <v>1599</v>
      </c>
      <c r="K150" s="728">
        <v>2180</v>
      </c>
      <c r="L150" s="743">
        <f t="shared" si="8"/>
        <v>6539.3099999999995</v>
      </c>
      <c r="M150" s="741">
        <v>8719.31</v>
      </c>
      <c r="N150" s="842">
        <v>5443.38</v>
      </c>
      <c r="O150" s="710">
        <f t="shared" si="9"/>
        <v>64.776222000000004</v>
      </c>
      <c r="P150" s="711">
        <f t="shared" si="10"/>
        <v>2.0242569375000001</v>
      </c>
      <c r="Q150" s="712">
        <f t="shared" si="11"/>
        <v>31174.237260000002</v>
      </c>
    </row>
    <row r="151" spans="1:17" ht="15.75" customHeight="1">
      <c r="A151" s="731" t="s">
        <v>1980</v>
      </c>
      <c r="B151" s="732">
        <v>44984</v>
      </c>
      <c r="C151" s="733" t="s">
        <v>1597</v>
      </c>
      <c r="D151" s="733" t="s">
        <v>1598</v>
      </c>
      <c r="E151" s="734">
        <v>11.9</v>
      </c>
      <c r="F151" s="731" t="s">
        <v>1599</v>
      </c>
      <c r="G151" s="731" t="s">
        <v>1600</v>
      </c>
      <c r="H151" s="731" t="s">
        <v>1846</v>
      </c>
      <c r="I151" s="736">
        <v>5317</v>
      </c>
      <c r="J151" s="735" t="s">
        <v>1599</v>
      </c>
      <c r="K151" s="737">
        <v>2100</v>
      </c>
      <c r="L151" s="744">
        <f t="shared" si="8"/>
        <v>7614.76</v>
      </c>
      <c r="M151" s="742">
        <v>9714.76</v>
      </c>
      <c r="N151" s="843">
        <v>6637</v>
      </c>
      <c r="O151" s="710">
        <f t="shared" si="9"/>
        <v>78.9803</v>
      </c>
      <c r="P151" s="711">
        <f t="shared" si="10"/>
        <v>2.468134375</v>
      </c>
      <c r="Q151" s="712">
        <f t="shared" si="11"/>
        <v>35288.928999999996</v>
      </c>
    </row>
    <row r="152" spans="1:17" ht="15.75" customHeight="1">
      <c r="A152" s="722" t="s">
        <v>1981</v>
      </c>
      <c r="B152" s="723">
        <v>44987</v>
      </c>
      <c r="C152" s="724" t="s">
        <v>1597</v>
      </c>
      <c r="D152" s="724" t="s">
        <v>1598</v>
      </c>
      <c r="E152" s="725">
        <v>11.9</v>
      </c>
      <c r="F152" s="722" t="s">
        <v>1599</v>
      </c>
      <c r="G152" s="726" t="s">
        <v>1600</v>
      </c>
      <c r="H152" s="722" t="s">
        <v>1841</v>
      </c>
      <c r="I152" s="727">
        <v>9486</v>
      </c>
      <c r="J152" s="726" t="s">
        <v>1599</v>
      </c>
      <c r="K152" s="728">
        <v>3840</v>
      </c>
      <c r="L152" s="743">
        <f t="shared" si="8"/>
        <v>22442</v>
      </c>
      <c r="M152" s="741">
        <v>26282</v>
      </c>
      <c r="N152" s="842">
        <v>18391.599999999999</v>
      </c>
      <c r="O152" s="710">
        <f t="shared" si="9"/>
        <v>218.86003999999997</v>
      </c>
      <c r="P152" s="711">
        <f t="shared" si="10"/>
        <v>6.839376249999999</v>
      </c>
      <c r="Q152" s="712">
        <f t="shared" si="11"/>
        <v>174462.7176</v>
      </c>
    </row>
    <row r="153" spans="1:17" ht="15.75" customHeight="1">
      <c r="A153" s="731" t="s">
        <v>1982</v>
      </c>
      <c r="B153" s="732">
        <v>44987</v>
      </c>
      <c r="C153" s="733" t="s">
        <v>1597</v>
      </c>
      <c r="D153" s="733" t="s">
        <v>1598</v>
      </c>
      <c r="E153" s="734">
        <v>11.9</v>
      </c>
      <c r="F153" s="731" t="s">
        <v>1599</v>
      </c>
      <c r="G153" s="735" t="s">
        <v>1600</v>
      </c>
      <c r="H153" s="731" t="s">
        <v>1841</v>
      </c>
      <c r="I153" s="736">
        <v>9486</v>
      </c>
      <c r="J153" s="735" t="s">
        <v>1599</v>
      </c>
      <c r="K153" s="737">
        <v>3700</v>
      </c>
      <c r="L153" s="744">
        <f t="shared" si="8"/>
        <v>19344.5</v>
      </c>
      <c r="M153" s="742">
        <v>23044.5</v>
      </c>
      <c r="N153" s="843">
        <v>15577</v>
      </c>
      <c r="O153" s="710">
        <f t="shared" si="9"/>
        <v>185.36630000000002</v>
      </c>
      <c r="P153" s="711">
        <f t="shared" si="10"/>
        <v>5.7926968750000007</v>
      </c>
      <c r="Q153" s="712">
        <f t="shared" si="11"/>
        <v>147763.42199999999</v>
      </c>
    </row>
    <row r="154" spans="1:17" ht="15.75" customHeight="1">
      <c r="A154" s="701" t="s">
        <v>1983</v>
      </c>
      <c r="B154" s="723">
        <v>44989</v>
      </c>
      <c r="C154" s="701" t="s">
        <v>1597</v>
      </c>
      <c r="D154" s="701" t="s">
        <v>1598</v>
      </c>
      <c r="E154" s="703">
        <v>6.5</v>
      </c>
      <c r="F154" s="701" t="s">
        <v>1599</v>
      </c>
      <c r="G154" s="704" t="s">
        <v>1600</v>
      </c>
      <c r="H154" s="722" t="s">
        <v>1801</v>
      </c>
      <c r="I154" s="727">
        <v>9292</v>
      </c>
      <c r="J154" s="706" t="s">
        <v>1599</v>
      </c>
      <c r="K154" s="707">
        <v>2300</v>
      </c>
      <c r="L154" s="747">
        <v>14805</v>
      </c>
      <c r="M154" s="741"/>
      <c r="N154" s="842">
        <v>14226.6</v>
      </c>
      <c r="O154" s="710">
        <f t="shared" si="9"/>
        <v>92.47290000000001</v>
      </c>
      <c r="P154" s="711">
        <f t="shared" si="10"/>
        <v>2.8897781250000003</v>
      </c>
      <c r="Q154" s="712">
        <f t="shared" si="11"/>
        <v>132193.56719999999</v>
      </c>
    </row>
    <row r="155" spans="1:17" ht="15.75" customHeight="1">
      <c r="A155" s="731" t="s">
        <v>1984</v>
      </c>
      <c r="B155" s="732">
        <v>44993</v>
      </c>
      <c r="C155" s="733" t="s">
        <v>1597</v>
      </c>
      <c r="D155" s="733" t="s">
        <v>1598</v>
      </c>
      <c r="E155" s="734">
        <v>11.9</v>
      </c>
      <c r="F155" s="731" t="s">
        <v>1599</v>
      </c>
      <c r="G155" s="735" t="s">
        <v>1600</v>
      </c>
      <c r="H155" s="731" t="s">
        <v>1831</v>
      </c>
      <c r="I155" s="736">
        <v>7283</v>
      </c>
      <c r="J155" s="735" t="s">
        <v>1599</v>
      </c>
      <c r="K155" s="737">
        <v>3860</v>
      </c>
      <c r="L155" s="744">
        <f t="shared" ref="L155:L214" si="12">M155-K155</f>
        <v>23402</v>
      </c>
      <c r="M155" s="742">
        <v>27262</v>
      </c>
      <c r="N155" s="843">
        <v>20604</v>
      </c>
      <c r="O155" s="710">
        <f t="shared" si="9"/>
        <v>245.1876</v>
      </c>
      <c r="P155" s="711">
        <f t="shared" si="10"/>
        <v>7.6621125000000001</v>
      </c>
      <c r="Q155" s="712">
        <f t="shared" si="11"/>
        <v>150058.932</v>
      </c>
    </row>
    <row r="156" spans="1:17" ht="15.75" customHeight="1">
      <c r="A156" s="722" t="s">
        <v>1985</v>
      </c>
      <c r="B156" s="723">
        <v>44992</v>
      </c>
      <c r="C156" s="724" t="s">
        <v>1597</v>
      </c>
      <c r="D156" s="724" t="s">
        <v>1598</v>
      </c>
      <c r="E156" s="725">
        <v>7.1</v>
      </c>
      <c r="F156" s="722" t="s">
        <v>1599</v>
      </c>
      <c r="G156" s="726" t="s">
        <v>1600</v>
      </c>
      <c r="H156" s="722" t="s">
        <v>1831</v>
      </c>
      <c r="I156" s="727">
        <v>7283</v>
      </c>
      <c r="J156" s="726" t="s">
        <v>1599</v>
      </c>
      <c r="K156" s="728">
        <v>2160</v>
      </c>
      <c r="L156" s="743">
        <f t="shared" si="12"/>
        <v>9292</v>
      </c>
      <c r="M156" s="741">
        <v>11452</v>
      </c>
      <c r="N156" s="842">
        <v>8082</v>
      </c>
      <c r="O156" s="710">
        <f t="shared" si="9"/>
        <v>57.382199999999997</v>
      </c>
      <c r="P156" s="711">
        <f t="shared" si="10"/>
        <v>1.7931937499999999</v>
      </c>
      <c r="Q156" s="712">
        <f t="shared" si="11"/>
        <v>58861.205999999998</v>
      </c>
    </row>
    <row r="157" spans="1:17" ht="15.75" customHeight="1">
      <c r="A157" s="731" t="s">
        <v>1986</v>
      </c>
      <c r="B157" s="732">
        <v>44987</v>
      </c>
      <c r="C157" s="733" t="s">
        <v>1597</v>
      </c>
      <c r="D157" s="733" t="s">
        <v>1598</v>
      </c>
      <c r="E157" s="734">
        <v>7.1</v>
      </c>
      <c r="F157" s="731" t="s">
        <v>1599</v>
      </c>
      <c r="G157" s="735" t="s">
        <v>1600</v>
      </c>
      <c r="H157" s="731" t="s">
        <v>1884</v>
      </c>
      <c r="I157" s="736">
        <v>13413</v>
      </c>
      <c r="J157" s="735" t="s">
        <v>1599</v>
      </c>
      <c r="K157" s="737">
        <v>3700</v>
      </c>
      <c r="L157" s="744">
        <f t="shared" si="12"/>
        <v>14839</v>
      </c>
      <c r="M157" s="742">
        <v>18539</v>
      </c>
      <c r="N157" s="843">
        <v>12511.2</v>
      </c>
      <c r="O157" s="710">
        <f t="shared" si="9"/>
        <v>88.829520000000002</v>
      </c>
      <c r="P157" s="711">
        <f t="shared" si="10"/>
        <v>2.7759225000000001</v>
      </c>
      <c r="Q157" s="712">
        <f t="shared" si="11"/>
        <v>167812.72560000003</v>
      </c>
    </row>
    <row r="158" spans="1:17" ht="15.75" customHeight="1">
      <c r="A158" s="722" t="s">
        <v>1987</v>
      </c>
      <c r="B158" s="723">
        <v>44988</v>
      </c>
      <c r="C158" s="724" t="s">
        <v>1597</v>
      </c>
      <c r="D158" s="724" t="s">
        <v>1598</v>
      </c>
      <c r="E158" s="725">
        <v>6.5</v>
      </c>
      <c r="F158" s="722" t="s">
        <v>1599</v>
      </c>
      <c r="G158" s="726" t="s">
        <v>1600</v>
      </c>
      <c r="H158" s="722" t="s">
        <v>1850</v>
      </c>
      <c r="I158" s="727">
        <v>9687</v>
      </c>
      <c r="J158" s="726" t="s">
        <v>1599</v>
      </c>
      <c r="K158" s="728">
        <v>3800</v>
      </c>
      <c r="L158" s="743">
        <f t="shared" si="12"/>
        <v>19893</v>
      </c>
      <c r="M158" s="741">
        <v>23693</v>
      </c>
      <c r="N158" s="842">
        <v>18610.8</v>
      </c>
      <c r="O158" s="710">
        <f t="shared" si="9"/>
        <v>120.97019999999999</v>
      </c>
      <c r="P158" s="711">
        <f t="shared" si="10"/>
        <v>3.7803187499999997</v>
      </c>
      <c r="Q158" s="712">
        <f t="shared" si="11"/>
        <v>180282.81959999999</v>
      </c>
    </row>
    <row r="159" spans="1:17" ht="15.75" customHeight="1">
      <c r="A159" s="731" t="s">
        <v>1988</v>
      </c>
      <c r="B159" s="732">
        <v>44987</v>
      </c>
      <c r="C159" s="733" t="s">
        <v>1597</v>
      </c>
      <c r="D159" s="733" t="s">
        <v>1598</v>
      </c>
      <c r="E159" s="734">
        <v>7.1</v>
      </c>
      <c r="F159" s="733" t="s">
        <v>1599</v>
      </c>
      <c r="G159" s="733" t="s">
        <v>1600</v>
      </c>
      <c r="H159" s="731" t="s">
        <v>1886</v>
      </c>
      <c r="I159" s="736">
        <v>13877</v>
      </c>
      <c r="J159" s="740" t="s">
        <v>1599</v>
      </c>
      <c r="K159" s="737">
        <v>3840</v>
      </c>
      <c r="L159" s="744">
        <f t="shared" si="12"/>
        <v>-2416.1999999999998</v>
      </c>
      <c r="M159" s="742">
        <v>1423.8</v>
      </c>
      <c r="N159" s="843">
        <v>7660</v>
      </c>
      <c r="O159" s="710">
        <f t="shared" si="9"/>
        <v>54.386000000000003</v>
      </c>
      <c r="P159" s="711">
        <f t="shared" si="10"/>
        <v>1.6995625000000001</v>
      </c>
      <c r="Q159" s="712">
        <f t="shared" si="11"/>
        <v>106297.82</v>
      </c>
    </row>
    <row r="160" spans="1:17" ht="15.75" customHeight="1">
      <c r="A160" s="722" t="s">
        <v>1989</v>
      </c>
      <c r="B160" s="723">
        <v>44992</v>
      </c>
      <c r="C160" s="724" t="s">
        <v>1597</v>
      </c>
      <c r="D160" s="724" t="s">
        <v>1598</v>
      </c>
      <c r="E160" s="725">
        <v>11.9</v>
      </c>
      <c r="F160" s="722" t="s">
        <v>1599</v>
      </c>
      <c r="G160" s="726" t="s">
        <v>1600</v>
      </c>
      <c r="H160" s="722" t="s">
        <v>1809</v>
      </c>
      <c r="I160" s="727">
        <v>15168</v>
      </c>
      <c r="J160" s="726" t="s">
        <v>1599</v>
      </c>
      <c r="K160" s="728">
        <v>3810</v>
      </c>
      <c r="L160" s="743">
        <f t="shared" si="12"/>
        <v>18786.400000000001</v>
      </c>
      <c r="M160" s="741">
        <v>22596.400000000001</v>
      </c>
      <c r="N160" s="842">
        <v>15019.2</v>
      </c>
      <c r="O160" s="710">
        <f t="shared" si="9"/>
        <v>178.72848000000002</v>
      </c>
      <c r="P160" s="711">
        <f t="shared" si="10"/>
        <v>5.5852650000000006</v>
      </c>
      <c r="Q160" s="712">
        <f t="shared" si="11"/>
        <v>227811.22560000003</v>
      </c>
    </row>
    <row r="161" spans="1:17" ht="15.75" customHeight="1">
      <c r="A161" s="731" t="s">
        <v>1990</v>
      </c>
      <c r="B161" s="732">
        <v>44992</v>
      </c>
      <c r="C161" s="733" t="s">
        <v>1597</v>
      </c>
      <c r="D161" s="733" t="s">
        <v>1598</v>
      </c>
      <c r="E161" s="734">
        <v>11.9</v>
      </c>
      <c r="F161" s="731" t="s">
        <v>1599</v>
      </c>
      <c r="G161" s="735" t="s">
        <v>1600</v>
      </c>
      <c r="H161" s="731" t="s">
        <v>1809</v>
      </c>
      <c r="I161" s="736">
        <v>15168</v>
      </c>
      <c r="J161" s="735" t="s">
        <v>1599</v>
      </c>
      <c r="K161" s="737">
        <v>3890</v>
      </c>
      <c r="L161" s="744">
        <f t="shared" si="12"/>
        <v>18727</v>
      </c>
      <c r="M161" s="742">
        <v>22617</v>
      </c>
      <c r="N161" s="843">
        <v>14962.5</v>
      </c>
      <c r="O161" s="710">
        <f t="shared" si="9"/>
        <v>178.05375000000001</v>
      </c>
      <c r="P161" s="711">
        <f t="shared" si="10"/>
        <v>5.5641796875000002</v>
      </c>
      <c r="Q161" s="712">
        <f t="shared" si="11"/>
        <v>226951.2</v>
      </c>
    </row>
    <row r="162" spans="1:17" ht="15.75" customHeight="1">
      <c r="A162" s="722" t="s">
        <v>1991</v>
      </c>
      <c r="B162" s="723">
        <v>44992</v>
      </c>
      <c r="C162" s="724" t="s">
        <v>1597</v>
      </c>
      <c r="D162" s="724" t="s">
        <v>1598</v>
      </c>
      <c r="E162" s="725">
        <v>6.2</v>
      </c>
      <c r="F162" s="722" t="s">
        <v>1599</v>
      </c>
      <c r="G162" s="726" t="s">
        <v>1600</v>
      </c>
      <c r="H162" s="722" t="s">
        <v>1809</v>
      </c>
      <c r="I162" s="727">
        <v>15168</v>
      </c>
      <c r="J162" s="726" t="s">
        <v>1599</v>
      </c>
      <c r="K162" s="728">
        <v>3870</v>
      </c>
      <c r="L162" s="743">
        <f t="shared" si="12"/>
        <v>18786.400000000001</v>
      </c>
      <c r="M162" s="741">
        <v>22656.400000000001</v>
      </c>
      <c r="N162" s="842">
        <v>15019.2</v>
      </c>
      <c r="O162" s="710">
        <f t="shared" si="9"/>
        <v>93.119040000000012</v>
      </c>
      <c r="P162" s="711">
        <f t="shared" si="10"/>
        <v>2.9099700000000004</v>
      </c>
      <c r="Q162" s="712">
        <f t="shared" si="11"/>
        <v>227811.22560000003</v>
      </c>
    </row>
    <row r="163" spans="1:17" ht="15.75" customHeight="1">
      <c r="A163" s="731" t="s">
        <v>1992</v>
      </c>
      <c r="B163" s="732">
        <v>44994</v>
      </c>
      <c r="C163" s="733" t="s">
        <v>1597</v>
      </c>
      <c r="D163" s="733" t="s">
        <v>1598</v>
      </c>
      <c r="E163" s="734">
        <v>7.1</v>
      </c>
      <c r="F163" s="731" t="s">
        <v>1599</v>
      </c>
      <c r="G163" s="735" t="s">
        <v>1600</v>
      </c>
      <c r="H163" s="731" t="s">
        <v>1809</v>
      </c>
      <c r="I163" s="736">
        <v>15168</v>
      </c>
      <c r="J163" s="735" t="s">
        <v>1599</v>
      </c>
      <c r="K163" s="737">
        <v>3700</v>
      </c>
      <c r="L163" s="744">
        <f t="shared" si="12"/>
        <v>16070.119999999999</v>
      </c>
      <c r="M163" s="739">
        <v>19770.12</v>
      </c>
      <c r="N163" s="843">
        <v>13384.62</v>
      </c>
      <c r="O163" s="710">
        <f t="shared" si="9"/>
        <v>95.030801999999994</v>
      </c>
      <c r="P163" s="711">
        <f t="shared" si="10"/>
        <v>2.9697125624999998</v>
      </c>
      <c r="Q163" s="712">
        <f t="shared" si="11"/>
        <v>203017.91616000002</v>
      </c>
    </row>
    <row r="164" spans="1:17" ht="15.75" customHeight="1">
      <c r="A164" s="722" t="s">
        <v>1993</v>
      </c>
      <c r="B164" s="723">
        <v>44992</v>
      </c>
      <c r="C164" s="724" t="s">
        <v>1597</v>
      </c>
      <c r="D164" s="724" t="s">
        <v>1598</v>
      </c>
      <c r="E164" s="725">
        <v>7.1</v>
      </c>
      <c r="F164" s="722" t="s">
        <v>1599</v>
      </c>
      <c r="G164" s="726" t="s">
        <v>1600</v>
      </c>
      <c r="H164" s="722" t="s">
        <v>1836</v>
      </c>
      <c r="I164" s="727">
        <v>14544</v>
      </c>
      <c r="J164" s="726" t="s">
        <v>1599</v>
      </c>
      <c r="K164" s="728">
        <v>3900</v>
      </c>
      <c r="L164" s="743">
        <f t="shared" si="12"/>
        <v>14839</v>
      </c>
      <c r="M164" s="741">
        <v>18739</v>
      </c>
      <c r="N164" s="842">
        <v>12511.2</v>
      </c>
      <c r="O164" s="710">
        <f t="shared" si="9"/>
        <v>88.829520000000002</v>
      </c>
      <c r="P164" s="711">
        <f t="shared" si="10"/>
        <v>2.7759225000000001</v>
      </c>
      <c r="Q164" s="712">
        <f t="shared" si="11"/>
        <v>181962.8928</v>
      </c>
    </row>
    <row r="165" spans="1:17" ht="15.75" customHeight="1">
      <c r="A165" s="731" t="s">
        <v>1994</v>
      </c>
      <c r="B165" s="732">
        <v>44988</v>
      </c>
      <c r="C165" s="733" t="s">
        <v>1597</v>
      </c>
      <c r="D165" s="733" t="s">
        <v>1598</v>
      </c>
      <c r="E165" s="734">
        <v>11.9</v>
      </c>
      <c r="F165" s="731" t="s">
        <v>1599</v>
      </c>
      <c r="G165" s="735" t="s">
        <v>1600</v>
      </c>
      <c r="H165" s="731" t="s">
        <v>1912</v>
      </c>
      <c r="I165" s="736">
        <v>4929</v>
      </c>
      <c r="J165" s="735" t="s">
        <v>1599</v>
      </c>
      <c r="K165" s="737">
        <v>3690</v>
      </c>
      <c r="L165" s="744">
        <f t="shared" si="12"/>
        <v>16073.099999999999</v>
      </c>
      <c r="M165" s="737">
        <v>19763.099999999999</v>
      </c>
      <c r="N165" s="843">
        <v>14123.12</v>
      </c>
      <c r="O165" s="710">
        <f t="shared" si="9"/>
        <v>168.06512800000002</v>
      </c>
      <c r="P165" s="711">
        <f t="shared" si="10"/>
        <v>5.2520352500000005</v>
      </c>
      <c r="Q165" s="712">
        <f t="shared" si="11"/>
        <v>69612.85848000001</v>
      </c>
    </row>
    <row r="166" spans="1:17" ht="15.75" customHeight="1">
      <c r="A166" s="722" t="s">
        <v>1995</v>
      </c>
      <c r="B166" s="723">
        <v>44988</v>
      </c>
      <c r="C166" s="724" t="s">
        <v>1597</v>
      </c>
      <c r="D166" s="724" t="s">
        <v>1598</v>
      </c>
      <c r="E166" s="725">
        <v>11.9</v>
      </c>
      <c r="F166" s="722" t="s">
        <v>1599</v>
      </c>
      <c r="G166" s="726" t="s">
        <v>1600</v>
      </c>
      <c r="H166" s="722" t="s">
        <v>1912</v>
      </c>
      <c r="I166" s="727">
        <v>4929</v>
      </c>
      <c r="J166" s="726" t="s">
        <v>1599</v>
      </c>
      <c r="K166" s="728">
        <v>3540</v>
      </c>
      <c r="L166" s="743">
        <f t="shared" si="12"/>
        <v>15102.599999999999</v>
      </c>
      <c r="M166" s="741">
        <v>18642.599999999999</v>
      </c>
      <c r="N166" s="842">
        <v>13606.32</v>
      </c>
      <c r="O166" s="710">
        <f t="shared" si="9"/>
        <v>161.91520800000001</v>
      </c>
      <c r="P166" s="711">
        <f t="shared" si="10"/>
        <v>5.0598502500000002</v>
      </c>
      <c r="Q166" s="712">
        <f t="shared" si="11"/>
        <v>67065.55128</v>
      </c>
    </row>
    <row r="167" spans="1:17" ht="15.75" customHeight="1">
      <c r="A167" s="731" t="s">
        <v>1996</v>
      </c>
      <c r="B167" s="732">
        <v>44988</v>
      </c>
      <c r="C167" s="733" t="s">
        <v>1597</v>
      </c>
      <c r="D167" s="733" t="s">
        <v>1598</v>
      </c>
      <c r="E167" s="734">
        <v>11.9</v>
      </c>
      <c r="F167" s="731" t="s">
        <v>1599</v>
      </c>
      <c r="G167" s="735" t="s">
        <v>1600</v>
      </c>
      <c r="H167" s="731" t="s">
        <v>1912</v>
      </c>
      <c r="I167" s="736">
        <v>4929</v>
      </c>
      <c r="J167" s="735" t="s">
        <v>1599</v>
      </c>
      <c r="K167" s="737">
        <v>3640</v>
      </c>
      <c r="L167" s="744">
        <f t="shared" si="12"/>
        <v>13216.439999999999</v>
      </c>
      <c r="M167" s="737">
        <v>16856.439999999999</v>
      </c>
      <c r="N167" s="843">
        <v>10742.56</v>
      </c>
      <c r="O167" s="710">
        <f t="shared" si="9"/>
        <v>127.83646399999999</v>
      </c>
      <c r="P167" s="711">
        <f t="shared" si="10"/>
        <v>3.9948894999999998</v>
      </c>
      <c r="Q167" s="712">
        <f t="shared" si="11"/>
        <v>52950.078239999995</v>
      </c>
    </row>
    <row r="168" spans="1:17" ht="15.75" customHeight="1">
      <c r="A168" s="722" t="s">
        <v>1997</v>
      </c>
      <c r="B168" s="723">
        <v>44993</v>
      </c>
      <c r="C168" s="724" t="s">
        <v>1597</v>
      </c>
      <c r="D168" s="724" t="s">
        <v>1598</v>
      </c>
      <c r="E168" s="725">
        <v>5.2</v>
      </c>
      <c r="F168" s="722" t="s">
        <v>1599</v>
      </c>
      <c r="G168" s="726" t="s">
        <v>1600</v>
      </c>
      <c r="H168" s="722" t="s">
        <v>1825</v>
      </c>
      <c r="I168" s="727">
        <v>15486</v>
      </c>
      <c r="J168" s="726" t="s">
        <v>1599</v>
      </c>
      <c r="K168" s="728">
        <v>3760</v>
      </c>
      <c r="L168" s="743">
        <f t="shared" si="12"/>
        <v>11106.64</v>
      </c>
      <c r="M168" s="741">
        <v>14866.64</v>
      </c>
      <c r="N168" s="842">
        <v>8256.48</v>
      </c>
      <c r="O168" s="710">
        <f t="shared" si="9"/>
        <v>42.933695999999998</v>
      </c>
      <c r="P168" s="711">
        <f t="shared" si="10"/>
        <v>1.3416779999999999</v>
      </c>
      <c r="Q168" s="712">
        <f t="shared" si="11"/>
        <v>127859.84927999998</v>
      </c>
    </row>
    <row r="169" spans="1:17" ht="15.75" customHeight="1">
      <c r="A169" s="731" t="s">
        <v>1998</v>
      </c>
      <c r="B169" s="732">
        <v>44992</v>
      </c>
      <c r="C169" s="733" t="s">
        <v>1597</v>
      </c>
      <c r="D169" s="733" t="s">
        <v>1598</v>
      </c>
      <c r="E169" s="734">
        <v>7.1</v>
      </c>
      <c r="F169" s="731" t="s">
        <v>1599</v>
      </c>
      <c r="G169" s="735" t="s">
        <v>1600</v>
      </c>
      <c r="H169" s="731" t="s">
        <v>1884</v>
      </c>
      <c r="I169" s="736">
        <v>13413</v>
      </c>
      <c r="J169" s="735" t="s">
        <v>1599</v>
      </c>
      <c r="K169" s="737">
        <v>3900</v>
      </c>
      <c r="L169" s="744">
        <f t="shared" si="12"/>
        <v>19071.599999999999</v>
      </c>
      <c r="M169" s="742">
        <v>22971.599999999999</v>
      </c>
      <c r="N169" s="843">
        <v>15602.4</v>
      </c>
      <c r="O169" s="710">
        <f t="shared" si="9"/>
        <v>110.77704</v>
      </c>
      <c r="P169" s="711">
        <f t="shared" si="10"/>
        <v>3.4617825</v>
      </c>
      <c r="Q169" s="712">
        <f t="shared" si="11"/>
        <v>209274.99119999999</v>
      </c>
    </row>
    <row r="170" spans="1:17" ht="15.75" customHeight="1">
      <c r="A170" s="722" t="s">
        <v>1999</v>
      </c>
      <c r="B170" s="723">
        <v>44998</v>
      </c>
      <c r="C170" s="724" t="s">
        <v>1597</v>
      </c>
      <c r="D170" s="724" t="s">
        <v>1598</v>
      </c>
      <c r="E170" s="725">
        <v>6.5</v>
      </c>
      <c r="F170" s="722" t="s">
        <v>1599</v>
      </c>
      <c r="G170" s="726" t="s">
        <v>1600</v>
      </c>
      <c r="H170" s="722" t="s">
        <v>1880</v>
      </c>
      <c r="I170" s="727">
        <v>13558</v>
      </c>
      <c r="J170" s="726" t="s">
        <v>1599</v>
      </c>
      <c r="K170" s="728">
        <v>3700</v>
      </c>
      <c r="L170" s="743">
        <f t="shared" si="12"/>
        <v>17115</v>
      </c>
      <c r="M170" s="730">
        <v>20815</v>
      </c>
      <c r="N170" s="842">
        <v>13187</v>
      </c>
      <c r="O170" s="710">
        <f t="shared" si="9"/>
        <v>85.715500000000006</v>
      </c>
      <c r="P170" s="711">
        <f t="shared" si="10"/>
        <v>2.6786093750000002</v>
      </c>
      <c r="Q170" s="712">
        <f t="shared" si="11"/>
        <v>178789.34599999999</v>
      </c>
    </row>
    <row r="171" spans="1:17" ht="15.75" customHeight="1">
      <c r="A171" s="731" t="s">
        <v>2000</v>
      </c>
      <c r="B171" s="732">
        <v>44992</v>
      </c>
      <c r="C171" s="733" t="s">
        <v>1597</v>
      </c>
      <c r="D171" s="733" t="s">
        <v>1598</v>
      </c>
      <c r="E171" s="734">
        <v>11.9</v>
      </c>
      <c r="F171" s="731" t="s">
        <v>1599</v>
      </c>
      <c r="G171" s="735" t="s">
        <v>1600</v>
      </c>
      <c r="H171" s="731" t="s">
        <v>1807</v>
      </c>
      <c r="I171" s="736">
        <v>1734</v>
      </c>
      <c r="J171" s="735" t="s">
        <v>1599</v>
      </c>
      <c r="K171" s="737">
        <v>3600</v>
      </c>
      <c r="L171" s="744">
        <f t="shared" si="12"/>
        <v>11610.5</v>
      </c>
      <c r="M171" s="742">
        <v>15210.5</v>
      </c>
      <c r="N171" s="843">
        <v>8827.2000000000007</v>
      </c>
      <c r="O171" s="710">
        <f t="shared" si="9"/>
        <v>105.04368000000001</v>
      </c>
      <c r="P171" s="711">
        <f t="shared" si="10"/>
        <v>3.2826150000000003</v>
      </c>
      <c r="Q171" s="712">
        <f t="shared" si="11"/>
        <v>15306.364800000001</v>
      </c>
    </row>
    <row r="172" spans="1:17" ht="15.75" customHeight="1">
      <c r="A172" s="722" t="s">
        <v>2001</v>
      </c>
      <c r="B172" s="723">
        <v>45002</v>
      </c>
      <c r="C172" s="724" t="s">
        <v>1597</v>
      </c>
      <c r="D172" s="724" t="s">
        <v>1598</v>
      </c>
      <c r="E172" s="725">
        <v>6</v>
      </c>
      <c r="F172" s="722" t="s">
        <v>1599</v>
      </c>
      <c r="G172" s="726" t="s">
        <v>1600</v>
      </c>
      <c r="H172" s="722" t="s">
        <v>1818</v>
      </c>
      <c r="I172" s="727">
        <v>14000</v>
      </c>
      <c r="J172" s="726" t="s">
        <v>1599</v>
      </c>
      <c r="K172" s="728">
        <v>3730</v>
      </c>
      <c r="L172" s="743">
        <f t="shared" si="12"/>
        <v>17407.7</v>
      </c>
      <c r="M172" s="730">
        <v>21137.7</v>
      </c>
      <c r="N172" s="842">
        <v>15179.34</v>
      </c>
      <c r="O172" s="710">
        <f t="shared" si="9"/>
        <v>91.076040000000006</v>
      </c>
      <c r="P172" s="711">
        <f t="shared" si="10"/>
        <v>2.8461262500000002</v>
      </c>
      <c r="Q172" s="712">
        <f t="shared" si="11"/>
        <v>212510.76</v>
      </c>
    </row>
    <row r="173" spans="1:17" ht="15.75" customHeight="1">
      <c r="A173" s="731" t="s">
        <v>2002</v>
      </c>
      <c r="B173" s="732">
        <v>44994</v>
      </c>
      <c r="C173" s="733" t="s">
        <v>1597</v>
      </c>
      <c r="D173" s="733" t="s">
        <v>1598</v>
      </c>
      <c r="E173" s="734">
        <v>4.0999999999999996</v>
      </c>
      <c r="F173" s="731" t="s">
        <v>1599</v>
      </c>
      <c r="G173" s="735" t="s">
        <v>1600</v>
      </c>
      <c r="H173" s="731" t="s">
        <v>2003</v>
      </c>
      <c r="I173" s="736">
        <v>9292</v>
      </c>
      <c r="J173" s="735" t="s">
        <v>1599</v>
      </c>
      <c r="K173" s="737">
        <v>3795</v>
      </c>
      <c r="L173" s="744">
        <f t="shared" si="12"/>
        <v>11493.1</v>
      </c>
      <c r="M173" s="739">
        <v>15288.1</v>
      </c>
      <c r="N173" s="843">
        <v>7386</v>
      </c>
      <c r="O173" s="710">
        <f t="shared" si="9"/>
        <v>30.282599999999999</v>
      </c>
      <c r="P173" s="711">
        <f t="shared" si="10"/>
        <v>0.94633124999999996</v>
      </c>
      <c r="Q173" s="712">
        <f t="shared" si="11"/>
        <v>68630.712</v>
      </c>
    </row>
    <row r="174" spans="1:17" ht="15.75" customHeight="1">
      <c r="A174" s="722" t="s">
        <v>2004</v>
      </c>
      <c r="B174" s="723">
        <v>45002</v>
      </c>
      <c r="C174" s="724" t="s">
        <v>1597</v>
      </c>
      <c r="D174" s="724" t="s">
        <v>1598</v>
      </c>
      <c r="E174" s="725">
        <v>6.5</v>
      </c>
      <c r="F174" s="722" t="s">
        <v>1599</v>
      </c>
      <c r="G174" s="726" t="s">
        <v>1600</v>
      </c>
      <c r="H174" s="722" t="s">
        <v>1850</v>
      </c>
      <c r="I174" s="727">
        <v>9687</v>
      </c>
      <c r="J174" s="726" t="s">
        <v>1599</v>
      </c>
      <c r="K174" s="728">
        <v>3650</v>
      </c>
      <c r="L174" s="743">
        <f t="shared" si="12"/>
        <v>25027</v>
      </c>
      <c r="M174" s="730">
        <v>28677</v>
      </c>
      <c r="N174" s="842">
        <v>23842</v>
      </c>
      <c r="O174" s="710">
        <f t="shared" si="9"/>
        <v>154.97300000000001</v>
      </c>
      <c r="P174" s="711">
        <f t="shared" si="10"/>
        <v>4.8429062500000004</v>
      </c>
      <c r="Q174" s="712">
        <f t="shared" si="11"/>
        <v>230957.454</v>
      </c>
    </row>
    <row r="175" spans="1:17" ht="15.75" customHeight="1">
      <c r="A175" s="731" t="s">
        <v>2005</v>
      </c>
      <c r="B175" s="732">
        <v>44993</v>
      </c>
      <c r="C175" s="733" t="s">
        <v>1597</v>
      </c>
      <c r="D175" s="733" t="s">
        <v>1598</v>
      </c>
      <c r="E175" s="734">
        <v>11.9</v>
      </c>
      <c r="F175" s="731" t="s">
        <v>1599</v>
      </c>
      <c r="G175" s="735" t="s">
        <v>1600</v>
      </c>
      <c r="H175" s="731" t="s">
        <v>1866</v>
      </c>
      <c r="I175" s="736">
        <v>2597</v>
      </c>
      <c r="J175" s="735" t="s">
        <v>1599</v>
      </c>
      <c r="K175" s="737">
        <v>2190</v>
      </c>
      <c r="L175" s="744">
        <f t="shared" si="12"/>
        <v>4142</v>
      </c>
      <c r="M175" s="739">
        <v>6332</v>
      </c>
      <c r="N175" s="843">
        <v>3015.5</v>
      </c>
      <c r="O175" s="710">
        <f t="shared" si="9"/>
        <v>35.884450000000001</v>
      </c>
      <c r="P175" s="711">
        <f t="shared" si="10"/>
        <v>1.1213890625</v>
      </c>
      <c r="Q175" s="712">
        <f t="shared" si="11"/>
        <v>7831.2534999999998</v>
      </c>
    </row>
    <row r="176" spans="1:17" ht="15.75" customHeight="1">
      <c r="A176" s="722" t="s">
        <v>2006</v>
      </c>
      <c r="B176" s="723">
        <v>44993</v>
      </c>
      <c r="C176" s="724" t="s">
        <v>1597</v>
      </c>
      <c r="D176" s="724" t="s">
        <v>1598</v>
      </c>
      <c r="E176" s="725">
        <v>5.2</v>
      </c>
      <c r="F176" s="722" t="s">
        <v>1599</v>
      </c>
      <c r="G176" s="726" t="s">
        <v>1600</v>
      </c>
      <c r="H176" s="722" t="s">
        <v>1798</v>
      </c>
      <c r="I176" s="727">
        <v>1931</v>
      </c>
      <c r="J176" s="726" t="s">
        <v>1599</v>
      </c>
      <c r="K176" s="728">
        <v>4762</v>
      </c>
      <c r="L176" s="743">
        <f t="shared" si="12"/>
        <v>969</v>
      </c>
      <c r="M176" s="741">
        <v>5731</v>
      </c>
      <c r="N176" s="842">
        <v>4762</v>
      </c>
      <c r="O176" s="710">
        <f t="shared" si="9"/>
        <v>24.762400000000003</v>
      </c>
      <c r="P176" s="711">
        <f t="shared" si="10"/>
        <v>0.7738250000000001</v>
      </c>
      <c r="Q176" s="712">
        <f t="shared" si="11"/>
        <v>9195.4220000000005</v>
      </c>
    </row>
    <row r="177" spans="1:17" ht="15.75" customHeight="1">
      <c r="A177" s="731" t="s">
        <v>2007</v>
      </c>
      <c r="B177" s="732">
        <v>44995</v>
      </c>
      <c r="C177" s="733" t="s">
        <v>1597</v>
      </c>
      <c r="D177" s="733" t="s">
        <v>1598</v>
      </c>
      <c r="E177" s="734">
        <v>6</v>
      </c>
      <c r="F177" s="731" t="s">
        <v>1599</v>
      </c>
      <c r="G177" s="735" t="s">
        <v>1600</v>
      </c>
      <c r="H177" s="731" t="s">
        <v>1838</v>
      </c>
      <c r="I177" s="736">
        <v>4972</v>
      </c>
      <c r="J177" s="735" t="s">
        <v>1599</v>
      </c>
      <c r="K177" s="737">
        <v>2265</v>
      </c>
      <c r="L177" s="744">
        <f t="shared" si="12"/>
        <v>7232</v>
      </c>
      <c r="M177" s="739">
        <v>9497</v>
      </c>
      <c r="N177" s="843">
        <v>5913</v>
      </c>
      <c r="O177" s="710">
        <f t="shared" si="9"/>
        <v>35.478000000000002</v>
      </c>
      <c r="P177" s="711">
        <f t="shared" si="10"/>
        <v>1.1086875</v>
      </c>
      <c r="Q177" s="712">
        <f t="shared" si="11"/>
        <v>29399.436000000002</v>
      </c>
    </row>
    <row r="178" spans="1:17" ht="15.75" customHeight="1">
      <c r="A178" s="722" t="s">
        <v>2008</v>
      </c>
      <c r="B178" s="723">
        <v>44999</v>
      </c>
      <c r="C178" s="724" t="s">
        <v>1597</v>
      </c>
      <c r="D178" s="724" t="s">
        <v>1598</v>
      </c>
      <c r="E178" s="725">
        <v>7.1</v>
      </c>
      <c r="F178" s="722" t="s">
        <v>1599</v>
      </c>
      <c r="G178" s="726" t="s">
        <v>1600</v>
      </c>
      <c r="H178" s="722" t="s">
        <v>1886</v>
      </c>
      <c r="I178" s="727">
        <v>13877</v>
      </c>
      <c r="J178" s="726" t="s">
        <v>1599</v>
      </c>
      <c r="K178" s="728">
        <v>3900</v>
      </c>
      <c r="L178" s="743">
        <f t="shared" si="12"/>
        <v>10189.799999999999</v>
      </c>
      <c r="M178" s="730">
        <v>14089.8</v>
      </c>
      <c r="N178" s="842">
        <v>7660</v>
      </c>
      <c r="O178" s="710">
        <f t="shared" si="9"/>
        <v>54.386000000000003</v>
      </c>
      <c r="P178" s="711">
        <f t="shared" si="10"/>
        <v>1.6995625000000001</v>
      </c>
      <c r="Q178" s="712">
        <f t="shared" si="11"/>
        <v>106297.82</v>
      </c>
    </row>
    <row r="179" spans="1:17" ht="15.75" customHeight="1">
      <c r="A179" s="731" t="s">
        <v>2009</v>
      </c>
      <c r="B179" s="732">
        <v>44999</v>
      </c>
      <c r="C179" s="733" t="s">
        <v>1597</v>
      </c>
      <c r="D179" s="733" t="s">
        <v>1598</v>
      </c>
      <c r="E179" s="734">
        <v>7.1</v>
      </c>
      <c r="F179" s="731" t="s">
        <v>1599</v>
      </c>
      <c r="G179" s="735" t="s">
        <v>1600</v>
      </c>
      <c r="H179" s="731" t="s">
        <v>1886</v>
      </c>
      <c r="I179" s="736">
        <v>13877</v>
      </c>
      <c r="J179" s="735" t="s">
        <v>1599</v>
      </c>
      <c r="K179" s="737">
        <v>3840</v>
      </c>
      <c r="L179" s="744">
        <f t="shared" si="12"/>
        <v>19599.5</v>
      </c>
      <c r="M179" s="739">
        <v>23439.5</v>
      </c>
      <c r="N179" s="843">
        <v>15795</v>
      </c>
      <c r="O179" s="710">
        <f t="shared" si="9"/>
        <v>112.14449999999999</v>
      </c>
      <c r="P179" s="711">
        <f t="shared" si="10"/>
        <v>3.5045156249999998</v>
      </c>
      <c r="Q179" s="712">
        <f t="shared" si="11"/>
        <v>219187.215</v>
      </c>
    </row>
    <row r="180" spans="1:17" ht="15.75" customHeight="1">
      <c r="A180" s="722" t="s">
        <v>2010</v>
      </c>
      <c r="B180" s="723">
        <v>45002</v>
      </c>
      <c r="C180" s="724" t="s">
        <v>1597</v>
      </c>
      <c r="D180" s="724" t="s">
        <v>1598</v>
      </c>
      <c r="E180" s="725">
        <v>7.1</v>
      </c>
      <c r="F180" s="722" t="s">
        <v>1599</v>
      </c>
      <c r="G180" s="726" t="s">
        <v>1600</v>
      </c>
      <c r="H180" s="722" t="s">
        <v>1886</v>
      </c>
      <c r="I180" s="727">
        <v>13877</v>
      </c>
      <c r="J180" s="726" t="s">
        <v>1599</v>
      </c>
      <c r="K180" s="728">
        <v>3840</v>
      </c>
      <c r="L180" s="743">
        <f t="shared" si="12"/>
        <v>10726</v>
      </c>
      <c r="M180" s="730">
        <v>14566</v>
      </c>
      <c r="N180" s="842">
        <v>8196.2000000000007</v>
      </c>
      <c r="O180" s="710">
        <f t="shared" si="9"/>
        <v>58.193020000000004</v>
      </c>
      <c r="P180" s="711">
        <f t="shared" si="10"/>
        <v>1.8185318750000001</v>
      </c>
      <c r="Q180" s="712">
        <f t="shared" si="11"/>
        <v>113738.66740000001</v>
      </c>
    </row>
    <row r="181" spans="1:17" ht="15.75" customHeight="1">
      <c r="A181" s="731" t="s">
        <v>2011</v>
      </c>
      <c r="B181" s="732">
        <v>45000</v>
      </c>
      <c r="C181" s="733" t="s">
        <v>1597</v>
      </c>
      <c r="D181" s="733" t="s">
        <v>1598</v>
      </c>
      <c r="E181" s="734">
        <v>7.1</v>
      </c>
      <c r="F181" s="731" t="s">
        <v>1599</v>
      </c>
      <c r="G181" s="735" t="s">
        <v>1600</v>
      </c>
      <c r="H181" s="731" t="s">
        <v>1886</v>
      </c>
      <c r="I181" s="736">
        <v>13877</v>
      </c>
      <c r="J181" s="735" t="s">
        <v>1599</v>
      </c>
      <c r="K181" s="737">
        <v>3700</v>
      </c>
      <c r="L181" s="744">
        <f t="shared" si="12"/>
        <v>12014</v>
      </c>
      <c r="M181" s="739">
        <v>15714</v>
      </c>
      <c r="N181" s="843">
        <v>8988</v>
      </c>
      <c r="O181" s="710">
        <f t="shared" si="9"/>
        <v>63.814799999999998</v>
      </c>
      <c r="P181" s="711">
        <f t="shared" si="10"/>
        <v>1.9942124999999999</v>
      </c>
      <c r="Q181" s="712">
        <f t="shared" si="11"/>
        <v>124726.476</v>
      </c>
    </row>
    <row r="182" spans="1:17" ht="15.75" customHeight="1">
      <c r="A182" s="722" t="s">
        <v>2012</v>
      </c>
      <c r="B182" s="723">
        <v>45000</v>
      </c>
      <c r="C182" s="724" t="s">
        <v>1597</v>
      </c>
      <c r="D182" s="724" t="s">
        <v>1598</v>
      </c>
      <c r="E182" s="725">
        <v>7.1</v>
      </c>
      <c r="F182" s="722" t="s">
        <v>1599</v>
      </c>
      <c r="G182" s="726" t="s">
        <v>1600</v>
      </c>
      <c r="H182" s="722" t="s">
        <v>1886</v>
      </c>
      <c r="I182" s="727">
        <v>13877</v>
      </c>
      <c r="J182" s="726" t="s">
        <v>1599</v>
      </c>
      <c r="K182" s="728">
        <v>3700</v>
      </c>
      <c r="L182" s="743">
        <f t="shared" si="12"/>
        <v>10189.799999999999</v>
      </c>
      <c r="M182" s="730">
        <v>13889.8</v>
      </c>
      <c r="N182" s="842">
        <v>7660</v>
      </c>
      <c r="O182" s="710">
        <f t="shared" si="9"/>
        <v>54.386000000000003</v>
      </c>
      <c r="P182" s="711">
        <f t="shared" si="10"/>
        <v>1.6995625000000001</v>
      </c>
      <c r="Q182" s="712">
        <f t="shared" si="11"/>
        <v>106297.82</v>
      </c>
    </row>
    <row r="183" spans="1:17" ht="15.75" customHeight="1">
      <c r="A183" s="731" t="s">
        <v>2013</v>
      </c>
      <c r="B183" s="732">
        <v>45002</v>
      </c>
      <c r="C183" s="733" t="s">
        <v>1597</v>
      </c>
      <c r="D183" s="733" t="s">
        <v>1598</v>
      </c>
      <c r="E183" s="734">
        <v>7.1</v>
      </c>
      <c r="F183" s="731" t="s">
        <v>1599</v>
      </c>
      <c r="G183" s="735" t="s">
        <v>1600</v>
      </c>
      <c r="H183" s="731" t="s">
        <v>1886</v>
      </c>
      <c r="I183" s="736">
        <v>13877</v>
      </c>
      <c r="J183" s="735" t="s">
        <v>1599</v>
      </c>
      <c r="K183" s="737">
        <v>3620</v>
      </c>
      <c r="L183" s="744">
        <f t="shared" si="12"/>
        <v>10213.4</v>
      </c>
      <c r="M183" s="739">
        <v>13833.4</v>
      </c>
      <c r="N183" s="843">
        <v>7356.6</v>
      </c>
      <c r="O183" s="710">
        <f t="shared" si="9"/>
        <v>52.231859999999998</v>
      </c>
      <c r="P183" s="711">
        <f t="shared" si="10"/>
        <v>1.6322456249999999</v>
      </c>
      <c r="Q183" s="712">
        <f t="shared" si="11"/>
        <v>102087.53820000001</v>
      </c>
    </row>
    <row r="184" spans="1:17" ht="15.75" customHeight="1">
      <c r="A184" s="722" t="s">
        <v>2014</v>
      </c>
      <c r="B184" s="723">
        <v>44998</v>
      </c>
      <c r="C184" s="724" t="s">
        <v>1597</v>
      </c>
      <c r="D184" s="724" t="s">
        <v>1598</v>
      </c>
      <c r="E184" s="725">
        <v>7.1</v>
      </c>
      <c r="F184" s="722" t="s">
        <v>1599</v>
      </c>
      <c r="G184" s="726" t="s">
        <v>1600</v>
      </c>
      <c r="H184" s="722" t="s">
        <v>1893</v>
      </c>
      <c r="I184" s="727">
        <v>2167</v>
      </c>
      <c r="J184" s="726" t="s">
        <v>1599</v>
      </c>
      <c r="K184" s="728">
        <v>2220</v>
      </c>
      <c r="L184" s="743">
        <f t="shared" si="12"/>
        <v>4388.76</v>
      </c>
      <c r="M184" s="730">
        <v>6608.76</v>
      </c>
      <c r="N184" s="842">
        <v>3284.72</v>
      </c>
      <c r="O184" s="710">
        <f t="shared" si="9"/>
        <v>23.321511999999998</v>
      </c>
      <c r="P184" s="711">
        <f t="shared" si="10"/>
        <v>0.72879724999999995</v>
      </c>
      <c r="Q184" s="712">
        <f t="shared" si="11"/>
        <v>7117.9882399999997</v>
      </c>
    </row>
    <row r="185" spans="1:17" ht="15.75" customHeight="1">
      <c r="A185" s="731" t="s">
        <v>2015</v>
      </c>
      <c r="B185" s="732">
        <v>44998</v>
      </c>
      <c r="C185" s="733" t="s">
        <v>1597</v>
      </c>
      <c r="D185" s="733" t="s">
        <v>1598</v>
      </c>
      <c r="E185" s="734">
        <v>7.1</v>
      </c>
      <c r="F185" s="731" t="s">
        <v>1599</v>
      </c>
      <c r="G185" s="735" t="s">
        <v>1600</v>
      </c>
      <c r="H185" s="731" t="s">
        <v>1893</v>
      </c>
      <c r="I185" s="736">
        <v>2167</v>
      </c>
      <c r="J185" s="735" t="s">
        <v>1599</v>
      </c>
      <c r="K185" s="737">
        <v>2330</v>
      </c>
      <c r="L185" s="744">
        <f t="shared" si="12"/>
        <v>4388.76</v>
      </c>
      <c r="M185" s="739">
        <v>6718.76</v>
      </c>
      <c r="N185" s="843">
        <v>3284.72</v>
      </c>
      <c r="O185" s="710">
        <f t="shared" si="9"/>
        <v>23.321511999999998</v>
      </c>
      <c r="P185" s="711">
        <f t="shared" si="10"/>
        <v>0.72879724999999995</v>
      </c>
      <c r="Q185" s="712">
        <f t="shared" si="11"/>
        <v>7117.9882399999997</v>
      </c>
    </row>
    <row r="186" spans="1:17" ht="15.75" customHeight="1">
      <c r="A186" s="722" t="s">
        <v>2016</v>
      </c>
      <c r="B186" s="723">
        <v>44999</v>
      </c>
      <c r="C186" s="724" t="s">
        <v>1597</v>
      </c>
      <c r="D186" s="724" t="s">
        <v>1598</v>
      </c>
      <c r="E186" s="725">
        <v>7.1</v>
      </c>
      <c r="F186" s="722" t="s">
        <v>1599</v>
      </c>
      <c r="G186" s="726" t="s">
        <v>1600</v>
      </c>
      <c r="H186" s="722" t="s">
        <v>1836</v>
      </c>
      <c r="I186" s="727">
        <v>14544</v>
      </c>
      <c r="J186" s="726" t="s">
        <v>1599</v>
      </c>
      <c r="K186" s="728">
        <v>3830</v>
      </c>
      <c r="L186" s="743">
        <f t="shared" si="12"/>
        <v>14839</v>
      </c>
      <c r="M186" s="730">
        <v>18669</v>
      </c>
      <c r="N186" s="842">
        <v>12511.2</v>
      </c>
      <c r="O186" s="710">
        <f t="shared" si="9"/>
        <v>88.829520000000002</v>
      </c>
      <c r="P186" s="711">
        <f t="shared" si="10"/>
        <v>2.7759225000000001</v>
      </c>
      <c r="Q186" s="712">
        <f t="shared" si="11"/>
        <v>181962.8928</v>
      </c>
    </row>
    <row r="187" spans="1:17" ht="15.75" customHeight="1">
      <c r="A187" s="731" t="s">
        <v>2017</v>
      </c>
      <c r="B187" s="732">
        <v>45002</v>
      </c>
      <c r="C187" s="733" t="s">
        <v>1597</v>
      </c>
      <c r="D187" s="733" t="s">
        <v>1598</v>
      </c>
      <c r="E187" s="734">
        <v>7.1</v>
      </c>
      <c r="F187" s="731" t="s">
        <v>1599</v>
      </c>
      <c r="G187" s="735" t="s">
        <v>1600</v>
      </c>
      <c r="H187" s="731" t="s">
        <v>1941</v>
      </c>
      <c r="I187" s="736">
        <v>1588</v>
      </c>
      <c r="J187" s="735" t="s">
        <v>1599</v>
      </c>
      <c r="K187" s="737">
        <v>2200</v>
      </c>
      <c r="L187" s="744">
        <f t="shared" si="12"/>
        <v>4337.28</v>
      </c>
      <c r="M187" s="739">
        <v>6537.28</v>
      </c>
      <c r="N187" s="843">
        <v>3222.92</v>
      </c>
      <c r="O187" s="710">
        <f t="shared" si="9"/>
        <v>22.882732000000001</v>
      </c>
      <c r="P187" s="711">
        <f t="shared" si="10"/>
        <v>0.71508537500000002</v>
      </c>
      <c r="Q187" s="712">
        <f t="shared" si="11"/>
        <v>5117.9969600000004</v>
      </c>
    </row>
    <row r="188" spans="1:17" s="862" customFormat="1" ht="15.75" customHeight="1">
      <c r="A188" s="850" t="s">
        <v>2018</v>
      </c>
      <c r="B188" s="851">
        <v>45001</v>
      </c>
      <c r="C188" s="852" t="s">
        <v>1597</v>
      </c>
      <c r="D188" s="852" t="s">
        <v>1598</v>
      </c>
      <c r="E188" s="853">
        <v>7.1</v>
      </c>
      <c r="F188" s="850" t="s">
        <v>1599</v>
      </c>
      <c r="G188" s="854" t="s">
        <v>1600</v>
      </c>
      <c r="H188" s="850" t="s">
        <v>1825</v>
      </c>
      <c r="I188" s="855">
        <v>15486</v>
      </c>
      <c r="J188" s="854" t="s">
        <v>1599</v>
      </c>
      <c r="K188" s="856">
        <v>3780</v>
      </c>
      <c r="L188" s="857">
        <f t="shared" si="12"/>
        <v>8878.36</v>
      </c>
      <c r="M188" s="858">
        <v>12658.36</v>
      </c>
      <c r="N188" s="896">
        <v>6402.7</v>
      </c>
      <c r="O188" s="859">
        <f t="shared" si="9"/>
        <v>45.45917</v>
      </c>
      <c r="P188" s="860">
        <f t="shared" si="10"/>
        <v>1.4205990625</v>
      </c>
      <c r="Q188" s="861">
        <f t="shared" si="11"/>
        <v>99152.212200000009</v>
      </c>
    </row>
    <row r="189" spans="1:17" ht="15.75" customHeight="1">
      <c r="A189" s="731" t="s">
        <v>2019</v>
      </c>
      <c r="B189" s="732">
        <v>45001</v>
      </c>
      <c r="C189" s="733" t="s">
        <v>1597</v>
      </c>
      <c r="D189" s="733" t="s">
        <v>1598</v>
      </c>
      <c r="E189" s="734">
        <v>6.2</v>
      </c>
      <c r="F189" s="731" t="s">
        <v>1599</v>
      </c>
      <c r="G189" s="735" t="s">
        <v>1600</v>
      </c>
      <c r="H189" s="731" t="s">
        <v>1884</v>
      </c>
      <c r="I189" s="736">
        <v>13413</v>
      </c>
      <c r="J189" s="735" t="s">
        <v>1599</v>
      </c>
      <c r="K189" s="737">
        <v>3780</v>
      </c>
      <c r="L189" s="744">
        <f t="shared" si="12"/>
        <v>19071.599999999999</v>
      </c>
      <c r="M189" s="739">
        <v>22851.599999999999</v>
      </c>
      <c r="N189" s="843">
        <v>15602.4</v>
      </c>
      <c r="O189" s="710">
        <f t="shared" si="9"/>
        <v>96.734880000000004</v>
      </c>
      <c r="P189" s="711">
        <f t="shared" si="10"/>
        <v>3.0229650000000001</v>
      </c>
      <c r="Q189" s="712">
        <f t="shared" si="11"/>
        <v>209274.99119999999</v>
      </c>
    </row>
    <row r="190" spans="1:17" ht="15.75" customHeight="1">
      <c r="A190" s="722" t="s">
        <v>2020</v>
      </c>
      <c r="B190" s="723">
        <v>45002</v>
      </c>
      <c r="C190" s="724" t="s">
        <v>1597</v>
      </c>
      <c r="D190" s="724" t="s">
        <v>1598</v>
      </c>
      <c r="E190" s="725">
        <v>6.5</v>
      </c>
      <c r="F190" s="722" t="s">
        <v>1599</v>
      </c>
      <c r="G190" s="726" t="s">
        <v>1600</v>
      </c>
      <c r="H190" s="722" t="s">
        <v>1963</v>
      </c>
      <c r="I190" s="727">
        <v>14253</v>
      </c>
      <c r="J190" s="726" t="s">
        <v>1599</v>
      </c>
      <c r="K190" s="728">
        <v>3900</v>
      </c>
      <c r="L190" s="743">
        <f t="shared" si="12"/>
        <v>11424.08</v>
      </c>
      <c r="M190" s="730">
        <v>15324.08</v>
      </c>
      <c r="N190" s="842">
        <v>8558.64</v>
      </c>
      <c r="O190" s="710">
        <f t="shared" si="9"/>
        <v>55.631159999999994</v>
      </c>
      <c r="P190" s="711">
        <f t="shared" si="10"/>
        <v>1.7384737499999998</v>
      </c>
      <c r="Q190" s="712">
        <f t="shared" si="11"/>
        <v>121986.29591999999</v>
      </c>
    </row>
    <row r="191" spans="1:17" ht="15.75" customHeight="1">
      <c r="A191" s="731" t="s">
        <v>2021</v>
      </c>
      <c r="B191" s="732">
        <v>45005</v>
      </c>
      <c r="C191" s="733" t="s">
        <v>1597</v>
      </c>
      <c r="D191" s="733" t="s">
        <v>1598</v>
      </c>
      <c r="E191" s="734">
        <v>6.5</v>
      </c>
      <c r="F191" s="731" t="s">
        <v>1599</v>
      </c>
      <c r="G191" s="735" t="s">
        <v>1600</v>
      </c>
      <c r="H191" s="731" t="s">
        <v>1850</v>
      </c>
      <c r="I191" s="736">
        <v>9687</v>
      </c>
      <c r="J191" s="735" t="s">
        <v>1599</v>
      </c>
      <c r="K191" s="737">
        <v>3670</v>
      </c>
      <c r="L191" s="744">
        <f t="shared" si="12"/>
        <v>19465.5</v>
      </c>
      <c r="M191" s="739">
        <v>23135.5</v>
      </c>
      <c r="N191" s="843">
        <v>18402.3</v>
      </c>
      <c r="O191" s="710">
        <f t="shared" si="9"/>
        <v>119.61494999999999</v>
      </c>
      <c r="P191" s="711">
        <f t="shared" si="10"/>
        <v>3.7379671874999998</v>
      </c>
      <c r="Q191" s="712">
        <f t="shared" si="11"/>
        <v>178263.08009999999</v>
      </c>
    </row>
    <row r="192" spans="1:17" ht="15.75" customHeight="1">
      <c r="A192" s="722" t="s">
        <v>2022</v>
      </c>
      <c r="B192" s="723">
        <v>45005</v>
      </c>
      <c r="C192" s="724" t="s">
        <v>1597</v>
      </c>
      <c r="D192" s="724" t="s">
        <v>1598</v>
      </c>
      <c r="E192" s="725">
        <v>11.7</v>
      </c>
      <c r="F192" s="722" t="s">
        <v>1599</v>
      </c>
      <c r="G192" s="726" t="s">
        <v>1600</v>
      </c>
      <c r="H192" s="722" t="s">
        <v>1965</v>
      </c>
      <c r="I192" s="727">
        <v>5092</v>
      </c>
      <c r="J192" s="726" t="s">
        <v>1599</v>
      </c>
      <c r="K192" s="728">
        <v>2200</v>
      </c>
      <c r="L192" s="743">
        <f t="shared" si="12"/>
        <v>5625.4</v>
      </c>
      <c r="M192" s="730">
        <v>7825.4</v>
      </c>
      <c r="N192" s="842">
        <v>4613.8999999999996</v>
      </c>
      <c r="O192" s="710">
        <f t="shared" si="9"/>
        <v>53.982629999999993</v>
      </c>
      <c r="P192" s="711">
        <f t="shared" si="10"/>
        <v>1.6869571874999998</v>
      </c>
      <c r="Q192" s="712">
        <f t="shared" si="11"/>
        <v>23493.978799999997</v>
      </c>
    </row>
    <row r="193" spans="1:17" ht="15.75" customHeight="1">
      <c r="A193" s="731" t="s">
        <v>2023</v>
      </c>
      <c r="B193" s="732">
        <v>45006</v>
      </c>
      <c r="C193" s="733" t="s">
        <v>1597</v>
      </c>
      <c r="D193" s="733" t="s">
        <v>1598</v>
      </c>
      <c r="E193" s="734">
        <v>6.5</v>
      </c>
      <c r="F193" s="731" t="s">
        <v>1599</v>
      </c>
      <c r="G193" s="735" t="s">
        <v>1600</v>
      </c>
      <c r="H193" s="731" t="s">
        <v>1809</v>
      </c>
      <c r="I193" s="736">
        <v>15168</v>
      </c>
      <c r="J193" s="735" t="s">
        <v>1599</v>
      </c>
      <c r="K193" s="737">
        <v>3810</v>
      </c>
      <c r="L193" s="744">
        <f t="shared" si="12"/>
        <v>-1634.6</v>
      </c>
      <c r="M193" s="739">
        <v>2175.4</v>
      </c>
      <c r="N193" s="843">
        <v>15019.2</v>
      </c>
      <c r="O193" s="710">
        <f t="shared" si="9"/>
        <v>97.624800000000008</v>
      </c>
      <c r="P193" s="711">
        <f t="shared" si="10"/>
        <v>3.0507750000000002</v>
      </c>
      <c r="Q193" s="712">
        <f t="shared" si="11"/>
        <v>227811.22560000003</v>
      </c>
    </row>
    <row r="194" spans="1:17" ht="15.75" customHeight="1">
      <c r="A194" s="722" t="s">
        <v>2024</v>
      </c>
      <c r="B194" s="723">
        <v>45006</v>
      </c>
      <c r="C194" s="724" t="s">
        <v>1597</v>
      </c>
      <c r="D194" s="724" t="s">
        <v>1598</v>
      </c>
      <c r="E194" s="725">
        <v>6.2</v>
      </c>
      <c r="F194" s="722" t="s">
        <v>1599</v>
      </c>
      <c r="G194" s="726" t="s">
        <v>1600</v>
      </c>
      <c r="H194" s="722" t="s">
        <v>1809</v>
      </c>
      <c r="I194" s="727">
        <v>15168</v>
      </c>
      <c r="J194" s="726" t="s">
        <v>1599</v>
      </c>
      <c r="K194" s="728">
        <v>3860</v>
      </c>
      <c r="L194" s="743">
        <f t="shared" si="12"/>
        <v>18909.400000000001</v>
      </c>
      <c r="M194" s="730">
        <v>22769.4</v>
      </c>
      <c r="N194" s="842">
        <v>15019.2</v>
      </c>
      <c r="O194" s="710">
        <f t="shared" si="9"/>
        <v>93.119040000000012</v>
      </c>
      <c r="P194" s="711">
        <f t="shared" si="10"/>
        <v>2.9099700000000004</v>
      </c>
      <c r="Q194" s="712">
        <f t="shared" si="11"/>
        <v>227811.22560000003</v>
      </c>
    </row>
    <row r="195" spans="1:17" ht="15.75" customHeight="1">
      <c r="A195" s="731" t="s">
        <v>2025</v>
      </c>
      <c r="B195" s="732">
        <v>45007</v>
      </c>
      <c r="C195" s="733" t="s">
        <v>1597</v>
      </c>
      <c r="D195" s="733" t="s">
        <v>1598</v>
      </c>
      <c r="E195" s="734">
        <v>6.2</v>
      </c>
      <c r="F195" s="731" t="s">
        <v>1599</v>
      </c>
      <c r="G195" s="735" t="s">
        <v>1600</v>
      </c>
      <c r="H195" s="731" t="s">
        <v>1828</v>
      </c>
      <c r="I195" s="736">
        <v>7448</v>
      </c>
      <c r="J195" s="735" t="s">
        <v>1599</v>
      </c>
      <c r="K195" s="737">
        <v>3850</v>
      </c>
      <c r="L195" s="744">
        <f t="shared" si="12"/>
        <v>23572</v>
      </c>
      <c r="M195" s="742">
        <v>27422</v>
      </c>
      <c r="N195" s="843">
        <v>19211</v>
      </c>
      <c r="O195" s="710">
        <f t="shared" si="9"/>
        <v>119.1082</v>
      </c>
      <c r="P195" s="711">
        <f t="shared" si="10"/>
        <v>3.7221312499999999</v>
      </c>
      <c r="Q195" s="712">
        <f t="shared" si="11"/>
        <v>143083.52799999999</v>
      </c>
    </row>
    <row r="196" spans="1:17" ht="15.75" customHeight="1">
      <c r="A196" s="722" t="s">
        <v>2026</v>
      </c>
      <c r="B196" s="723">
        <v>45007</v>
      </c>
      <c r="C196" s="724" t="s">
        <v>1597</v>
      </c>
      <c r="D196" s="724" t="s">
        <v>1598</v>
      </c>
      <c r="E196" s="725">
        <v>6.2</v>
      </c>
      <c r="F196" s="722" t="s">
        <v>1599</v>
      </c>
      <c r="G196" s="726" t="s">
        <v>1600</v>
      </c>
      <c r="H196" s="722" t="s">
        <v>1828</v>
      </c>
      <c r="I196" s="727">
        <v>7448</v>
      </c>
      <c r="J196" s="726" t="s">
        <v>1599</v>
      </c>
      <c r="K196" s="728">
        <v>3900</v>
      </c>
      <c r="L196" s="743">
        <f t="shared" si="12"/>
        <v>24267</v>
      </c>
      <c r="M196" s="741">
        <v>28167</v>
      </c>
      <c r="N196" s="842">
        <v>20305</v>
      </c>
      <c r="O196" s="710">
        <f t="shared" si="9"/>
        <v>125.89100000000001</v>
      </c>
      <c r="P196" s="711">
        <f t="shared" si="10"/>
        <v>3.9340937500000002</v>
      </c>
      <c r="Q196" s="712">
        <f t="shared" si="11"/>
        <v>151231.64000000001</v>
      </c>
    </row>
    <row r="197" spans="1:17" ht="15.75" customHeight="1">
      <c r="A197" s="731" t="s">
        <v>2027</v>
      </c>
      <c r="B197" s="732">
        <v>45007</v>
      </c>
      <c r="C197" s="733" t="s">
        <v>1597</v>
      </c>
      <c r="D197" s="733" t="s">
        <v>1598</v>
      </c>
      <c r="E197" s="734">
        <v>6.2</v>
      </c>
      <c r="F197" s="731" t="s">
        <v>1599</v>
      </c>
      <c r="G197" s="735" t="s">
        <v>1600</v>
      </c>
      <c r="H197" s="731" t="s">
        <v>1828</v>
      </c>
      <c r="I197" s="736">
        <v>7448</v>
      </c>
      <c r="J197" s="735" t="s">
        <v>1599</v>
      </c>
      <c r="K197" s="737">
        <v>3840</v>
      </c>
      <c r="L197" s="744">
        <f t="shared" si="12"/>
        <v>24152</v>
      </c>
      <c r="M197" s="742">
        <v>27992</v>
      </c>
      <c r="N197" s="843">
        <v>22287</v>
      </c>
      <c r="O197" s="710">
        <f t="shared" si="9"/>
        <v>138.17939999999999</v>
      </c>
      <c r="P197" s="711">
        <f t="shared" si="10"/>
        <v>4.3181062499999996</v>
      </c>
      <c r="Q197" s="712">
        <f t="shared" si="11"/>
        <v>165993.576</v>
      </c>
    </row>
    <row r="198" spans="1:17" ht="15.75" customHeight="1">
      <c r="A198" s="722" t="s">
        <v>2028</v>
      </c>
      <c r="B198" s="723">
        <v>45006</v>
      </c>
      <c r="C198" s="724" t="s">
        <v>1597</v>
      </c>
      <c r="D198" s="724" t="s">
        <v>1598</v>
      </c>
      <c r="E198" s="725">
        <v>6.2</v>
      </c>
      <c r="F198" s="722" t="s">
        <v>1599</v>
      </c>
      <c r="G198" s="726" t="s">
        <v>1600</v>
      </c>
      <c r="H198" s="722" t="s">
        <v>1831</v>
      </c>
      <c r="I198" s="727">
        <v>7283</v>
      </c>
      <c r="J198" s="726" t="s">
        <v>1599</v>
      </c>
      <c r="K198" s="728">
        <v>3880</v>
      </c>
      <c r="L198" s="743">
        <f t="shared" si="12"/>
        <v>23937</v>
      </c>
      <c r="M198" s="741">
        <v>27817</v>
      </c>
      <c r="N198" s="842">
        <v>20590</v>
      </c>
      <c r="O198" s="710">
        <f t="shared" ref="O198:O261" si="13">N198*E198/1000</f>
        <v>127.658</v>
      </c>
      <c r="P198" s="711">
        <f t="shared" ref="P198:P261" si="14">O198/32</f>
        <v>3.9893125</v>
      </c>
      <c r="Q198" s="712">
        <f t="shared" ref="Q198:Q261" si="15">N198*I198/1000</f>
        <v>149956.97</v>
      </c>
    </row>
    <row r="199" spans="1:17" ht="15.75" customHeight="1">
      <c r="A199" s="731" t="s">
        <v>2029</v>
      </c>
      <c r="B199" s="732">
        <v>45006</v>
      </c>
      <c r="C199" s="733" t="s">
        <v>1597</v>
      </c>
      <c r="D199" s="733" t="s">
        <v>1598</v>
      </c>
      <c r="E199" s="734">
        <v>7.1</v>
      </c>
      <c r="F199" s="731" t="s">
        <v>1599</v>
      </c>
      <c r="G199" s="735" t="s">
        <v>1600</v>
      </c>
      <c r="H199" s="731" t="s">
        <v>1831</v>
      </c>
      <c r="I199" s="736">
        <v>7283</v>
      </c>
      <c r="J199" s="735" t="s">
        <v>1599</v>
      </c>
      <c r="K199" s="737">
        <v>3870</v>
      </c>
      <c r="L199" s="744">
        <f t="shared" si="12"/>
        <v>24077</v>
      </c>
      <c r="M199" s="742">
        <v>27947</v>
      </c>
      <c r="N199" s="843">
        <v>19299</v>
      </c>
      <c r="O199" s="710">
        <f t="shared" si="13"/>
        <v>137.02289999999999</v>
      </c>
      <c r="P199" s="711">
        <f t="shared" si="14"/>
        <v>4.2819656249999998</v>
      </c>
      <c r="Q199" s="712">
        <f t="shared" si="15"/>
        <v>140554.617</v>
      </c>
    </row>
    <row r="200" spans="1:17" ht="15.75" customHeight="1">
      <c r="A200" s="722" t="s">
        <v>2030</v>
      </c>
      <c r="B200" s="723">
        <v>45008</v>
      </c>
      <c r="C200" s="724" t="s">
        <v>1597</v>
      </c>
      <c r="D200" s="724" t="s">
        <v>1598</v>
      </c>
      <c r="E200" s="725">
        <v>11.9</v>
      </c>
      <c r="F200" s="722" t="s">
        <v>1599</v>
      </c>
      <c r="G200" s="726" t="s">
        <v>1600</v>
      </c>
      <c r="H200" s="722" t="s">
        <v>1854</v>
      </c>
      <c r="I200" s="727">
        <v>8865</v>
      </c>
      <c r="J200" s="726" t="s">
        <v>1599</v>
      </c>
      <c r="K200" s="728">
        <v>3740</v>
      </c>
      <c r="L200" s="743">
        <f t="shared" si="12"/>
        <v>22262</v>
      </c>
      <c r="M200" s="741">
        <v>26002</v>
      </c>
      <c r="N200" s="842">
        <v>20147</v>
      </c>
      <c r="O200" s="710">
        <f t="shared" si="13"/>
        <v>239.74930000000001</v>
      </c>
      <c r="P200" s="711">
        <f t="shared" si="14"/>
        <v>7.4921656250000002</v>
      </c>
      <c r="Q200" s="712">
        <f t="shared" si="15"/>
        <v>178603.155</v>
      </c>
    </row>
    <row r="201" spans="1:17" ht="15.75" customHeight="1">
      <c r="A201" s="731" t="s">
        <v>2031</v>
      </c>
      <c r="B201" s="732">
        <v>45005</v>
      </c>
      <c r="C201" s="733" t="s">
        <v>1597</v>
      </c>
      <c r="D201" s="733" t="s">
        <v>1598</v>
      </c>
      <c r="E201" s="734">
        <v>11.9</v>
      </c>
      <c r="F201" s="731" t="s">
        <v>1599</v>
      </c>
      <c r="G201" s="735" t="s">
        <v>1600</v>
      </c>
      <c r="H201" s="731" t="s">
        <v>1971</v>
      </c>
      <c r="I201" s="736">
        <v>4358</v>
      </c>
      <c r="J201" s="735" t="s">
        <v>1599</v>
      </c>
      <c r="K201" s="737">
        <v>3830</v>
      </c>
      <c r="L201" s="744">
        <f t="shared" si="12"/>
        <v>12151.5</v>
      </c>
      <c r="M201" s="739">
        <v>15981.5</v>
      </c>
      <c r="N201" s="843">
        <v>10469.25</v>
      </c>
      <c r="O201" s="710">
        <f t="shared" si="13"/>
        <v>124.584075</v>
      </c>
      <c r="P201" s="711">
        <f t="shared" si="14"/>
        <v>3.89325234375</v>
      </c>
      <c r="Q201" s="712">
        <f t="shared" si="15"/>
        <v>45624.991499999996</v>
      </c>
    </row>
    <row r="202" spans="1:17" ht="15.75" customHeight="1">
      <c r="A202" s="722" t="s">
        <v>2032</v>
      </c>
      <c r="B202" s="723">
        <v>45006</v>
      </c>
      <c r="C202" s="724" t="s">
        <v>1597</v>
      </c>
      <c r="D202" s="724" t="s">
        <v>1598</v>
      </c>
      <c r="E202" s="725">
        <v>6.2</v>
      </c>
      <c r="F202" s="722" t="s">
        <v>1599</v>
      </c>
      <c r="G202" s="726" t="s">
        <v>1600</v>
      </c>
      <c r="H202" s="722" t="s">
        <v>1798</v>
      </c>
      <c r="I202" s="727">
        <v>1931</v>
      </c>
      <c r="J202" s="726" t="s">
        <v>1599</v>
      </c>
      <c r="K202" s="728">
        <v>5015.5</v>
      </c>
      <c r="L202" s="743">
        <f t="shared" si="12"/>
        <v>946</v>
      </c>
      <c r="M202" s="741">
        <v>5961.5</v>
      </c>
      <c r="N202" s="842">
        <v>5015.5</v>
      </c>
      <c r="O202" s="710">
        <f t="shared" si="13"/>
        <v>31.096100000000003</v>
      </c>
      <c r="P202" s="711">
        <f t="shared" si="14"/>
        <v>0.97175312500000011</v>
      </c>
      <c r="Q202" s="712">
        <f t="shared" si="15"/>
        <v>9684.9305000000004</v>
      </c>
    </row>
    <row r="203" spans="1:17" ht="15.75" customHeight="1">
      <c r="A203" s="731" t="s">
        <v>2033</v>
      </c>
      <c r="B203" s="732">
        <v>45009</v>
      </c>
      <c r="C203" s="733" t="s">
        <v>1597</v>
      </c>
      <c r="D203" s="733" t="s">
        <v>1598</v>
      </c>
      <c r="E203" s="734">
        <v>11.9</v>
      </c>
      <c r="F203" s="731" t="s">
        <v>1599</v>
      </c>
      <c r="G203" s="735" t="s">
        <v>1600</v>
      </c>
      <c r="H203" s="731" t="s">
        <v>1893</v>
      </c>
      <c r="I203" s="736">
        <v>2167</v>
      </c>
      <c r="J203" s="735" t="s">
        <v>1599</v>
      </c>
      <c r="K203" s="737">
        <v>2200</v>
      </c>
      <c r="L203" s="744">
        <f t="shared" si="12"/>
        <v>4299.28</v>
      </c>
      <c r="M203" s="742">
        <v>6499.28</v>
      </c>
      <c r="N203" s="843">
        <v>3049.28</v>
      </c>
      <c r="O203" s="710">
        <f t="shared" si="13"/>
        <v>36.286431999999998</v>
      </c>
      <c r="P203" s="711">
        <f t="shared" si="14"/>
        <v>1.1339509999999999</v>
      </c>
      <c r="Q203" s="712">
        <f t="shared" si="15"/>
        <v>6607.7897600000006</v>
      </c>
    </row>
    <row r="204" spans="1:17" ht="15.75" customHeight="1">
      <c r="A204" s="722" t="s">
        <v>2034</v>
      </c>
      <c r="B204" s="723">
        <v>45008</v>
      </c>
      <c r="C204" s="724" t="s">
        <v>1597</v>
      </c>
      <c r="D204" s="724" t="s">
        <v>1598</v>
      </c>
      <c r="E204" s="725">
        <v>6.2</v>
      </c>
      <c r="F204" s="722" t="s">
        <v>1599</v>
      </c>
      <c r="G204" s="726" t="s">
        <v>1600</v>
      </c>
      <c r="H204" s="722" t="s">
        <v>1838</v>
      </c>
      <c r="I204" s="727">
        <v>4972</v>
      </c>
      <c r="J204" s="726" t="s">
        <v>1599</v>
      </c>
      <c r="K204" s="728">
        <v>3660</v>
      </c>
      <c r="L204" s="743">
        <f t="shared" si="12"/>
        <v>9086.7999999999993</v>
      </c>
      <c r="M204" s="741">
        <v>12746.8</v>
      </c>
      <c r="N204" s="842">
        <v>6778</v>
      </c>
      <c r="O204" s="710">
        <f t="shared" si="13"/>
        <v>42.023600000000002</v>
      </c>
      <c r="P204" s="711">
        <f t="shared" si="14"/>
        <v>1.3132375000000001</v>
      </c>
      <c r="Q204" s="712">
        <f t="shared" si="15"/>
        <v>33700.216</v>
      </c>
    </row>
    <row r="205" spans="1:17" ht="15.75" customHeight="1">
      <c r="A205" s="731" t="s">
        <v>2035</v>
      </c>
      <c r="B205" s="732">
        <v>45006</v>
      </c>
      <c r="C205" s="733" t="s">
        <v>1597</v>
      </c>
      <c r="D205" s="733" t="s">
        <v>1598</v>
      </c>
      <c r="E205" s="734">
        <v>7.1</v>
      </c>
      <c r="F205" s="731" t="s">
        <v>1599</v>
      </c>
      <c r="G205" s="735" t="s">
        <v>1600</v>
      </c>
      <c r="H205" s="731" t="s">
        <v>1873</v>
      </c>
      <c r="I205" s="736">
        <v>3824</v>
      </c>
      <c r="J205" s="735" t="s">
        <v>1599</v>
      </c>
      <c r="K205" s="737">
        <v>3810</v>
      </c>
      <c r="L205" s="744">
        <f t="shared" si="12"/>
        <v>10707.14</v>
      </c>
      <c r="M205" s="742">
        <v>14517.14</v>
      </c>
      <c r="N205" s="843">
        <v>7974</v>
      </c>
      <c r="O205" s="710">
        <f t="shared" si="13"/>
        <v>56.615399999999994</v>
      </c>
      <c r="P205" s="711">
        <f t="shared" si="14"/>
        <v>1.7692312499999998</v>
      </c>
      <c r="Q205" s="712">
        <f t="shared" si="15"/>
        <v>30492.576000000001</v>
      </c>
    </row>
    <row r="206" spans="1:17" ht="15.75" customHeight="1">
      <c r="A206" s="722" t="s">
        <v>2036</v>
      </c>
      <c r="B206" s="723">
        <v>45007</v>
      </c>
      <c r="C206" s="724" t="s">
        <v>1597</v>
      </c>
      <c r="D206" s="724" t="s">
        <v>1598</v>
      </c>
      <c r="E206" s="725">
        <v>7.1</v>
      </c>
      <c r="F206" s="722" t="s">
        <v>1599</v>
      </c>
      <c r="G206" s="726" t="s">
        <v>1600</v>
      </c>
      <c r="H206" s="722" t="s">
        <v>1873</v>
      </c>
      <c r="I206" s="727">
        <v>3824</v>
      </c>
      <c r="J206" s="726" t="s">
        <v>1599</v>
      </c>
      <c r="K206" s="728">
        <v>3840</v>
      </c>
      <c r="L206" s="743">
        <f t="shared" si="12"/>
        <v>10779.65</v>
      </c>
      <c r="M206" s="741">
        <v>14619.65</v>
      </c>
      <c r="N206" s="842">
        <v>7960.53</v>
      </c>
      <c r="O206" s="710">
        <f t="shared" si="13"/>
        <v>56.51976299999999</v>
      </c>
      <c r="P206" s="711">
        <f t="shared" si="14"/>
        <v>1.7662425937499997</v>
      </c>
      <c r="Q206" s="712">
        <f t="shared" si="15"/>
        <v>30441.066719999999</v>
      </c>
    </row>
    <row r="207" spans="1:17" ht="15.75" customHeight="1">
      <c r="A207" s="731" t="s">
        <v>2037</v>
      </c>
      <c r="B207" s="732">
        <v>45007</v>
      </c>
      <c r="C207" s="733" t="s">
        <v>1597</v>
      </c>
      <c r="D207" s="733" t="s">
        <v>1598</v>
      </c>
      <c r="E207" s="734">
        <v>3.6</v>
      </c>
      <c r="F207" s="731" t="s">
        <v>1599</v>
      </c>
      <c r="G207" s="735" t="s">
        <v>1600</v>
      </c>
      <c r="H207" s="731" t="s">
        <v>1932</v>
      </c>
      <c r="I207" s="736">
        <v>4823</v>
      </c>
      <c r="J207" s="735" t="s">
        <v>1599</v>
      </c>
      <c r="K207" s="737">
        <v>2185</v>
      </c>
      <c r="L207" s="744">
        <f t="shared" si="12"/>
        <v>5504.9</v>
      </c>
      <c r="M207" s="742">
        <v>7689.9</v>
      </c>
      <c r="N207" s="843">
        <v>4485.55</v>
      </c>
      <c r="O207" s="710">
        <f t="shared" si="13"/>
        <v>16.14798</v>
      </c>
      <c r="P207" s="711">
        <f t="shared" si="14"/>
        <v>0.50462437500000001</v>
      </c>
      <c r="Q207" s="712">
        <f t="shared" si="15"/>
        <v>21633.807650000002</v>
      </c>
    </row>
    <row r="208" spans="1:17" ht="15.75" customHeight="1">
      <c r="A208" s="722" t="s">
        <v>2038</v>
      </c>
      <c r="B208" s="723">
        <v>45006</v>
      </c>
      <c r="C208" s="724" t="s">
        <v>1597</v>
      </c>
      <c r="D208" s="724" t="s">
        <v>1598</v>
      </c>
      <c r="E208" s="725">
        <v>7.1</v>
      </c>
      <c r="F208" s="722" t="s">
        <v>1599</v>
      </c>
      <c r="G208" s="726" t="s">
        <v>1600</v>
      </c>
      <c r="H208" s="722" t="s">
        <v>1836</v>
      </c>
      <c r="I208" s="727">
        <v>14544</v>
      </c>
      <c r="J208" s="726" t="s">
        <v>1599</v>
      </c>
      <c r="K208" s="728">
        <v>3700</v>
      </c>
      <c r="L208" s="743">
        <f t="shared" si="12"/>
        <v>14839</v>
      </c>
      <c r="M208" s="741">
        <v>18539</v>
      </c>
      <c r="N208" s="842">
        <v>12511.2</v>
      </c>
      <c r="O208" s="710">
        <f t="shared" si="13"/>
        <v>88.829520000000002</v>
      </c>
      <c r="P208" s="711">
        <f t="shared" si="14"/>
        <v>2.7759225000000001</v>
      </c>
      <c r="Q208" s="712">
        <f t="shared" si="15"/>
        <v>181962.8928</v>
      </c>
    </row>
    <row r="209" spans="1:17" ht="15.75" customHeight="1">
      <c r="A209" s="731" t="s">
        <v>2039</v>
      </c>
      <c r="B209" s="732">
        <v>45006</v>
      </c>
      <c r="C209" s="733" t="s">
        <v>1597</v>
      </c>
      <c r="D209" s="733" t="s">
        <v>1598</v>
      </c>
      <c r="E209" s="734">
        <v>7.1</v>
      </c>
      <c r="F209" s="731" t="s">
        <v>1599</v>
      </c>
      <c r="G209" s="735" t="s">
        <v>1600</v>
      </c>
      <c r="H209" s="731" t="s">
        <v>1836</v>
      </c>
      <c r="I209" s="736">
        <v>14544</v>
      </c>
      <c r="J209" s="735" t="s">
        <v>1599</v>
      </c>
      <c r="K209" s="737">
        <v>3700</v>
      </c>
      <c r="L209" s="744">
        <f t="shared" si="12"/>
        <v>19071.599999999999</v>
      </c>
      <c r="M209" s="742">
        <v>22771.599999999999</v>
      </c>
      <c r="N209" s="843">
        <v>15602.4</v>
      </c>
      <c r="O209" s="710">
        <f t="shared" si="13"/>
        <v>110.77704</v>
      </c>
      <c r="P209" s="711">
        <f t="shared" si="14"/>
        <v>3.4617825</v>
      </c>
      <c r="Q209" s="712">
        <f t="shared" si="15"/>
        <v>226921.30559999999</v>
      </c>
    </row>
    <row r="210" spans="1:17" ht="15.75" customHeight="1">
      <c r="A210" s="722" t="s">
        <v>2040</v>
      </c>
      <c r="B210" s="723">
        <v>45008</v>
      </c>
      <c r="C210" s="724" t="s">
        <v>1597</v>
      </c>
      <c r="D210" s="724" t="s">
        <v>1598</v>
      </c>
      <c r="E210" s="725">
        <v>6</v>
      </c>
      <c r="F210" s="722" t="s">
        <v>1599</v>
      </c>
      <c r="G210" s="726" t="s">
        <v>1600</v>
      </c>
      <c r="H210" s="722" t="s">
        <v>1973</v>
      </c>
      <c r="I210" s="727">
        <v>4482</v>
      </c>
      <c r="J210" s="726" t="s">
        <v>1599</v>
      </c>
      <c r="K210" s="728">
        <v>2210</v>
      </c>
      <c r="L210" s="743">
        <f t="shared" si="12"/>
        <v>5683</v>
      </c>
      <c r="M210" s="741">
        <v>7893</v>
      </c>
      <c r="N210" s="842">
        <v>4743.2</v>
      </c>
      <c r="O210" s="710">
        <f t="shared" si="13"/>
        <v>28.459199999999996</v>
      </c>
      <c r="P210" s="711">
        <f t="shared" si="14"/>
        <v>0.88934999999999986</v>
      </c>
      <c r="Q210" s="712">
        <f t="shared" si="15"/>
        <v>21259.022399999998</v>
      </c>
    </row>
    <row r="211" spans="1:17" ht="15.75" customHeight="1">
      <c r="A211" s="731" t="s">
        <v>2041</v>
      </c>
      <c r="B211" s="732">
        <v>45008</v>
      </c>
      <c r="C211" s="733" t="s">
        <v>1597</v>
      </c>
      <c r="D211" s="733" t="s">
        <v>1598</v>
      </c>
      <c r="E211" s="734">
        <v>6</v>
      </c>
      <c r="F211" s="731" t="s">
        <v>1599</v>
      </c>
      <c r="G211" s="735" t="s">
        <v>1600</v>
      </c>
      <c r="H211" s="731" t="s">
        <v>1880</v>
      </c>
      <c r="I211" s="736">
        <v>13558</v>
      </c>
      <c r="J211" s="735" t="s">
        <v>1599</v>
      </c>
      <c r="K211" s="737">
        <v>3820</v>
      </c>
      <c r="L211" s="744">
        <f t="shared" si="12"/>
        <v>14839</v>
      </c>
      <c r="M211" s="742">
        <v>18659</v>
      </c>
      <c r="N211" s="843">
        <v>12511.2</v>
      </c>
      <c r="O211" s="710">
        <f t="shared" si="13"/>
        <v>75.067200000000014</v>
      </c>
      <c r="P211" s="711">
        <f t="shared" si="14"/>
        <v>2.3458500000000004</v>
      </c>
      <c r="Q211" s="712">
        <f t="shared" si="15"/>
        <v>169626.84960000002</v>
      </c>
    </row>
    <row r="212" spans="1:17" ht="15.75" customHeight="1">
      <c r="A212" s="722" t="s">
        <v>2042</v>
      </c>
      <c r="B212" s="723">
        <v>45008</v>
      </c>
      <c r="C212" s="724" t="s">
        <v>1597</v>
      </c>
      <c r="D212" s="724" t="s">
        <v>1598</v>
      </c>
      <c r="E212" s="725">
        <v>6</v>
      </c>
      <c r="F212" s="722" t="s">
        <v>1599</v>
      </c>
      <c r="G212" s="726" t="s">
        <v>1600</v>
      </c>
      <c r="H212" s="722" t="s">
        <v>2043</v>
      </c>
      <c r="I212" s="727">
        <v>4220</v>
      </c>
      <c r="J212" s="726" t="s">
        <v>1599</v>
      </c>
      <c r="K212" s="728">
        <v>2245</v>
      </c>
      <c r="L212" s="743">
        <f t="shared" si="12"/>
        <v>5424.65</v>
      </c>
      <c r="M212" s="741">
        <v>7669.65</v>
      </c>
      <c r="N212" s="842">
        <v>4403.25</v>
      </c>
      <c r="O212" s="710">
        <f t="shared" si="13"/>
        <v>26.419499999999999</v>
      </c>
      <c r="P212" s="711">
        <f t="shared" si="14"/>
        <v>0.82560937499999998</v>
      </c>
      <c r="Q212" s="712">
        <f t="shared" si="15"/>
        <v>18581.715</v>
      </c>
    </row>
    <row r="213" spans="1:17" ht="15.75" customHeight="1">
      <c r="A213" s="731" t="s">
        <v>2044</v>
      </c>
      <c r="B213" s="732">
        <v>45008</v>
      </c>
      <c r="C213" s="733" t="s">
        <v>1597</v>
      </c>
      <c r="D213" s="733" t="s">
        <v>1598</v>
      </c>
      <c r="E213" s="734">
        <v>6</v>
      </c>
      <c r="F213" s="731" t="s">
        <v>1599</v>
      </c>
      <c r="G213" s="735" t="s">
        <v>1600</v>
      </c>
      <c r="H213" s="731" t="s">
        <v>1822</v>
      </c>
      <c r="I213" s="736">
        <v>13787</v>
      </c>
      <c r="J213" s="735" t="s">
        <v>1599</v>
      </c>
      <c r="K213" s="737">
        <v>3900</v>
      </c>
      <c r="L213" s="744">
        <f t="shared" si="12"/>
        <v>14148</v>
      </c>
      <c r="M213" s="742">
        <v>18048</v>
      </c>
      <c r="N213" s="843">
        <v>11330</v>
      </c>
      <c r="O213" s="710">
        <f t="shared" si="13"/>
        <v>67.98</v>
      </c>
      <c r="P213" s="711">
        <f t="shared" si="14"/>
        <v>2.1243750000000001</v>
      </c>
      <c r="Q213" s="712">
        <f t="shared" si="15"/>
        <v>156206.71</v>
      </c>
    </row>
    <row r="214" spans="1:17" ht="15.75" customHeight="1">
      <c r="A214" s="722" t="s">
        <v>2045</v>
      </c>
      <c r="B214" s="723">
        <v>45009</v>
      </c>
      <c r="C214" s="724" t="s">
        <v>1597</v>
      </c>
      <c r="D214" s="724" t="s">
        <v>1598</v>
      </c>
      <c r="E214" s="725">
        <v>6.5</v>
      </c>
      <c r="F214" s="722" t="s">
        <v>1599</v>
      </c>
      <c r="G214" s="726" t="s">
        <v>1600</v>
      </c>
      <c r="H214" s="722" t="s">
        <v>1963</v>
      </c>
      <c r="I214" s="727">
        <v>14253</v>
      </c>
      <c r="J214" s="726" t="s">
        <v>1599</v>
      </c>
      <c r="K214" s="728">
        <v>3950</v>
      </c>
      <c r="L214" s="743">
        <f t="shared" si="12"/>
        <v>10552.88</v>
      </c>
      <c r="M214" s="741">
        <v>14502.88</v>
      </c>
      <c r="N214" s="842">
        <v>7733.52</v>
      </c>
      <c r="O214" s="710">
        <f t="shared" si="13"/>
        <v>50.267880000000005</v>
      </c>
      <c r="P214" s="711">
        <f t="shared" si="14"/>
        <v>1.5708712500000002</v>
      </c>
      <c r="Q214" s="712">
        <f t="shared" si="15"/>
        <v>110225.86056</v>
      </c>
    </row>
    <row r="215" spans="1:17" ht="15.75" customHeight="1">
      <c r="A215" s="731" t="s">
        <v>2046</v>
      </c>
      <c r="B215" s="732">
        <v>45023</v>
      </c>
      <c r="C215" s="733" t="s">
        <v>1597</v>
      </c>
      <c r="D215" s="733" t="s">
        <v>1598</v>
      </c>
      <c r="E215" s="734">
        <v>11.9</v>
      </c>
      <c r="F215" s="731" t="s">
        <v>1599</v>
      </c>
      <c r="G215" s="735" t="s">
        <v>1600</v>
      </c>
      <c r="H215" s="748" t="s">
        <v>1841</v>
      </c>
      <c r="I215" s="736">
        <v>9486</v>
      </c>
      <c r="J215" s="735" t="s">
        <v>1599</v>
      </c>
      <c r="K215" s="737">
        <v>2280</v>
      </c>
      <c r="L215" s="744">
        <v>13457</v>
      </c>
      <c r="M215" s="739">
        <v>15737</v>
      </c>
      <c r="N215" s="843">
        <v>11985</v>
      </c>
      <c r="O215" s="710">
        <f t="shared" si="13"/>
        <v>142.6215</v>
      </c>
      <c r="P215" s="711">
        <f t="shared" si="14"/>
        <v>4.4569218749999999</v>
      </c>
      <c r="Q215" s="712">
        <f t="shared" si="15"/>
        <v>113689.71</v>
      </c>
    </row>
    <row r="216" spans="1:17" ht="15.75" customHeight="1">
      <c r="A216" s="722" t="s">
        <v>2047</v>
      </c>
      <c r="B216" s="723">
        <v>45023</v>
      </c>
      <c r="C216" s="724" t="s">
        <v>1597</v>
      </c>
      <c r="D216" s="724" t="s">
        <v>1598</v>
      </c>
      <c r="E216" s="725">
        <v>11.9</v>
      </c>
      <c r="F216" s="722" t="s">
        <v>1599</v>
      </c>
      <c r="G216" s="726" t="s">
        <v>1600</v>
      </c>
      <c r="H216" s="749" t="s">
        <v>1841</v>
      </c>
      <c r="I216" s="727">
        <v>9486</v>
      </c>
      <c r="J216" s="726" t="s">
        <v>1599</v>
      </c>
      <c r="K216" s="728">
        <v>3840</v>
      </c>
      <c r="L216" s="743">
        <v>19570.400000000001</v>
      </c>
      <c r="M216" s="730">
        <v>23410.400000000001</v>
      </c>
      <c r="N216" s="842">
        <v>13238.3</v>
      </c>
      <c r="O216" s="710">
        <f t="shared" si="13"/>
        <v>157.53576999999999</v>
      </c>
      <c r="P216" s="711">
        <f t="shared" si="14"/>
        <v>4.9229928124999995</v>
      </c>
      <c r="Q216" s="712">
        <f t="shared" si="15"/>
        <v>125578.5138</v>
      </c>
    </row>
    <row r="217" spans="1:17" ht="15.75" customHeight="1">
      <c r="A217" s="731" t="s">
        <v>2048</v>
      </c>
      <c r="B217" s="732">
        <v>45023</v>
      </c>
      <c r="C217" s="733" t="s">
        <v>1597</v>
      </c>
      <c r="D217" s="733" t="s">
        <v>1598</v>
      </c>
      <c r="E217" s="734">
        <v>11.9</v>
      </c>
      <c r="F217" s="731" t="s">
        <v>1599</v>
      </c>
      <c r="G217" s="735" t="s">
        <v>1600</v>
      </c>
      <c r="H217" s="748" t="s">
        <v>1841</v>
      </c>
      <c r="I217" s="736">
        <v>9486</v>
      </c>
      <c r="J217" s="735" t="s">
        <v>1599</v>
      </c>
      <c r="K217" s="737">
        <v>3830</v>
      </c>
      <c r="L217" s="744">
        <v>14280.599999999999</v>
      </c>
      <c r="M217" s="739">
        <v>18110.599999999999</v>
      </c>
      <c r="N217" s="843">
        <v>10938.6</v>
      </c>
      <c r="O217" s="710">
        <f t="shared" si="13"/>
        <v>130.16934000000001</v>
      </c>
      <c r="P217" s="711">
        <f t="shared" si="14"/>
        <v>4.0677918750000002</v>
      </c>
      <c r="Q217" s="712">
        <f t="shared" si="15"/>
        <v>103763.55960000001</v>
      </c>
    </row>
    <row r="218" spans="1:17" ht="15.75" customHeight="1">
      <c r="A218" s="722" t="s">
        <v>2049</v>
      </c>
      <c r="B218" s="723">
        <v>45007</v>
      </c>
      <c r="C218" s="724" t="s">
        <v>1597</v>
      </c>
      <c r="D218" s="724" t="s">
        <v>1598</v>
      </c>
      <c r="E218" s="725">
        <v>7.1</v>
      </c>
      <c r="F218" s="722" t="s">
        <v>1599</v>
      </c>
      <c r="G218" s="726" t="s">
        <v>1600</v>
      </c>
      <c r="H218" s="722" t="s">
        <v>1850</v>
      </c>
      <c r="I218" s="727">
        <v>9687</v>
      </c>
      <c r="J218" s="726" t="s">
        <v>1599</v>
      </c>
      <c r="K218" s="728">
        <v>3900</v>
      </c>
      <c r="L218" s="743">
        <v>8887.64</v>
      </c>
      <c r="M218" s="730">
        <v>12787.64</v>
      </c>
      <c r="N218" s="842">
        <v>18942.599999999999</v>
      </c>
      <c r="O218" s="710">
        <f t="shared" si="13"/>
        <v>134.49245999999999</v>
      </c>
      <c r="P218" s="711">
        <f t="shared" si="14"/>
        <v>4.2028893749999998</v>
      </c>
      <c r="Q218" s="712">
        <f t="shared" si="15"/>
        <v>183496.9662</v>
      </c>
    </row>
    <row r="219" spans="1:17" ht="15.75" customHeight="1">
      <c r="A219" s="731" t="s">
        <v>2050</v>
      </c>
      <c r="B219" s="732">
        <v>45007</v>
      </c>
      <c r="C219" s="733" t="s">
        <v>1597</v>
      </c>
      <c r="D219" s="733" t="s">
        <v>1598</v>
      </c>
      <c r="E219" s="734">
        <v>7.1</v>
      </c>
      <c r="F219" s="731" t="s">
        <v>1599</v>
      </c>
      <c r="G219" s="735" t="s">
        <v>1600</v>
      </c>
      <c r="H219" s="731" t="s">
        <v>1873</v>
      </c>
      <c r="I219" s="736">
        <v>3824</v>
      </c>
      <c r="J219" s="735" t="s">
        <v>1599</v>
      </c>
      <c r="K219" s="737">
        <v>3820</v>
      </c>
      <c r="L219" s="744">
        <f t="shared" ref="L219:L226" si="16">M219-K219</f>
        <v>11508.62</v>
      </c>
      <c r="M219" s="742">
        <v>15328.62</v>
      </c>
      <c r="N219" s="843">
        <v>8718.18</v>
      </c>
      <c r="O219" s="710">
        <f t="shared" si="13"/>
        <v>61.899078000000003</v>
      </c>
      <c r="P219" s="711">
        <f t="shared" si="14"/>
        <v>1.9343461875000001</v>
      </c>
      <c r="Q219" s="712">
        <f t="shared" si="15"/>
        <v>33338.320319999999</v>
      </c>
    </row>
    <row r="220" spans="1:17" ht="15.75" customHeight="1">
      <c r="A220" s="722" t="s">
        <v>2051</v>
      </c>
      <c r="B220" s="723">
        <v>45014</v>
      </c>
      <c r="C220" s="724" t="s">
        <v>1597</v>
      </c>
      <c r="D220" s="724" t="s">
        <v>1598</v>
      </c>
      <c r="E220" s="725">
        <v>4.9000000000000004</v>
      </c>
      <c r="F220" s="722" t="s">
        <v>1599</v>
      </c>
      <c r="G220" s="726" t="s">
        <v>1600</v>
      </c>
      <c r="H220" s="722" t="s">
        <v>1836</v>
      </c>
      <c r="I220" s="727">
        <v>14544</v>
      </c>
      <c r="J220" s="726" t="s">
        <v>1599</v>
      </c>
      <c r="K220" s="728">
        <v>3860</v>
      </c>
      <c r="L220" s="743">
        <f t="shared" si="16"/>
        <v>14839</v>
      </c>
      <c r="M220" s="741">
        <v>18699</v>
      </c>
      <c r="N220" s="842">
        <v>12511.2</v>
      </c>
      <c r="O220" s="710">
        <f t="shared" si="13"/>
        <v>61.304880000000004</v>
      </c>
      <c r="P220" s="711">
        <f t="shared" si="14"/>
        <v>1.9157775000000001</v>
      </c>
      <c r="Q220" s="712">
        <f t="shared" si="15"/>
        <v>181962.8928</v>
      </c>
    </row>
    <row r="221" spans="1:17" ht="15.75" customHeight="1">
      <c r="A221" s="731" t="s">
        <v>2052</v>
      </c>
      <c r="B221" s="732">
        <v>45008</v>
      </c>
      <c r="C221" s="733" t="s">
        <v>1597</v>
      </c>
      <c r="D221" s="733" t="s">
        <v>1598</v>
      </c>
      <c r="E221" s="734">
        <v>11.9</v>
      </c>
      <c r="F221" s="731" t="s">
        <v>1599</v>
      </c>
      <c r="G221" s="735" t="s">
        <v>1600</v>
      </c>
      <c r="H221" s="731" t="s">
        <v>1854</v>
      </c>
      <c r="I221" s="736">
        <v>8865</v>
      </c>
      <c r="J221" s="735" t="s">
        <v>1599</v>
      </c>
      <c r="K221" s="737">
        <v>2220</v>
      </c>
      <c r="L221" s="744">
        <f t="shared" si="16"/>
        <v>15320</v>
      </c>
      <c r="M221" s="742">
        <v>17540</v>
      </c>
      <c r="N221" s="843">
        <v>12848.3</v>
      </c>
      <c r="O221" s="710">
        <f t="shared" si="13"/>
        <v>152.89476999999999</v>
      </c>
      <c r="P221" s="711">
        <f t="shared" si="14"/>
        <v>4.7779615624999998</v>
      </c>
      <c r="Q221" s="712">
        <f t="shared" si="15"/>
        <v>113900.1795</v>
      </c>
    </row>
    <row r="222" spans="1:17" ht="15.75" customHeight="1">
      <c r="A222" s="722" t="s">
        <v>2053</v>
      </c>
      <c r="B222" s="723">
        <v>45014</v>
      </c>
      <c r="C222" s="724" t="s">
        <v>1597</v>
      </c>
      <c r="D222" s="724" t="s">
        <v>1598</v>
      </c>
      <c r="E222" s="725">
        <v>6.2</v>
      </c>
      <c r="F222" s="722" t="s">
        <v>1599</v>
      </c>
      <c r="G222" s="726" t="s">
        <v>1600</v>
      </c>
      <c r="H222" s="722" t="s">
        <v>1836</v>
      </c>
      <c r="I222" s="727">
        <v>14544</v>
      </c>
      <c r="J222" s="726" t="s">
        <v>1599</v>
      </c>
      <c r="K222" s="728">
        <v>3840</v>
      </c>
      <c r="L222" s="743">
        <f t="shared" si="16"/>
        <v>14839</v>
      </c>
      <c r="M222" s="730">
        <v>18679</v>
      </c>
      <c r="N222" s="842">
        <v>12511.2</v>
      </c>
      <c r="O222" s="710">
        <f t="shared" si="13"/>
        <v>77.56944</v>
      </c>
      <c r="P222" s="711">
        <f t="shared" si="14"/>
        <v>2.424045</v>
      </c>
      <c r="Q222" s="712">
        <f t="shared" si="15"/>
        <v>181962.8928</v>
      </c>
    </row>
    <row r="223" spans="1:17" ht="15.75" customHeight="1">
      <c r="A223" s="731" t="s">
        <v>2054</v>
      </c>
      <c r="B223" s="732">
        <v>45014</v>
      </c>
      <c r="C223" s="733" t="s">
        <v>1597</v>
      </c>
      <c r="D223" s="733" t="s">
        <v>1598</v>
      </c>
      <c r="E223" s="734">
        <v>6.2</v>
      </c>
      <c r="F223" s="731" t="s">
        <v>1599</v>
      </c>
      <c r="G223" s="735" t="s">
        <v>1600</v>
      </c>
      <c r="H223" s="731" t="s">
        <v>1836</v>
      </c>
      <c r="I223" s="736">
        <v>14544</v>
      </c>
      <c r="J223" s="735" t="s">
        <v>1599</v>
      </c>
      <c r="K223" s="737">
        <v>3880</v>
      </c>
      <c r="L223" s="744">
        <f t="shared" si="16"/>
        <v>19071.599999999999</v>
      </c>
      <c r="M223" s="739">
        <v>22951.599999999999</v>
      </c>
      <c r="N223" s="843">
        <v>15602.4</v>
      </c>
      <c r="O223" s="710">
        <f t="shared" si="13"/>
        <v>96.734880000000004</v>
      </c>
      <c r="P223" s="711">
        <f t="shared" si="14"/>
        <v>3.0229650000000001</v>
      </c>
      <c r="Q223" s="712">
        <f t="shared" si="15"/>
        <v>226921.30559999999</v>
      </c>
    </row>
    <row r="224" spans="1:17" ht="15.75" customHeight="1">
      <c r="A224" s="722" t="s">
        <v>2055</v>
      </c>
      <c r="B224" s="723">
        <v>45014</v>
      </c>
      <c r="C224" s="724" t="s">
        <v>1597</v>
      </c>
      <c r="D224" s="724" t="s">
        <v>1598</v>
      </c>
      <c r="E224" s="725">
        <v>6.2</v>
      </c>
      <c r="F224" s="722" t="s">
        <v>1599</v>
      </c>
      <c r="G224" s="726" t="s">
        <v>1600</v>
      </c>
      <c r="H224" s="722" t="s">
        <v>1880</v>
      </c>
      <c r="I224" s="727">
        <v>13558</v>
      </c>
      <c r="J224" s="726" t="s">
        <v>1599</v>
      </c>
      <c r="K224" s="728">
        <v>3890</v>
      </c>
      <c r="L224" s="743">
        <f t="shared" si="16"/>
        <v>14843</v>
      </c>
      <c r="M224" s="730">
        <v>18733</v>
      </c>
      <c r="N224" s="842">
        <v>12187.6</v>
      </c>
      <c r="O224" s="710">
        <f t="shared" si="13"/>
        <v>75.563120000000012</v>
      </c>
      <c r="P224" s="711">
        <f t="shared" si="14"/>
        <v>2.3613475000000004</v>
      </c>
      <c r="Q224" s="712">
        <f t="shared" si="15"/>
        <v>165239.48080000002</v>
      </c>
    </row>
    <row r="225" spans="1:17" ht="15.75" customHeight="1">
      <c r="A225" s="731" t="s">
        <v>2056</v>
      </c>
      <c r="B225" s="732">
        <v>45014</v>
      </c>
      <c r="C225" s="733" t="s">
        <v>1597</v>
      </c>
      <c r="D225" s="733" t="s">
        <v>1598</v>
      </c>
      <c r="E225" s="734">
        <v>6.2</v>
      </c>
      <c r="F225" s="731" t="s">
        <v>1599</v>
      </c>
      <c r="G225" s="735" t="s">
        <v>1600</v>
      </c>
      <c r="H225" s="731" t="s">
        <v>1815</v>
      </c>
      <c r="I225" s="736">
        <v>17387</v>
      </c>
      <c r="J225" s="735" t="s">
        <v>1599</v>
      </c>
      <c r="K225" s="737">
        <v>3850</v>
      </c>
      <c r="L225" s="744">
        <f t="shared" si="16"/>
        <v>19155.96</v>
      </c>
      <c r="M225" s="739">
        <v>23005.96</v>
      </c>
      <c r="N225" s="843">
        <v>16769.53</v>
      </c>
      <c r="O225" s="710">
        <f t="shared" si="13"/>
        <v>103.971086</v>
      </c>
      <c r="P225" s="711">
        <f t="shared" si="14"/>
        <v>3.2490964375</v>
      </c>
      <c r="Q225" s="712">
        <f t="shared" si="15"/>
        <v>291571.81810999993</v>
      </c>
    </row>
    <row r="226" spans="1:17" ht="15.75" customHeight="1">
      <c r="A226" s="722" t="s">
        <v>2057</v>
      </c>
      <c r="B226" s="723">
        <v>45013</v>
      </c>
      <c r="C226" s="724" t="s">
        <v>1597</v>
      </c>
      <c r="D226" s="724" t="s">
        <v>1598</v>
      </c>
      <c r="E226" s="725">
        <v>4.0999999999999996</v>
      </c>
      <c r="F226" s="722" t="s">
        <v>1599</v>
      </c>
      <c r="G226" s="726" t="s">
        <v>1600</v>
      </c>
      <c r="H226" s="722" t="s">
        <v>1850</v>
      </c>
      <c r="I226" s="727">
        <v>9687</v>
      </c>
      <c r="J226" s="726" t="s">
        <v>1599</v>
      </c>
      <c r="K226" s="728">
        <v>2280</v>
      </c>
      <c r="L226" s="743">
        <f t="shared" si="16"/>
        <v>5777</v>
      </c>
      <c r="M226" s="741">
        <v>8057</v>
      </c>
      <c r="N226" s="842">
        <v>4550</v>
      </c>
      <c r="O226" s="710">
        <f t="shared" si="13"/>
        <v>18.655000000000001</v>
      </c>
      <c r="P226" s="711">
        <f t="shared" si="14"/>
        <v>0.58296875000000004</v>
      </c>
      <c r="Q226" s="712">
        <f t="shared" si="15"/>
        <v>44075.85</v>
      </c>
    </row>
    <row r="227" spans="1:17" ht="15.75" customHeight="1">
      <c r="A227" s="713" t="s">
        <v>2058</v>
      </c>
      <c r="B227" s="732">
        <v>45012</v>
      </c>
      <c r="C227" s="713" t="s">
        <v>1597</v>
      </c>
      <c r="D227" s="713" t="s">
        <v>1598</v>
      </c>
      <c r="E227" s="715">
        <v>5.3</v>
      </c>
      <c r="F227" s="713" t="s">
        <v>1599</v>
      </c>
      <c r="G227" s="716" t="s">
        <v>1600</v>
      </c>
      <c r="H227" s="731" t="s">
        <v>1807</v>
      </c>
      <c r="I227" s="736">
        <v>1734</v>
      </c>
      <c r="J227" s="718" t="s">
        <v>1599</v>
      </c>
      <c r="K227" s="719">
        <v>3700</v>
      </c>
      <c r="L227" s="745">
        <v>11212</v>
      </c>
      <c r="M227" s="746">
        <v>14912</v>
      </c>
      <c r="N227" s="843">
        <v>8450</v>
      </c>
      <c r="O227" s="710">
        <f t="shared" si="13"/>
        <v>44.784999999999997</v>
      </c>
      <c r="P227" s="711">
        <f t="shared" si="14"/>
        <v>1.3995312499999999</v>
      </c>
      <c r="Q227" s="712">
        <f t="shared" si="15"/>
        <v>14652.3</v>
      </c>
    </row>
    <row r="228" spans="1:17" ht="15.75" customHeight="1">
      <c r="A228" s="722" t="s">
        <v>2059</v>
      </c>
      <c r="B228" s="723">
        <v>45014</v>
      </c>
      <c r="C228" s="724" t="s">
        <v>1597</v>
      </c>
      <c r="D228" s="724" t="s">
        <v>1598</v>
      </c>
      <c r="E228" s="725">
        <v>4.9000000000000004</v>
      </c>
      <c r="F228" s="722" t="s">
        <v>1599</v>
      </c>
      <c r="G228" s="726" t="s">
        <v>1600</v>
      </c>
      <c r="H228" s="722" t="s">
        <v>1854</v>
      </c>
      <c r="I228" s="727">
        <v>8865</v>
      </c>
      <c r="J228" s="726" t="s">
        <v>1599</v>
      </c>
      <c r="K228" s="728">
        <v>2300</v>
      </c>
      <c r="L228" s="743">
        <f t="shared" ref="L228:L232" si="17">M228-K228</f>
        <v>4412</v>
      </c>
      <c r="M228" s="741">
        <v>6712</v>
      </c>
      <c r="N228" s="842">
        <v>3198</v>
      </c>
      <c r="O228" s="710">
        <f t="shared" si="13"/>
        <v>15.670200000000001</v>
      </c>
      <c r="P228" s="711">
        <f t="shared" si="14"/>
        <v>0.48969375000000004</v>
      </c>
      <c r="Q228" s="712">
        <f t="shared" si="15"/>
        <v>28350.27</v>
      </c>
    </row>
    <row r="229" spans="1:17" ht="15.75" customHeight="1">
      <c r="A229" s="731" t="s">
        <v>2060</v>
      </c>
      <c r="B229" s="732">
        <v>45015</v>
      </c>
      <c r="C229" s="733" t="s">
        <v>1597</v>
      </c>
      <c r="D229" s="733" t="s">
        <v>1598</v>
      </c>
      <c r="E229" s="734">
        <v>7.1</v>
      </c>
      <c r="F229" s="731" t="s">
        <v>1599</v>
      </c>
      <c r="G229" s="735" t="s">
        <v>1600</v>
      </c>
      <c r="H229" s="731" t="s">
        <v>1846</v>
      </c>
      <c r="I229" s="736">
        <v>5317</v>
      </c>
      <c r="J229" s="735" t="s">
        <v>1599</v>
      </c>
      <c r="K229" s="737">
        <v>3640</v>
      </c>
      <c r="L229" s="744">
        <f t="shared" si="17"/>
        <v>13003.369999999999</v>
      </c>
      <c r="M229" s="739">
        <v>16643.37</v>
      </c>
      <c r="N229" s="843">
        <v>10672.53</v>
      </c>
      <c r="O229" s="710">
        <f t="shared" si="13"/>
        <v>75.774963</v>
      </c>
      <c r="P229" s="711">
        <f t="shared" si="14"/>
        <v>2.36796759375</v>
      </c>
      <c r="Q229" s="712">
        <f t="shared" si="15"/>
        <v>56745.842010000008</v>
      </c>
    </row>
    <row r="230" spans="1:17" ht="15.75" customHeight="1">
      <c r="A230" s="701" t="s">
        <v>2061</v>
      </c>
      <c r="B230" s="723">
        <v>45015</v>
      </c>
      <c r="C230" s="724" t="s">
        <v>1597</v>
      </c>
      <c r="D230" s="724" t="s">
        <v>1598</v>
      </c>
      <c r="E230" s="725">
        <v>7.1</v>
      </c>
      <c r="F230" s="722" t="s">
        <v>1599</v>
      </c>
      <c r="G230" s="726" t="s">
        <v>1600</v>
      </c>
      <c r="H230" s="722" t="s">
        <v>1833</v>
      </c>
      <c r="I230" s="727">
        <v>4795</v>
      </c>
      <c r="J230" s="726" t="s">
        <v>1599</v>
      </c>
      <c r="K230" s="728">
        <v>2180</v>
      </c>
      <c r="L230" s="743">
        <f t="shared" si="17"/>
        <v>6369.7000000000007</v>
      </c>
      <c r="M230" s="730">
        <v>8549.7000000000007</v>
      </c>
      <c r="N230" s="842">
        <v>5225.5</v>
      </c>
      <c r="O230" s="710">
        <f t="shared" si="13"/>
        <v>37.101049999999994</v>
      </c>
      <c r="P230" s="711">
        <f t="shared" si="14"/>
        <v>1.1594078124999998</v>
      </c>
      <c r="Q230" s="712">
        <f t="shared" si="15"/>
        <v>25056.272499999999</v>
      </c>
    </row>
    <row r="231" spans="1:17" ht="15.75" customHeight="1">
      <c r="A231" s="722" t="s">
        <v>2062</v>
      </c>
      <c r="B231" s="723">
        <v>45019</v>
      </c>
      <c r="C231" s="724" t="s">
        <v>1597</v>
      </c>
      <c r="D231" s="724" t="s">
        <v>1598</v>
      </c>
      <c r="E231" s="725">
        <v>6</v>
      </c>
      <c r="F231" s="722" t="s">
        <v>1599</v>
      </c>
      <c r="G231" s="722" t="s">
        <v>1600</v>
      </c>
      <c r="H231" s="722" t="s">
        <v>1833</v>
      </c>
      <c r="I231" s="727">
        <v>4795</v>
      </c>
      <c r="J231" s="726" t="s">
        <v>1599</v>
      </c>
      <c r="K231" s="728">
        <v>3900</v>
      </c>
      <c r="L231" s="743">
        <f t="shared" si="17"/>
        <v>8887.64</v>
      </c>
      <c r="M231" s="730">
        <v>12787.64</v>
      </c>
      <c r="N231" s="842">
        <v>6764.67</v>
      </c>
      <c r="O231" s="710">
        <f t="shared" si="13"/>
        <v>40.588020000000007</v>
      </c>
      <c r="P231" s="711">
        <f t="shared" si="14"/>
        <v>1.2683756250000002</v>
      </c>
      <c r="Q231" s="712">
        <f t="shared" si="15"/>
        <v>32436.592649999999</v>
      </c>
    </row>
    <row r="232" spans="1:17" ht="15.75" customHeight="1">
      <c r="A232" s="731" t="s">
        <v>2063</v>
      </c>
      <c r="B232" s="732">
        <v>45019</v>
      </c>
      <c r="C232" s="733" t="s">
        <v>1597</v>
      </c>
      <c r="D232" s="733" t="s">
        <v>1598</v>
      </c>
      <c r="E232" s="734">
        <v>7.1</v>
      </c>
      <c r="F232" s="733" t="s">
        <v>1599</v>
      </c>
      <c r="G232" s="733" t="s">
        <v>1600</v>
      </c>
      <c r="H232" s="731" t="s">
        <v>2064</v>
      </c>
      <c r="I232" s="736">
        <v>5416</v>
      </c>
      <c r="J232" s="740" t="s">
        <v>1599</v>
      </c>
      <c r="K232" s="737">
        <v>2100</v>
      </c>
      <c r="L232" s="744">
        <f t="shared" si="17"/>
        <v>3533.09</v>
      </c>
      <c r="M232" s="739">
        <v>5633.09</v>
      </c>
      <c r="N232" s="843">
        <v>2479.41</v>
      </c>
      <c r="O232" s="710">
        <f t="shared" si="13"/>
        <v>17.603810999999997</v>
      </c>
      <c r="P232" s="711">
        <f t="shared" si="14"/>
        <v>0.5501190937499999</v>
      </c>
      <c r="Q232" s="712">
        <f t="shared" si="15"/>
        <v>13428.484559999999</v>
      </c>
    </row>
    <row r="233" spans="1:17" ht="15.75" customHeight="1">
      <c r="A233" s="731" t="s">
        <v>2065</v>
      </c>
      <c r="B233" s="732">
        <v>45021</v>
      </c>
      <c r="C233" s="733" t="s">
        <v>1597</v>
      </c>
      <c r="D233" s="733" t="s">
        <v>2066</v>
      </c>
      <c r="E233" s="734">
        <v>41.1</v>
      </c>
      <c r="F233" s="733" t="s">
        <v>1599</v>
      </c>
      <c r="G233" s="733" t="s">
        <v>1600</v>
      </c>
      <c r="H233" s="731" t="s">
        <v>1846</v>
      </c>
      <c r="I233" s="736">
        <v>5317</v>
      </c>
      <c r="J233" s="740" t="s">
        <v>1599</v>
      </c>
      <c r="K233" s="737">
        <v>3750</v>
      </c>
      <c r="L233" s="744">
        <v>9415.85</v>
      </c>
      <c r="M233" s="739">
        <v>5333.85</v>
      </c>
      <c r="N233" s="843">
        <v>4077.81</v>
      </c>
      <c r="O233" s="710">
        <f t="shared" si="13"/>
        <v>167.59799100000001</v>
      </c>
      <c r="P233" s="711">
        <f t="shared" si="14"/>
        <v>5.2374372187500002</v>
      </c>
      <c r="Q233" s="712">
        <f t="shared" si="15"/>
        <v>21681.715769999999</v>
      </c>
    </row>
    <row r="234" spans="1:17" ht="15.75" customHeight="1">
      <c r="A234" s="731" t="s">
        <v>2067</v>
      </c>
      <c r="B234" s="732">
        <v>45021</v>
      </c>
      <c r="C234" s="733" t="s">
        <v>1597</v>
      </c>
      <c r="D234" s="733" t="s">
        <v>1598</v>
      </c>
      <c r="E234" s="734">
        <v>7.1</v>
      </c>
      <c r="F234" s="731" t="s">
        <v>1599</v>
      </c>
      <c r="G234" s="731" t="s">
        <v>1600</v>
      </c>
      <c r="H234" s="731" t="s">
        <v>2068</v>
      </c>
      <c r="I234" s="736">
        <v>8986</v>
      </c>
      <c r="J234" s="735" t="s">
        <v>1599</v>
      </c>
      <c r="K234" s="737">
        <v>2140</v>
      </c>
      <c r="L234" s="744">
        <f t="shared" ref="L234:L236" si="18">M234-K234</f>
        <v>5949.19</v>
      </c>
      <c r="M234" s="739">
        <v>8089.19</v>
      </c>
      <c r="N234" s="843">
        <v>4229.59</v>
      </c>
      <c r="O234" s="710">
        <f t="shared" si="13"/>
        <v>30.030089</v>
      </c>
      <c r="P234" s="711">
        <f t="shared" si="14"/>
        <v>0.93844028125000001</v>
      </c>
      <c r="Q234" s="712">
        <f t="shared" si="15"/>
        <v>38007.095740000004</v>
      </c>
    </row>
    <row r="235" spans="1:17" ht="15.75" customHeight="1">
      <c r="A235" s="722" t="s">
        <v>2069</v>
      </c>
      <c r="B235" s="723">
        <v>45019</v>
      </c>
      <c r="C235" s="724" t="s">
        <v>1597</v>
      </c>
      <c r="D235" s="724" t="s">
        <v>1598</v>
      </c>
      <c r="E235" s="725">
        <v>5.3</v>
      </c>
      <c r="F235" s="722" t="s">
        <v>1599</v>
      </c>
      <c r="G235" s="722" t="s">
        <v>1600</v>
      </c>
      <c r="H235" s="722" t="s">
        <v>1807</v>
      </c>
      <c r="I235" s="727">
        <v>1734</v>
      </c>
      <c r="J235" s="726" t="s">
        <v>1599</v>
      </c>
      <c r="K235" s="728">
        <v>3820</v>
      </c>
      <c r="L235" s="743">
        <f t="shared" si="18"/>
        <v>10714.1</v>
      </c>
      <c r="M235" s="730">
        <v>14534.1</v>
      </c>
      <c r="N235" s="842">
        <v>8046.9</v>
      </c>
      <c r="O235" s="710">
        <f t="shared" si="13"/>
        <v>42.648569999999999</v>
      </c>
      <c r="P235" s="711">
        <f t="shared" si="14"/>
        <v>1.3327678125</v>
      </c>
      <c r="Q235" s="712">
        <f t="shared" si="15"/>
        <v>13953.3246</v>
      </c>
    </row>
    <row r="236" spans="1:17" ht="15.75" customHeight="1">
      <c r="A236" s="731" t="s">
        <v>2070</v>
      </c>
      <c r="B236" s="732">
        <v>45023</v>
      </c>
      <c r="C236" s="733" t="s">
        <v>1597</v>
      </c>
      <c r="D236" s="733" t="s">
        <v>1598</v>
      </c>
      <c r="E236" s="734">
        <v>11.9</v>
      </c>
      <c r="F236" s="731" t="s">
        <v>1599</v>
      </c>
      <c r="G236" s="731" t="s">
        <v>1600</v>
      </c>
      <c r="H236" s="731" t="s">
        <v>1807</v>
      </c>
      <c r="I236" s="736">
        <v>1734</v>
      </c>
      <c r="J236" s="735" t="s">
        <v>1599</v>
      </c>
      <c r="K236" s="737">
        <v>3700</v>
      </c>
      <c r="L236" s="744">
        <f t="shared" si="18"/>
        <v>11694.6</v>
      </c>
      <c r="M236" s="739">
        <v>15394.6</v>
      </c>
      <c r="N236" s="843">
        <v>9386.6</v>
      </c>
      <c r="O236" s="710">
        <f t="shared" si="13"/>
        <v>111.70054</v>
      </c>
      <c r="P236" s="711">
        <f t="shared" si="14"/>
        <v>3.4906418750000001</v>
      </c>
      <c r="Q236" s="712">
        <f t="shared" si="15"/>
        <v>16276.3644</v>
      </c>
    </row>
    <row r="237" spans="1:17" ht="15.75" customHeight="1">
      <c r="A237" s="701" t="s">
        <v>2071</v>
      </c>
      <c r="B237" s="723">
        <v>45023</v>
      </c>
      <c r="C237" s="701" t="s">
        <v>1597</v>
      </c>
      <c r="D237" s="701" t="s">
        <v>1598</v>
      </c>
      <c r="E237" s="703">
        <v>11.9</v>
      </c>
      <c r="F237" s="701" t="s">
        <v>1599</v>
      </c>
      <c r="G237" s="701" t="s">
        <v>1600</v>
      </c>
      <c r="H237" s="722" t="s">
        <v>1798</v>
      </c>
      <c r="I237" s="727">
        <v>1931</v>
      </c>
      <c r="J237" s="706" t="s">
        <v>1599</v>
      </c>
      <c r="K237" s="707">
        <v>3800</v>
      </c>
      <c r="L237" s="747">
        <v>9573.85</v>
      </c>
      <c r="M237" s="709">
        <v>13373.85</v>
      </c>
      <c r="N237" s="842">
        <v>3132.45</v>
      </c>
      <c r="O237" s="710">
        <f t="shared" si="13"/>
        <v>37.276154999999996</v>
      </c>
      <c r="P237" s="711">
        <f t="shared" si="14"/>
        <v>1.1648798437499999</v>
      </c>
      <c r="Q237" s="712">
        <f t="shared" si="15"/>
        <v>6048.760949999999</v>
      </c>
    </row>
    <row r="238" spans="1:17" ht="15.75" customHeight="1">
      <c r="A238" s="731" t="s">
        <v>2072</v>
      </c>
      <c r="B238" s="732">
        <v>45021</v>
      </c>
      <c r="C238" s="733" t="s">
        <v>1597</v>
      </c>
      <c r="D238" s="733" t="s">
        <v>1598</v>
      </c>
      <c r="E238" s="734">
        <v>6</v>
      </c>
      <c r="F238" s="731" t="s">
        <v>1599</v>
      </c>
      <c r="G238" s="731" t="s">
        <v>1600</v>
      </c>
      <c r="H238" s="731" t="s">
        <v>1836</v>
      </c>
      <c r="I238" s="736">
        <v>14544</v>
      </c>
      <c r="J238" s="735" t="s">
        <v>1599</v>
      </c>
      <c r="K238" s="737">
        <v>3800</v>
      </c>
      <c r="L238" s="744">
        <f t="shared" ref="L238:L250" si="19">M238-K238</f>
        <v>13824</v>
      </c>
      <c r="M238" s="739">
        <v>17624</v>
      </c>
      <c r="N238" s="843">
        <v>11400</v>
      </c>
      <c r="O238" s="710">
        <f t="shared" si="13"/>
        <v>68.400000000000006</v>
      </c>
      <c r="P238" s="711">
        <f t="shared" si="14"/>
        <v>2.1375000000000002</v>
      </c>
      <c r="Q238" s="712">
        <f t="shared" si="15"/>
        <v>165801.60000000001</v>
      </c>
    </row>
    <row r="239" spans="1:17" ht="15.75" customHeight="1">
      <c r="A239" s="722" t="s">
        <v>2073</v>
      </c>
      <c r="B239" s="723">
        <v>45021</v>
      </c>
      <c r="C239" s="724" t="s">
        <v>1597</v>
      </c>
      <c r="D239" s="724" t="s">
        <v>1598</v>
      </c>
      <c r="E239" s="725">
        <v>11.9</v>
      </c>
      <c r="F239" s="722" t="s">
        <v>1599</v>
      </c>
      <c r="G239" s="722" t="s">
        <v>1600</v>
      </c>
      <c r="H239" s="722" t="s">
        <v>1866</v>
      </c>
      <c r="I239" s="727">
        <v>2597</v>
      </c>
      <c r="J239" s="726" t="s">
        <v>1599</v>
      </c>
      <c r="K239" s="728">
        <v>2100</v>
      </c>
      <c r="L239" s="743">
        <f t="shared" si="19"/>
        <v>5344.5</v>
      </c>
      <c r="M239" s="730">
        <v>7444.5</v>
      </c>
      <c r="N239" s="842">
        <v>4067</v>
      </c>
      <c r="O239" s="710">
        <f t="shared" si="13"/>
        <v>48.397300000000001</v>
      </c>
      <c r="P239" s="711">
        <f t="shared" si="14"/>
        <v>1.512415625</v>
      </c>
      <c r="Q239" s="712">
        <f t="shared" si="15"/>
        <v>10561.999</v>
      </c>
    </row>
    <row r="240" spans="1:17" ht="15.75" customHeight="1">
      <c r="A240" s="731" t="s">
        <v>2074</v>
      </c>
      <c r="B240" s="732">
        <v>45036</v>
      </c>
      <c r="C240" s="733" t="s">
        <v>1597</v>
      </c>
      <c r="D240" s="733" t="s">
        <v>1598</v>
      </c>
      <c r="E240" s="734">
        <v>6.2</v>
      </c>
      <c r="F240" s="731" t="s">
        <v>1599</v>
      </c>
      <c r="G240" s="731" t="s">
        <v>1600</v>
      </c>
      <c r="H240" s="731" t="s">
        <v>1884</v>
      </c>
      <c r="I240" s="736">
        <v>13413</v>
      </c>
      <c r="J240" s="735" t="s">
        <v>1599</v>
      </c>
      <c r="K240" s="737">
        <v>3750</v>
      </c>
      <c r="L240" s="744">
        <f t="shared" si="19"/>
        <v>19071.599999999999</v>
      </c>
      <c r="M240" s="739">
        <v>22821.599999999999</v>
      </c>
      <c r="N240" s="843">
        <v>15602.4</v>
      </c>
      <c r="O240" s="710">
        <f t="shared" si="13"/>
        <v>96.734880000000004</v>
      </c>
      <c r="P240" s="711">
        <f t="shared" si="14"/>
        <v>3.0229650000000001</v>
      </c>
      <c r="Q240" s="712">
        <f t="shared" si="15"/>
        <v>209274.99119999999</v>
      </c>
    </row>
    <row r="241" spans="1:17" ht="15.75" customHeight="1">
      <c r="A241" s="722" t="s">
        <v>2075</v>
      </c>
      <c r="B241" s="723">
        <v>45035</v>
      </c>
      <c r="C241" s="724" t="s">
        <v>1597</v>
      </c>
      <c r="D241" s="724" t="s">
        <v>1598</v>
      </c>
      <c r="E241" s="725">
        <v>6.2</v>
      </c>
      <c r="F241" s="722" t="s">
        <v>1599</v>
      </c>
      <c r="G241" s="722" t="s">
        <v>1600</v>
      </c>
      <c r="H241" s="722" t="s">
        <v>1828</v>
      </c>
      <c r="I241" s="727">
        <v>7448</v>
      </c>
      <c r="J241" s="726" t="s">
        <v>1599</v>
      </c>
      <c r="K241" s="728">
        <v>3830</v>
      </c>
      <c r="L241" s="743">
        <f t="shared" si="19"/>
        <v>9957</v>
      </c>
      <c r="M241" s="741">
        <v>13787</v>
      </c>
      <c r="N241" s="842">
        <v>5262</v>
      </c>
      <c r="O241" s="710">
        <f t="shared" si="13"/>
        <v>32.624400000000001</v>
      </c>
      <c r="P241" s="711">
        <f t="shared" si="14"/>
        <v>1.0195125</v>
      </c>
      <c r="Q241" s="712">
        <f t="shared" si="15"/>
        <v>39191.375999999997</v>
      </c>
    </row>
    <row r="242" spans="1:17" ht="15.75" customHeight="1">
      <c r="A242" s="731" t="s">
        <v>2076</v>
      </c>
      <c r="B242" s="732">
        <v>45036</v>
      </c>
      <c r="C242" s="733" t="s">
        <v>1597</v>
      </c>
      <c r="D242" s="733" t="s">
        <v>1598</v>
      </c>
      <c r="E242" s="734">
        <v>7.1</v>
      </c>
      <c r="F242" s="731" t="s">
        <v>1599</v>
      </c>
      <c r="G242" s="731" t="s">
        <v>1600</v>
      </c>
      <c r="H242" s="731" t="s">
        <v>1844</v>
      </c>
      <c r="I242" s="736">
        <v>5727</v>
      </c>
      <c r="J242" s="735" t="s">
        <v>1599</v>
      </c>
      <c r="K242" s="737">
        <v>3640</v>
      </c>
      <c r="L242" s="744">
        <f t="shared" si="19"/>
        <v>12334.6</v>
      </c>
      <c r="M242" s="742">
        <v>15974.6</v>
      </c>
      <c r="N242" s="843">
        <v>10463.84</v>
      </c>
      <c r="O242" s="710">
        <f t="shared" si="13"/>
        <v>74.293263999999994</v>
      </c>
      <c r="P242" s="711">
        <f t="shared" si="14"/>
        <v>2.3216644999999998</v>
      </c>
      <c r="Q242" s="712">
        <f t="shared" si="15"/>
        <v>59926.411679999997</v>
      </c>
    </row>
    <row r="243" spans="1:17" ht="15.75" customHeight="1">
      <c r="A243" s="722" t="s">
        <v>2077</v>
      </c>
      <c r="B243" s="723">
        <v>45037</v>
      </c>
      <c r="C243" s="724" t="s">
        <v>1597</v>
      </c>
      <c r="D243" s="724" t="s">
        <v>1598</v>
      </c>
      <c r="E243" s="725">
        <v>6.5</v>
      </c>
      <c r="F243" s="722" t="s">
        <v>1599</v>
      </c>
      <c r="G243" s="722" t="s">
        <v>1600</v>
      </c>
      <c r="H243" s="722" t="s">
        <v>1912</v>
      </c>
      <c r="I243" s="727">
        <v>4929</v>
      </c>
      <c r="J243" s="726" t="s">
        <v>1599</v>
      </c>
      <c r="K243" s="728">
        <v>2220</v>
      </c>
      <c r="L243" s="743">
        <f t="shared" si="19"/>
        <v>7497.15</v>
      </c>
      <c r="M243" s="741">
        <v>9717.15</v>
      </c>
      <c r="N243" s="842">
        <v>6644.95</v>
      </c>
      <c r="O243" s="710">
        <f t="shared" si="13"/>
        <v>43.192174999999999</v>
      </c>
      <c r="P243" s="711">
        <f t="shared" si="14"/>
        <v>1.34975546875</v>
      </c>
      <c r="Q243" s="712">
        <f t="shared" si="15"/>
        <v>32752.958549999999</v>
      </c>
    </row>
    <row r="244" spans="1:17" ht="15.75" customHeight="1">
      <c r="A244" s="731" t="s">
        <v>2078</v>
      </c>
      <c r="B244" s="732">
        <v>45037</v>
      </c>
      <c r="C244" s="733" t="s">
        <v>1597</v>
      </c>
      <c r="D244" s="733" t="s">
        <v>1598</v>
      </c>
      <c r="E244" s="734">
        <v>6.5</v>
      </c>
      <c r="F244" s="731" t="s">
        <v>1599</v>
      </c>
      <c r="G244" s="731" t="s">
        <v>1600</v>
      </c>
      <c r="H244" s="731" t="s">
        <v>1803</v>
      </c>
      <c r="I244" s="736">
        <v>8839</v>
      </c>
      <c r="J244" s="735" t="s">
        <v>1599</v>
      </c>
      <c r="K244" s="737">
        <v>3800</v>
      </c>
      <c r="L244" s="744">
        <f t="shared" si="19"/>
        <v>13594</v>
      </c>
      <c r="M244" s="742">
        <v>17394</v>
      </c>
      <c r="N244" s="843">
        <v>10091</v>
      </c>
      <c r="O244" s="710">
        <f t="shared" si="13"/>
        <v>65.591499999999996</v>
      </c>
      <c r="P244" s="711">
        <f t="shared" si="14"/>
        <v>2.0497343749999999</v>
      </c>
      <c r="Q244" s="712">
        <f t="shared" si="15"/>
        <v>89194.349000000002</v>
      </c>
    </row>
    <row r="245" spans="1:17" ht="15.75" customHeight="1">
      <c r="A245" s="722" t="s">
        <v>2079</v>
      </c>
      <c r="B245" s="723">
        <v>45035</v>
      </c>
      <c r="C245" s="724" t="s">
        <v>1597</v>
      </c>
      <c r="D245" s="724" t="s">
        <v>1598</v>
      </c>
      <c r="E245" s="725">
        <v>6.2</v>
      </c>
      <c r="F245" s="722" t="s">
        <v>1599</v>
      </c>
      <c r="G245" s="722" t="s">
        <v>1600</v>
      </c>
      <c r="H245" s="722" t="s">
        <v>1884</v>
      </c>
      <c r="I245" s="727">
        <v>13413</v>
      </c>
      <c r="J245" s="726" t="s">
        <v>1599</v>
      </c>
      <c r="K245" s="728">
        <v>3700</v>
      </c>
      <c r="L245" s="743">
        <f t="shared" si="19"/>
        <v>14839</v>
      </c>
      <c r="M245" s="741">
        <v>18539</v>
      </c>
      <c r="N245" s="842">
        <v>12511.2</v>
      </c>
      <c r="O245" s="710">
        <f t="shared" si="13"/>
        <v>77.56944</v>
      </c>
      <c r="P245" s="711">
        <f t="shared" si="14"/>
        <v>2.424045</v>
      </c>
      <c r="Q245" s="712">
        <f t="shared" si="15"/>
        <v>167812.72560000003</v>
      </c>
    </row>
    <row r="246" spans="1:17" ht="15.75" customHeight="1">
      <c r="A246" s="731" t="s">
        <v>2080</v>
      </c>
      <c r="B246" s="732">
        <v>45035</v>
      </c>
      <c r="C246" s="733" t="s">
        <v>1597</v>
      </c>
      <c r="D246" s="733" t="s">
        <v>1598</v>
      </c>
      <c r="E246" s="734">
        <v>6.2</v>
      </c>
      <c r="F246" s="731" t="s">
        <v>1599</v>
      </c>
      <c r="G246" s="731" t="s">
        <v>1600</v>
      </c>
      <c r="H246" s="731" t="s">
        <v>1884</v>
      </c>
      <c r="I246" s="736">
        <v>13413</v>
      </c>
      <c r="J246" s="735" t="s">
        <v>1599</v>
      </c>
      <c r="K246" s="737">
        <v>3870</v>
      </c>
      <c r="L246" s="744">
        <f t="shared" si="19"/>
        <v>14839</v>
      </c>
      <c r="M246" s="742">
        <v>18709</v>
      </c>
      <c r="N246" s="843">
        <v>12511.2</v>
      </c>
      <c r="O246" s="710">
        <f t="shared" si="13"/>
        <v>77.56944</v>
      </c>
      <c r="P246" s="711">
        <f t="shared" si="14"/>
        <v>2.424045</v>
      </c>
      <c r="Q246" s="712">
        <f t="shared" si="15"/>
        <v>167812.72560000003</v>
      </c>
    </row>
    <row r="247" spans="1:17" ht="15.75" customHeight="1">
      <c r="A247" s="722" t="s">
        <v>2081</v>
      </c>
      <c r="B247" s="723">
        <v>45036</v>
      </c>
      <c r="C247" s="724" t="s">
        <v>1597</v>
      </c>
      <c r="D247" s="724" t="s">
        <v>1598</v>
      </c>
      <c r="E247" s="725">
        <v>6.2</v>
      </c>
      <c r="F247" s="722" t="s">
        <v>1599</v>
      </c>
      <c r="G247" s="722" t="s">
        <v>1600</v>
      </c>
      <c r="H247" s="722" t="s">
        <v>1880</v>
      </c>
      <c r="I247" s="727">
        <v>13558</v>
      </c>
      <c r="J247" s="726" t="s">
        <v>1599</v>
      </c>
      <c r="K247" s="728">
        <v>3830</v>
      </c>
      <c r="L247" s="743">
        <f t="shared" si="19"/>
        <v>14839</v>
      </c>
      <c r="M247" s="741">
        <v>18669</v>
      </c>
      <c r="N247" s="842">
        <v>12511.2</v>
      </c>
      <c r="O247" s="710">
        <f t="shared" si="13"/>
        <v>77.56944</v>
      </c>
      <c r="P247" s="711">
        <f t="shared" si="14"/>
        <v>2.424045</v>
      </c>
      <c r="Q247" s="712">
        <f t="shared" si="15"/>
        <v>169626.84960000002</v>
      </c>
    </row>
    <row r="248" spans="1:17" ht="15.75" customHeight="1">
      <c r="A248" s="731" t="s">
        <v>2082</v>
      </c>
      <c r="B248" s="732">
        <v>45035</v>
      </c>
      <c r="C248" s="733" t="s">
        <v>1597</v>
      </c>
      <c r="D248" s="733" t="s">
        <v>1598</v>
      </c>
      <c r="E248" s="734">
        <v>6.2</v>
      </c>
      <c r="F248" s="731" t="s">
        <v>1599</v>
      </c>
      <c r="G248" s="731" t="s">
        <v>1600</v>
      </c>
      <c r="H248" s="731" t="s">
        <v>1836</v>
      </c>
      <c r="I248" s="736">
        <v>14544</v>
      </c>
      <c r="J248" s="735" t="s">
        <v>1599</v>
      </c>
      <c r="K248" s="737">
        <v>3860</v>
      </c>
      <c r="L248" s="744">
        <f t="shared" si="19"/>
        <v>14839</v>
      </c>
      <c r="M248" s="742">
        <v>18699</v>
      </c>
      <c r="N248" s="843">
        <v>12511.2</v>
      </c>
      <c r="O248" s="710">
        <f t="shared" si="13"/>
        <v>77.56944</v>
      </c>
      <c r="P248" s="711">
        <f t="shared" si="14"/>
        <v>2.424045</v>
      </c>
      <c r="Q248" s="712">
        <f t="shared" si="15"/>
        <v>181962.8928</v>
      </c>
    </row>
    <row r="249" spans="1:17" ht="15.75" customHeight="1">
      <c r="A249" s="722" t="s">
        <v>2083</v>
      </c>
      <c r="B249" s="723">
        <v>45035</v>
      </c>
      <c r="C249" s="724" t="s">
        <v>1597</v>
      </c>
      <c r="D249" s="724" t="s">
        <v>1598</v>
      </c>
      <c r="E249" s="725">
        <v>6</v>
      </c>
      <c r="F249" s="722" t="s">
        <v>1599</v>
      </c>
      <c r="G249" s="722" t="s">
        <v>1600</v>
      </c>
      <c r="H249" s="722" t="s">
        <v>1844</v>
      </c>
      <c r="I249" s="727">
        <v>5727</v>
      </c>
      <c r="J249" s="726" t="s">
        <v>1599</v>
      </c>
      <c r="K249" s="728">
        <v>2150</v>
      </c>
      <c r="L249" s="743">
        <f t="shared" si="19"/>
        <v>4401.95</v>
      </c>
      <c r="M249" s="741">
        <v>6551.95</v>
      </c>
      <c r="N249" s="842">
        <v>3377.16</v>
      </c>
      <c r="O249" s="710">
        <f t="shared" si="13"/>
        <v>20.26296</v>
      </c>
      <c r="P249" s="711">
        <f t="shared" si="14"/>
        <v>0.63321749999999999</v>
      </c>
      <c r="Q249" s="712">
        <f t="shared" si="15"/>
        <v>19340.995320000002</v>
      </c>
    </row>
    <row r="250" spans="1:17" ht="15.75" customHeight="1">
      <c r="A250" s="731" t="s">
        <v>2084</v>
      </c>
      <c r="B250" s="732">
        <v>45038</v>
      </c>
      <c r="C250" s="733" t="s">
        <v>1597</v>
      </c>
      <c r="D250" s="733" t="s">
        <v>1598</v>
      </c>
      <c r="E250" s="734">
        <v>6.5</v>
      </c>
      <c r="F250" s="731" t="s">
        <v>1599</v>
      </c>
      <c r="G250" s="731" t="s">
        <v>1600</v>
      </c>
      <c r="H250" s="731" t="s">
        <v>1822</v>
      </c>
      <c r="I250" s="736">
        <v>13787</v>
      </c>
      <c r="J250" s="735" t="s">
        <v>1599</v>
      </c>
      <c r="K250" s="737">
        <v>3700</v>
      </c>
      <c r="L250" s="744">
        <f t="shared" si="19"/>
        <v>18768</v>
      </c>
      <c r="M250" s="739">
        <v>22468</v>
      </c>
      <c r="N250" s="843">
        <v>15270</v>
      </c>
      <c r="O250" s="710">
        <f t="shared" si="13"/>
        <v>99.254999999999995</v>
      </c>
      <c r="P250" s="711">
        <f t="shared" si="14"/>
        <v>3.1017187499999999</v>
      </c>
      <c r="Q250" s="712">
        <f t="shared" si="15"/>
        <v>210527.49</v>
      </c>
    </row>
    <row r="251" spans="1:17" ht="15.75" customHeight="1">
      <c r="A251" s="722" t="s">
        <v>2085</v>
      </c>
      <c r="B251" s="723">
        <v>45048</v>
      </c>
      <c r="C251" s="724" t="s">
        <v>1597</v>
      </c>
      <c r="D251" s="724" t="s">
        <v>1598</v>
      </c>
      <c r="E251" s="725">
        <v>6.2</v>
      </c>
      <c r="F251" s="722" t="s">
        <v>1599</v>
      </c>
      <c r="G251" s="722" t="s">
        <v>1600</v>
      </c>
      <c r="H251" s="722" t="s">
        <v>1841</v>
      </c>
      <c r="I251" s="727">
        <v>9486</v>
      </c>
      <c r="J251" s="726" t="s">
        <v>1599</v>
      </c>
      <c r="K251" s="728">
        <v>3810</v>
      </c>
      <c r="L251" s="743">
        <v>20414.900000000001</v>
      </c>
      <c r="M251" s="730">
        <v>24224.9</v>
      </c>
      <c r="N251" s="842">
        <v>15325.4</v>
      </c>
      <c r="O251" s="710">
        <f t="shared" si="13"/>
        <v>95.017479999999992</v>
      </c>
      <c r="P251" s="711">
        <f t="shared" si="14"/>
        <v>2.9692962499999997</v>
      </c>
      <c r="Q251" s="712">
        <f t="shared" si="15"/>
        <v>145376.7444</v>
      </c>
    </row>
    <row r="252" spans="1:17" ht="15.75" customHeight="1">
      <c r="A252" s="731" t="s">
        <v>2086</v>
      </c>
      <c r="B252" s="732">
        <v>45048</v>
      </c>
      <c r="C252" s="733" t="s">
        <v>1597</v>
      </c>
      <c r="D252" s="733" t="s">
        <v>1598</v>
      </c>
      <c r="E252" s="734">
        <v>6.2</v>
      </c>
      <c r="F252" s="731" t="s">
        <v>1599</v>
      </c>
      <c r="G252" s="731" t="s">
        <v>1600</v>
      </c>
      <c r="H252" s="731" t="s">
        <v>1841</v>
      </c>
      <c r="I252" s="736">
        <v>9486</v>
      </c>
      <c r="J252" s="735" t="s">
        <v>1599</v>
      </c>
      <c r="K252" s="737">
        <v>3700</v>
      </c>
      <c r="L252" s="744">
        <v>20834.599999999999</v>
      </c>
      <c r="M252" s="739">
        <v>24534.6</v>
      </c>
      <c r="N252" s="843">
        <v>17383.099999999999</v>
      </c>
      <c r="O252" s="710">
        <f t="shared" si="13"/>
        <v>107.77522</v>
      </c>
      <c r="P252" s="711">
        <f t="shared" si="14"/>
        <v>3.3679756250000001</v>
      </c>
      <c r="Q252" s="712">
        <f t="shared" si="15"/>
        <v>164896.08659999998</v>
      </c>
    </row>
    <row r="253" spans="1:17" ht="15.75" customHeight="1">
      <c r="A253" s="722" t="s">
        <v>2087</v>
      </c>
      <c r="B253" s="723">
        <v>45048</v>
      </c>
      <c r="C253" s="724" t="s">
        <v>1597</v>
      </c>
      <c r="D253" s="724" t="s">
        <v>1598</v>
      </c>
      <c r="E253" s="725">
        <v>6.2</v>
      </c>
      <c r="F253" s="722" t="s">
        <v>1599</v>
      </c>
      <c r="G253" s="722" t="s">
        <v>1600</v>
      </c>
      <c r="H253" s="722" t="s">
        <v>1841</v>
      </c>
      <c r="I253" s="727">
        <v>9486</v>
      </c>
      <c r="J253" s="726" t="s">
        <v>1599</v>
      </c>
      <c r="K253" s="728">
        <v>3700</v>
      </c>
      <c r="L253" s="743">
        <v>19709</v>
      </c>
      <c r="M253" s="730">
        <v>23409</v>
      </c>
      <c r="N253" s="842">
        <v>16584.5</v>
      </c>
      <c r="O253" s="710">
        <f t="shared" si="13"/>
        <v>102.82390000000001</v>
      </c>
      <c r="P253" s="711">
        <f t="shared" si="14"/>
        <v>3.2132468750000003</v>
      </c>
      <c r="Q253" s="712">
        <f t="shared" si="15"/>
        <v>157320.56700000001</v>
      </c>
    </row>
    <row r="254" spans="1:17" ht="15.75" customHeight="1">
      <c r="A254" s="731" t="s">
        <v>2088</v>
      </c>
      <c r="B254" s="732">
        <v>45043</v>
      </c>
      <c r="C254" s="733" t="s">
        <v>1597</v>
      </c>
      <c r="D254" s="733" t="s">
        <v>1598</v>
      </c>
      <c r="E254" s="734">
        <v>6.5</v>
      </c>
      <c r="F254" s="731" t="s">
        <v>1599</v>
      </c>
      <c r="G254" s="731" t="s">
        <v>1600</v>
      </c>
      <c r="H254" s="731" t="s">
        <v>2089</v>
      </c>
      <c r="I254" s="736">
        <v>8687</v>
      </c>
      <c r="J254" s="735" t="s">
        <v>1599</v>
      </c>
      <c r="K254" s="737">
        <v>4000</v>
      </c>
      <c r="L254" s="744">
        <f t="shared" ref="L254:L278" si="20">M254-K254</f>
        <v>13717.900000000001</v>
      </c>
      <c r="M254" s="742">
        <v>17717.900000000001</v>
      </c>
      <c r="N254" s="843">
        <v>11188.4</v>
      </c>
      <c r="O254" s="710">
        <f t="shared" si="13"/>
        <v>72.724599999999995</v>
      </c>
      <c r="P254" s="711">
        <f t="shared" si="14"/>
        <v>2.2726437499999999</v>
      </c>
      <c r="Q254" s="712">
        <f t="shared" si="15"/>
        <v>97193.630799999999</v>
      </c>
    </row>
    <row r="255" spans="1:17" ht="15.75" customHeight="1">
      <c r="A255" s="722" t="s">
        <v>2090</v>
      </c>
      <c r="B255" s="723">
        <v>45035</v>
      </c>
      <c r="C255" s="724" t="s">
        <v>1597</v>
      </c>
      <c r="D255" s="724" t="s">
        <v>1598</v>
      </c>
      <c r="E255" s="725">
        <v>6</v>
      </c>
      <c r="F255" s="722" t="s">
        <v>1599</v>
      </c>
      <c r="G255" s="722" t="s">
        <v>1600</v>
      </c>
      <c r="H255" s="722" t="s">
        <v>1798</v>
      </c>
      <c r="I255" s="727">
        <v>1931</v>
      </c>
      <c r="J255" s="726" t="s">
        <v>1599</v>
      </c>
      <c r="K255" s="728">
        <v>2220</v>
      </c>
      <c r="L255" s="743">
        <f t="shared" si="20"/>
        <v>6128</v>
      </c>
      <c r="M255" s="730">
        <v>8348</v>
      </c>
      <c r="N255" s="842">
        <v>5214</v>
      </c>
      <c r="O255" s="710">
        <f t="shared" si="13"/>
        <v>31.283999999999999</v>
      </c>
      <c r="P255" s="711">
        <f t="shared" si="14"/>
        <v>0.97762499999999997</v>
      </c>
      <c r="Q255" s="712">
        <f t="shared" si="15"/>
        <v>10068.234</v>
      </c>
    </row>
    <row r="256" spans="1:17" ht="15.75" customHeight="1">
      <c r="A256" s="731" t="s">
        <v>2091</v>
      </c>
      <c r="B256" s="732">
        <v>45036</v>
      </c>
      <c r="C256" s="733" t="s">
        <v>1597</v>
      </c>
      <c r="D256" s="733" t="s">
        <v>1598</v>
      </c>
      <c r="E256" s="734">
        <v>6.2</v>
      </c>
      <c r="F256" s="731" t="s">
        <v>1599</v>
      </c>
      <c r="G256" s="731" t="s">
        <v>1600</v>
      </c>
      <c r="H256" s="731" t="s">
        <v>1815</v>
      </c>
      <c r="I256" s="736">
        <v>17387</v>
      </c>
      <c r="J256" s="735" t="s">
        <v>1599</v>
      </c>
      <c r="K256" s="737">
        <v>3840</v>
      </c>
      <c r="L256" s="744">
        <f t="shared" si="20"/>
        <v>18774.990000000002</v>
      </c>
      <c r="M256" s="739">
        <v>22614.99</v>
      </c>
      <c r="N256" s="843">
        <v>16468.87</v>
      </c>
      <c r="O256" s="710">
        <f t="shared" si="13"/>
        <v>102.10699399999999</v>
      </c>
      <c r="P256" s="711">
        <f t="shared" si="14"/>
        <v>3.1908435624999996</v>
      </c>
      <c r="Q256" s="712">
        <f t="shared" si="15"/>
        <v>286344.24268999998</v>
      </c>
    </row>
    <row r="257" spans="1:17" ht="15.75" customHeight="1">
      <c r="A257" s="722" t="s">
        <v>2092</v>
      </c>
      <c r="B257" s="723">
        <v>45036</v>
      </c>
      <c r="C257" s="724" t="s">
        <v>1597</v>
      </c>
      <c r="D257" s="724" t="s">
        <v>1598</v>
      </c>
      <c r="E257" s="725">
        <v>7.1</v>
      </c>
      <c r="F257" s="722" t="s">
        <v>1599</v>
      </c>
      <c r="G257" s="722" t="s">
        <v>1600</v>
      </c>
      <c r="H257" s="722" t="s">
        <v>1941</v>
      </c>
      <c r="I257" s="727">
        <v>1588</v>
      </c>
      <c r="J257" s="726" t="s">
        <v>1599</v>
      </c>
      <c r="K257" s="728">
        <v>3700</v>
      </c>
      <c r="L257" s="743">
        <f t="shared" si="20"/>
        <v>9574.6</v>
      </c>
      <c r="M257" s="741">
        <v>13274.6</v>
      </c>
      <c r="N257" s="842">
        <v>6697.4</v>
      </c>
      <c r="O257" s="710">
        <f t="shared" si="13"/>
        <v>47.551539999999996</v>
      </c>
      <c r="P257" s="711">
        <f t="shared" si="14"/>
        <v>1.4859856249999999</v>
      </c>
      <c r="Q257" s="712">
        <f t="shared" si="15"/>
        <v>10635.4712</v>
      </c>
    </row>
    <row r="258" spans="1:17" ht="15.75" customHeight="1">
      <c r="A258" s="731" t="s">
        <v>2093</v>
      </c>
      <c r="B258" s="732">
        <v>45041</v>
      </c>
      <c r="C258" s="733" t="s">
        <v>1597</v>
      </c>
      <c r="D258" s="733" t="s">
        <v>1598</v>
      </c>
      <c r="E258" s="734">
        <v>6.2</v>
      </c>
      <c r="F258" s="731" t="s">
        <v>1599</v>
      </c>
      <c r="G258" s="731" t="s">
        <v>1600</v>
      </c>
      <c r="H258" s="731" t="s">
        <v>1831</v>
      </c>
      <c r="I258" s="736">
        <v>7283</v>
      </c>
      <c r="J258" s="735" t="s">
        <v>1599</v>
      </c>
      <c r="K258" s="737">
        <v>3870</v>
      </c>
      <c r="L258" s="744">
        <f t="shared" si="20"/>
        <v>9957</v>
      </c>
      <c r="M258" s="742">
        <v>13827</v>
      </c>
      <c r="N258" s="843">
        <v>5262</v>
      </c>
      <c r="O258" s="710">
        <f t="shared" si="13"/>
        <v>32.624400000000001</v>
      </c>
      <c r="P258" s="711">
        <f t="shared" si="14"/>
        <v>1.0195125</v>
      </c>
      <c r="Q258" s="712">
        <f t="shared" si="15"/>
        <v>38323.146000000001</v>
      </c>
    </row>
    <row r="259" spans="1:17" ht="15.75" customHeight="1">
      <c r="A259" s="722" t="s">
        <v>2094</v>
      </c>
      <c r="B259" s="723">
        <v>45041</v>
      </c>
      <c r="C259" s="724" t="s">
        <v>1597</v>
      </c>
      <c r="D259" s="724" t="s">
        <v>1598</v>
      </c>
      <c r="E259" s="725">
        <v>6.2</v>
      </c>
      <c r="F259" s="722" t="s">
        <v>1599</v>
      </c>
      <c r="G259" s="722" t="s">
        <v>1600</v>
      </c>
      <c r="H259" s="722" t="s">
        <v>1831</v>
      </c>
      <c r="I259" s="727">
        <v>7283</v>
      </c>
      <c r="J259" s="726" t="s">
        <v>1599</v>
      </c>
      <c r="K259" s="728">
        <v>2150</v>
      </c>
      <c r="L259" s="743">
        <f t="shared" si="20"/>
        <v>6252</v>
      </c>
      <c r="M259" s="741">
        <v>8402</v>
      </c>
      <c r="N259" s="842">
        <v>3454</v>
      </c>
      <c r="O259" s="710">
        <f t="shared" si="13"/>
        <v>21.4148</v>
      </c>
      <c r="P259" s="711">
        <f t="shared" si="14"/>
        <v>0.66921249999999999</v>
      </c>
      <c r="Q259" s="712">
        <f t="shared" si="15"/>
        <v>25155.482</v>
      </c>
    </row>
    <row r="260" spans="1:17" ht="15.75" customHeight="1">
      <c r="A260" s="731" t="s">
        <v>2095</v>
      </c>
      <c r="B260" s="732">
        <v>45043</v>
      </c>
      <c r="C260" s="733" t="s">
        <v>1597</v>
      </c>
      <c r="D260" s="733" t="s">
        <v>1598</v>
      </c>
      <c r="E260" s="734">
        <v>6.2</v>
      </c>
      <c r="F260" s="731" t="s">
        <v>1599</v>
      </c>
      <c r="G260" s="731" t="s">
        <v>1600</v>
      </c>
      <c r="H260" s="731" t="s">
        <v>1828</v>
      </c>
      <c r="I260" s="736">
        <v>7448</v>
      </c>
      <c r="J260" s="735" t="s">
        <v>1599</v>
      </c>
      <c r="K260" s="737">
        <v>3860</v>
      </c>
      <c r="L260" s="744">
        <f t="shared" si="20"/>
        <v>22077</v>
      </c>
      <c r="M260" s="742">
        <v>25937</v>
      </c>
      <c r="N260" s="843">
        <v>16007</v>
      </c>
      <c r="O260" s="710">
        <f t="shared" si="13"/>
        <v>99.243400000000008</v>
      </c>
      <c r="P260" s="711">
        <f t="shared" si="14"/>
        <v>3.1013562500000003</v>
      </c>
      <c r="Q260" s="712">
        <f t="shared" si="15"/>
        <v>119220.136</v>
      </c>
    </row>
    <row r="261" spans="1:17" ht="15.75" customHeight="1">
      <c r="A261" s="722" t="s">
        <v>2096</v>
      </c>
      <c r="B261" s="723">
        <v>45036</v>
      </c>
      <c r="C261" s="724" t="s">
        <v>1597</v>
      </c>
      <c r="D261" s="724" t="s">
        <v>1598</v>
      </c>
      <c r="E261" s="725">
        <v>7.1</v>
      </c>
      <c r="F261" s="722" t="s">
        <v>1599</v>
      </c>
      <c r="G261" s="722" t="s">
        <v>1600</v>
      </c>
      <c r="H261" s="722" t="s">
        <v>1963</v>
      </c>
      <c r="I261" s="727">
        <v>14253</v>
      </c>
      <c r="J261" s="726" t="s">
        <v>1599</v>
      </c>
      <c r="K261" s="728">
        <v>3870</v>
      </c>
      <c r="L261" s="743">
        <f t="shared" si="20"/>
        <v>11547.38</v>
      </c>
      <c r="M261" s="730">
        <v>15417.38</v>
      </c>
      <c r="N261" s="842">
        <v>8841.42</v>
      </c>
      <c r="O261" s="710">
        <f t="shared" si="13"/>
        <v>62.774081999999993</v>
      </c>
      <c r="P261" s="711">
        <f t="shared" si="14"/>
        <v>1.9616900624999998</v>
      </c>
      <c r="Q261" s="712">
        <f t="shared" si="15"/>
        <v>126016.75926000001</v>
      </c>
    </row>
    <row r="262" spans="1:17" ht="15.75" customHeight="1">
      <c r="A262" s="731" t="s">
        <v>2097</v>
      </c>
      <c r="B262" s="732">
        <v>45035</v>
      </c>
      <c r="C262" s="733" t="s">
        <v>1597</v>
      </c>
      <c r="D262" s="733" t="s">
        <v>1598</v>
      </c>
      <c r="E262" s="734">
        <v>6.2</v>
      </c>
      <c r="F262" s="731" t="s">
        <v>1599</v>
      </c>
      <c r="G262" s="731" t="s">
        <v>1600</v>
      </c>
      <c r="H262" s="731" t="s">
        <v>1893</v>
      </c>
      <c r="I262" s="736">
        <v>2167</v>
      </c>
      <c r="J262" s="735" t="s">
        <v>1599</v>
      </c>
      <c r="K262" s="737">
        <v>2180</v>
      </c>
      <c r="L262" s="744">
        <f t="shared" si="20"/>
        <v>4587.3</v>
      </c>
      <c r="M262" s="742">
        <v>6767.3</v>
      </c>
      <c r="N262" s="843">
        <v>3450.2</v>
      </c>
      <c r="O262" s="710">
        <f t="shared" ref="O262:O325" si="21">N262*E262/1000</f>
        <v>21.391239999999996</v>
      </c>
      <c r="P262" s="711">
        <f t="shared" ref="P262:P325" si="22">O262/32</f>
        <v>0.66847624999999988</v>
      </c>
      <c r="Q262" s="712">
        <f t="shared" ref="Q262:Q325" si="23">N262*I262/1000</f>
        <v>7476.5833999999995</v>
      </c>
    </row>
    <row r="263" spans="1:17" ht="15.75" customHeight="1">
      <c r="A263" s="722" t="s">
        <v>2098</v>
      </c>
      <c r="B263" s="723">
        <v>45043</v>
      </c>
      <c r="C263" s="724" t="s">
        <v>1597</v>
      </c>
      <c r="D263" s="724" t="s">
        <v>1598</v>
      </c>
      <c r="E263" s="725">
        <v>6.5</v>
      </c>
      <c r="F263" s="722" t="s">
        <v>1599</v>
      </c>
      <c r="G263" s="722" t="s">
        <v>1600</v>
      </c>
      <c r="H263" s="722" t="s">
        <v>1850</v>
      </c>
      <c r="I263" s="727">
        <v>9687</v>
      </c>
      <c r="J263" s="726" t="s">
        <v>1599</v>
      </c>
      <c r="K263" s="728">
        <v>3630</v>
      </c>
      <c r="L263" s="743">
        <f t="shared" si="20"/>
        <v>22836.240000000002</v>
      </c>
      <c r="M263" s="741">
        <v>26466.240000000002</v>
      </c>
      <c r="N263" s="842">
        <v>21241.24</v>
      </c>
      <c r="O263" s="710">
        <f t="shared" si="21"/>
        <v>138.06806</v>
      </c>
      <c r="P263" s="711">
        <f t="shared" si="22"/>
        <v>4.3146268750000001</v>
      </c>
      <c r="Q263" s="712">
        <f t="shared" si="23"/>
        <v>205763.89188000004</v>
      </c>
    </row>
    <row r="264" spans="1:17" ht="15.75" customHeight="1">
      <c r="A264" s="731" t="s">
        <v>2099</v>
      </c>
      <c r="B264" s="732">
        <v>45043</v>
      </c>
      <c r="C264" s="733" t="s">
        <v>1597</v>
      </c>
      <c r="D264" s="733" t="s">
        <v>1598</v>
      </c>
      <c r="E264" s="734">
        <v>6.5</v>
      </c>
      <c r="F264" s="731" t="s">
        <v>1599</v>
      </c>
      <c r="G264" s="731" t="s">
        <v>1600</v>
      </c>
      <c r="H264" s="731" t="s">
        <v>1850</v>
      </c>
      <c r="I264" s="736">
        <v>9687</v>
      </c>
      <c r="J264" s="735" t="s">
        <v>1599</v>
      </c>
      <c r="K264" s="737">
        <v>3660</v>
      </c>
      <c r="L264" s="744">
        <f t="shared" si="20"/>
        <v>20434.7</v>
      </c>
      <c r="M264" s="739">
        <v>24094.7</v>
      </c>
      <c r="N264" s="843">
        <v>19052.7</v>
      </c>
      <c r="O264" s="710">
        <f t="shared" si="21"/>
        <v>123.84255</v>
      </c>
      <c r="P264" s="711">
        <f t="shared" si="22"/>
        <v>3.8700796875000001</v>
      </c>
      <c r="Q264" s="712">
        <f t="shared" si="23"/>
        <v>184563.5049</v>
      </c>
    </row>
    <row r="265" spans="1:17" ht="15.75" customHeight="1">
      <c r="A265" s="722" t="s">
        <v>2100</v>
      </c>
      <c r="B265" s="723">
        <v>45040</v>
      </c>
      <c r="C265" s="724" t="s">
        <v>1597</v>
      </c>
      <c r="D265" s="724" t="s">
        <v>1598</v>
      </c>
      <c r="E265" s="725">
        <v>11.9</v>
      </c>
      <c r="F265" s="722" t="s">
        <v>1599</v>
      </c>
      <c r="G265" s="722" t="s">
        <v>1600</v>
      </c>
      <c r="H265" s="722" t="s">
        <v>1807</v>
      </c>
      <c r="I265" s="727">
        <v>1734</v>
      </c>
      <c r="J265" s="726" t="s">
        <v>1599</v>
      </c>
      <c r="K265" s="728">
        <v>3820</v>
      </c>
      <c r="L265" s="743">
        <f t="shared" si="20"/>
        <v>11641.8</v>
      </c>
      <c r="M265" s="741">
        <v>15461.8</v>
      </c>
      <c r="N265" s="842">
        <v>8899.7000000000007</v>
      </c>
      <c r="O265" s="710">
        <f t="shared" si="21"/>
        <v>105.90643000000001</v>
      </c>
      <c r="P265" s="711">
        <f t="shared" si="22"/>
        <v>3.3095759375000005</v>
      </c>
      <c r="Q265" s="712">
        <f t="shared" si="23"/>
        <v>15432.079800000001</v>
      </c>
    </row>
    <row r="266" spans="1:17" ht="15.75" customHeight="1">
      <c r="A266" s="731" t="s">
        <v>2101</v>
      </c>
      <c r="B266" s="732">
        <v>45043</v>
      </c>
      <c r="C266" s="733" t="s">
        <v>1597</v>
      </c>
      <c r="D266" s="733" t="s">
        <v>1598</v>
      </c>
      <c r="E266" s="734">
        <v>6</v>
      </c>
      <c r="F266" s="731" t="s">
        <v>1599</v>
      </c>
      <c r="G266" s="731" t="s">
        <v>1600</v>
      </c>
      <c r="H266" s="731" t="s">
        <v>1818</v>
      </c>
      <c r="I266" s="736">
        <v>14000</v>
      </c>
      <c r="J266" s="735" t="s">
        <v>1599</v>
      </c>
      <c r="K266" s="737">
        <v>3900</v>
      </c>
      <c r="L266" s="744">
        <f t="shared" si="20"/>
        <v>17345.25</v>
      </c>
      <c r="M266" s="742">
        <v>21245.25</v>
      </c>
      <c r="N266" s="843">
        <v>14853.81</v>
      </c>
      <c r="O266" s="710">
        <f t="shared" si="21"/>
        <v>89.122860000000003</v>
      </c>
      <c r="P266" s="711">
        <f t="shared" si="22"/>
        <v>2.7850893750000001</v>
      </c>
      <c r="Q266" s="712">
        <f t="shared" si="23"/>
        <v>207953.34</v>
      </c>
    </row>
    <row r="267" spans="1:17" ht="15.75" customHeight="1">
      <c r="A267" s="722" t="s">
        <v>2102</v>
      </c>
      <c r="B267" s="723">
        <v>45044</v>
      </c>
      <c r="C267" s="724" t="s">
        <v>1597</v>
      </c>
      <c r="D267" s="724" t="s">
        <v>1598</v>
      </c>
      <c r="E267" s="725">
        <v>3.6</v>
      </c>
      <c r="F267" s="722" t="s">
        <v>1599</v>
      </c>
      <c r="G267" s="722" t="s">
        <v>1600</v>
      </c>
      <c r="H267" s="722" t="s">
        <v>1848</v>
      </c>
      <c r="I267" s="727">
        <v>3740</v>
      </c>
      <c r="J267" s="726" t="s">
        <v>1599</v>
      </c>
      <c r="K267" s="728">
        <v>3830</v>
      </c>
      <c r="L267" s="743">
        <f t="shared" si="20"/>
        <v>6367.7000000000007</v>
      </c>
      <c r="M267" s="741">
        <v>10197.700000000001</v>
      </c>
      <c r="N267" s="842">
        <v>4439.3999999999996</v>
      </c>
      <c r="O267" s="710">
        <f t="shared" si="21"/>
        <v>15.981839999999998</v>
      </c>
      <c r="P267" s="711">
        <f t="shared" si="22"/>
        <v>0.49943249999999995</v>
      </c>
      <c r="Q267" s="712">
        <f t="shared" si="23"/>
        <v>16603.356</v>
      </c>
    </row>
    <row r="268" spans="1:17" ht="15.75" customHeight="1">
      <c r="A268" s="731" t="s">
        <v>2103</v>
      </c>
      <c r="B268" s="732">
        <v>45040</v>
      </c>
      <c r="C268" s="733" t="s">
        <v>1597</v>
      </c>
      <c r="D268" s="733" t="s">
        <v>1598</v>
      </c>
      <c r="E268" s="734">
        <v>5.3</v>
      </c>
      <c r="F268" s="731" t="s">
        <v>1599</v>
      </c>
      <c r="G268" s="731" t="s">
        <v>1600</v>
      </c>
      <c r="H268" s="731" t="s">
        <v>1873</v>
      </c>
      <c r="I268" s="736">
        <v>3824</v>
      </c>
      <c r="J268" s="735" t="s">
        <v>1599</v>
      </c>
      <c r="K268" s="737">
        <v>3700</v>
      </c>
      <c r="L268" s="744">
        <f t="shared" si="20"/>
        <v>10080.459999999999</v>
      </c>
      <c r="M268" s="742">
        <v>13780.46</v>
      </c>
      <c r="N268" s="843">
        <v>7403.4</v>
      </c>
      <c r="O268" s="710">
        <f t="shared" si="21"/>
        <v>39.238019999999999</v>
      </c>
      <c r="P268" s="711">
        <f t="shared" si="22"/>
        <v>1.226188125</v>
      </c>
      <c r="Q268" s="712">
        <f t="shared" si="23"/>
        <v>28310.601599999998</v>
      </c>
    </row>
    <row r="269" spans="1:17" ht="15.75" customHeight="1">
      <c r="A269" s="722" t="s">
        <v>2104</v>
      </c>
      <c r="B269" s="723">
        <v>45040</v>
      </c>
      <c r="C269" s="724" t="s">
        <v>1597</v>
      </c>
      <c r="D269" s="724" t="s">
        <v>1598</v>
      </c>
      <c r="E269" s="725">
        <v>6.2</v>
      </c>
      <c r="F269" s="722" t="s">
        <v>1599</v>
      </c>
      <c r="G269" s="722" t="s">
        <v>1600</v>
      </c>
      <c r="H269" s="722" t="s">
        <v>1822</v>
      </c>
      <c r="I269" s="727">
        <v>13787</v>
      </c>
      <c r="J269" s="726" t="s">
        <v>1599</v>
      </c>
      <c r="K269" s="728">
        <v>3810</v>
      </c>
      <c r="L269" s="743">
        <f t="shared" si="20"/>
        <v>14628</v>
      </c>
      <c r="M269" s="741">
        <v>18438</v>
      </c>
      <c r="N269" s="842">
        <v>10952</v>
      </c>
      <c r="O269" s="710">
        <f t="shared" si="21"/>
        <v>67.902400000000014</v>
      </c>
      <c r="P269" s="711">
        <f t="shared" si="22"/>
        <v>2.1219500000000004</v>
      </c>
      <c r="Q269" s="712">
        <f t="shared" si="23"/>
        <v>150995.22399999999</v>
      </c>
    </row>
    <row r="270" spans="1:17" ht="15.75" customHeight="1">
      <c r="A270" s="731" t="s">
        <v>2105</v>
      </c>
      <c r="B270" s="732" t="s">
        <v>2106</v>
      </c>
      <c r="C270" s="733" t="s">
        <v>1597</v>
      </c>
      <c r="D270" s="733" t="s">
        <v>1598</v>
      </c>
      <c r="E270" s="734">
        <v>6.5</v>
      </c>
      <c r="F270" s="731" t="s">
        <v>1599</v>
      </c>
      <c r="G270" s="731" t="s">
        <v>1600</v>
      </c>
      <c r="H270" s="731" t="s">
        <v>1815</v>
      </c>
      <c r="I270" s="736">
        <v>17387</v>
      </c>
      <c r="J270" s="735" t="s">
        <v>1599</v>
      </c>
      <c r="K270" s="737">
        <v>3840</v>
      </c>
      <c r="L270" s="744">
        <f t="shared" si="20"/>
        <v>18455.66</v>
      </c>
      <c r="M270" s="742">
        <v>22295.66</v>
      </c>
      <c r="N270" s="843">
        <v>15983.28</v>
      </c>
      <c r="O270" s="710">
        <f t="shared" si="21"/>
        <v>103.89132000000001</v>
      </c>
      <c r="P270" s="711">
        <f t="shared" si="22"/>
        <v>3.2466037500000002</v>
      </c>
      <c r="Q270" s="712">
        <f t="shared" si="23"/>
        <v>277901.28936</v>
      </c>
    </row>
    <row r="271" spans="1:17" ht="15.75" customHeight="1">
      <c r="A271" s="722" t="s">
        <v>2107</v>
      </c>
      <c r="B271" s="723">
        <v>45042</v>
      </c>
      <c r="C271" s="724" t="s">
        <v>1597</v>
      </c>
      <c r="D271" s="724" t="s">
        <v>1598</v>
      </c>
      <c r="E271" s="725">
        <v>6.2</v>
      </c>
      <c r="F271" s="722" t="s">
        <v>1599</v>
      </c>
      <c r="G271" s="722" t="s">
        <v>1600</v>
      </c>
      <c r="H271" s="722" t="s">
        <v>1880</v>
      </c>
      <c r="I271" s="727">
        <v>13558</v>
      </c>
      <c r="J271" s="726" t="s">
        <v>1599</v>
      </c>
      <c r="K271" s="728">
        <v>3810</v>
      </c>
      <c r="L271" s="743">
        <f t="shared" si="20"/>
        <v>14963</v>
      </c>
      <c r="M271" s="741">
        <v>18773</v>
      </c>
      <c r="N271" s="842">
        <v>12158</v>
      </c>
      <c r="O271" s="710">
        <f t="shared" si="21"/>
        <v>75.379600000000011</v>
      </c>
      <c r="P271" s="711">
        <f t="shared" si="22"/>
        <v>2.3556125000000003</v>
      </c>
      <c r="Q271" s="712">
        <f t="shared" si="23"/>
        <v>164838.16399999999</v>
      </c>
    </row>
    <row r="272" spans="1:17" ht="15.75" customHeight="1">
      <c r="A272" s="731" t="s">
        <v>2108</v>
      </c>
      <c r="B272" s="732">
        <v>45042</v>
      </c>
      <c r="C272" s="733" t="s">
        <v>1597</v>
      </c>
      <c r="D272" s="733" t="s">
        <v>1598</v>
      </c>
      <c r="E272" s="734">
        <v>6.2</v>
      </c>
      <c r="F272" s="731" t="s">
        <v>1599</v>
      </c>
      <c r="G272" s="731" t="s">
        <v>1600</v>
      </c>
      <c r="H272" s="731" t="s">
        <v>1880</v>
      </c>
      <c r="I272" s="736">
        <v>13558</v>
      </c>
      <c r="J272" s="735" t="s">
        <v>1599</v>
      </c>
      <c r="K272" s="737">
        <v>3840</v>
      </c>
      <c r="L272" s="744">
        <f t="shared" si="20"/>
        <v>12907.5</v>
      </c>
      <c r="M272" s="742">
        <v>16747.5</v>
      </c>
      <c r="N272" s="843">
        <v>10159.5</v>
      </c>
      <c r="O272" s="710">
        <f t="shared" si="21"/>
        <v>62.988900000000001</v>
      </c>
      <c r="P272" s="711">
        <f t="shared" si="22"/>
        <v>1.968403125</v>
      </c>
      <c r="Q272" s="712">
        <f t="shared" si="23"/>
        <v>137742.50099999999</v>
      </c>
    </row>
    <row r="273" spans="1:17" ht="15.75" customHeight="1">
      <c r="A273" s="722" t="s">
        <v>2109</v>
      </c>
      <c r="B273" s="723">
        <v>45043</v>
      </c>
      <c r="C273" s="724" t="s">
        <v>1597</v>
      </c>
      <c r="D273" s="724" t="s">
        <v>1598</v>
      </c>
      <c r="E273" s="725">
        <v>6.5</v>
      </c>
      <c r="F273" s="722" t="s">
        <v>1599</v>
      </c>
      <c r="G273" s="722" t="s">
        <v>1600</v>
      </c>
      <c r="H273" s="722" t="s">
        <v>1963</v>
      </c>
      <c r="I273" s="727">
        <v>14253</v>
      </c>
      <c r="J273" s="726" t="s">
        <v>1599</v>
      </c>
      <c r="K273" s="728">
        <v>3890</v>
      </c>
      <c r="L273" s="743">
        <f t="shared" si="20"/>
        <v>10602.8</v>
      </c>
      <c r="M273" s="741">
        <v>14492.8</v>
      </c>
      <c r="N273" s="842">
        <v>7899.29</v>
      </c>
      <c r="O273" s="710">
        <f t="shared" si="21"/>
        <v>51.345385</v>
      </c>
      <c r="P273" s="711">
        <f t="shared" si="22"/>
        <v>1.60454328125</v>
      </c>
      <c r="Q273" s="712">
        <f t="shared" si="23"/>
        <v>112588.58037000001</v>
      </c>
    </row>
    <row r="274" spans="1:17" ht="15.75" customHeight="1">
      <c r="A274" s="731" t="s">
        <v>2110</v>
      </c>
      <c r="B274" s="732">
        <v>45043</v>
      </c>
      <c r="C274" s="733" t="s">
        <v>1597</v>
      </c>
      <c r="D274" s="733" t="s">
        <v>1598</v>
      </c>
      <c r="E274" s="734">
        <v>6</v>
      </c>
      <c r="F274" s="731" t="s">
        <v>1599</v>
      </c>
      <c r="G274" s="731" t="s">
        <v>1600</v>
      </c>
      <c r="H274" s="731" t="s">
        <v>2003</v>
      </c>
      <c r="I274" s="736">
        <v>9292</v>
      </c>
      <c r="J274" s="735" t="s">
        <v>1599</v>
      </c>
      <c r="K274" s="737">
        <v>3850</v>
      </c>
      <c r="L274" s="744">
        <f t="shared" si="20"/>
        <v>11418</v>
      </c>
      <c r="M274" s="742">
        <v>15268</v>
      </c>
      <c r="N274" s="843">
        <v>7386</v>
      </c>
      <c r="O274" s="710">
        <f t="shared" si="21"/>
        <v>44.316000000000003</v>
      </c>
      <c r="P274" s="711">
        <f t="shared" si="22"/>
        <v>1.3848750000000001</v>
      </c>
      <c r="Q274" s="712">
        <f t="shared" si="23"/>
        <v>68630.712</v>
      </c>
    </row>
    <row r="275" spans="1:17" ht="15.75" customHeight="1">
      <c r="A275" s="722" t="s">
        <v>2111</v>
      </c>
      <c r="B275" s="723">
        <v>45043</v>
      </c>
      <c r="C275" s="724" t="s">
        <v>1597</v>
      </c>
      <c r="D275" s="724" t="s">
        <v>1598</v>
      </c>
      <c r="E275" s="725">
        <v>6</v>
      </c>
      <c r="F275" s="722" t="s">
        <v>1599</v>
      </c>
      <c r="G275" s="722" t="s">
        <v>1600</v>
      </c>
      <c r="H275" s="722" t="s">
        <v>2003</v>
      </c>
      <c r="I275" s="727">
        <v>9292</v>
      </c>
      <c r="J275" s="726" t="s">
        <v>1599</v>
      </c>
      <c r="K275" s="728">
        <v>3750</v>
      </c>
      <c r="L275" s="743">
        <f t="shared" si="20"/>
        <v>11418</v>
      </c>
      <c r="M275" s="741">
        <v>15168</v>
      </c>
      <c r="N275" s="842">
        <v>7386</v>
      </c>
      <c r="O275" s="710">
        <f t="shared" si="21"/>
        <v>44.316000000000003</v>
      </c>
      <c r="P275" s="711">
        <f t="shared" si="22"/>
        <v>1.3848750000000001</v>
      </c>
      <c r="Q275" s="712">
        <f t="shared" si="23"/>
        <v>68630.712</v>
      </c>
    </row>
    <row r="276" spans="1:17" ht="15.75" customHeight="1">
      <c r="A276" s="731" t="s">
        <v>2112</v>
      </c>
      <c r="B276" s="732">
        <v>45044</v>
      </c>
      <c r="C276" s="733" t="s">
        <v>1597</v>
      </c>
      <c r="D276" s="733" t="s">
        <v>1598</v>
      </c>
      <c r="E276" s="734">
        <v>7.5</v>
      </c>
      <c r="F276" s="731" t="s">
        <v>1599</v>
      </c>
      <c r="G276" s="731" t="s">
        <v>1600</v>
      </c>
      <c r="H276" s="731" t="s">
        <v>1798</v>
      </c>
      <c r="I276" s="736">
        <v>1931</v>
      </c>
      <c r="J276" s="735" t="s">
        <v>1599</v>
      </c>
      <c r="K276" s="737">
        <v>5393.6</v>
      </c>
      <c r="L276" s="744">
        <f t="shared" si="20"/>
        <v>968</v>
      </c>
      <c r="M276" s="739">
        <v>6361.6</v>
      </c>
      <c r="N276" s="843">
        <v>5393.6</v>
      </c>
      <c r="O276" s="710">
        <f t="shared" si="21"/>
        <v>40.451999999999998</v>
      </c>
      <c r="P276" s="711">
        <f t="shared" si="22"/>
        <v>1.2641249999999999</v>
      </c>
      <c r="Q276" s="712">
        <f t="shared" si="23"/>
        <v>10415.041600000002</v>
      </c>
    </row>
    <row r="277" spans="1:17" ht="15.75" customHeight="1">
      <c r="A277" s="722" t="s">
        <v>2113</v>
      </c>
      <c r="B277" s="723">
        <v>45044</v>
      </c>
      <c r="C277" s="724" t="s">
        <v>1597</v>
      </c>
      <c r="D277" s="724" t="s">
        <v>1598</v>
      </c>
      <c r="E277" s="725">
        <v>7.1</v>
      </c>
      <c r="F277" s="722" t="s">
        <v>1599</v>
      </c>
      <c r="G277" s="722" t="s">
        <v>1600</v>
      </c>
      <c r="H277" s="722" t="s">
        <v>1886</v>
      </c>
      <c r="I277" s="727">
        <v>13877</v>
      </c>
      <c r="J277" s="726" t="s">
        <v>1599</v>
      </c>
      <c r="K277" s="728">
        <v>3840</v>
      </c>
      <c r="L277" s="743">
        <f t="shared" si="20"/>
        <v>10726</v>
      </c>
      <c r="M277" s="730">
        <v>14566</v>
      </c>
      <c r="N277" s="842">
        <v>8196.2000000000007</v>
      </c>
      <c r="O277" s="710">
        <f t="shared" si="21"/>
        <v>58.193020000000004</v>
      </c>
      <c r="P277" s="711">
        <f t="shared" si="22"/>
        <v>1.8185318750000001</v>
      </c>
      <c r="Q277" s="712">
        <f t="shared" si="23"/>
        <v>113738.66740000001</v>
      </c>
    </row>
    <row r="278" spans="1:17" ht="15.75" customHeight="1">
      <c r="A278" s="731" t="s">
        <v>2114</v>
      </c>
      <c r="B278" s="732">
        <v>45045</v>
      </c>
      <c r="C278" s="733" t="s">
        <v>1597</v>
      </c>
      <c r="D278" s="733" t="s">
        <v>1598</v>
      </c>
      <c r="E278" s="734">
        <v>7.1</v>
      </c>
      <c r="F278" s="731" t="s">
        <v>1599</v>
      </c>
      <c r="G278" s="731" t="s">
        <v>1600</v>
      </c>
      <c r="H278" s="731" t="s">
        <v>1886</v>
      </c>
      <c r="I278" s="736">
        <v>13877</v>
      </c>
      <c r="J278" s="735" t="s">
        <v>1599</v>
      </c>
      <c r="K278" s="737">
        <v>3700</v>
      </c>
      <c r="L278" s="744">
        <f t="shared" si="20"/>
        <v>10189.799999999999</v>
      </c>
      <c r="M278" s="739">
        <v>13889.8</v>
      </c>
      <c r="N278" s="843">
        <v>7660</v>
      </c>
      <c r="O278" s="710">
        <f t="shared" si="21"/>
        <v>54.386000000000003</v>
      </c>
      <c r="P278" s="711">
        <f t="shared" si="22"/>
        <v>1.6995625000000001</v>
      </c>
      <c r="Q278" s="712">
        <f t="shared" si="23"/>
        <v>106297.82</v>
      </c>
    </row>
    <row r="279" spans="1:17" ht="15.75" customHeight="1">
      <c r="A279" s="722" t="s">
        <v>2115</v>
      </c>
      <c r="B279" s="723">
        <v>45048</v>
      </c>
      <c r="C279" s="724" t="s">
        <v>1597</v>
      </c>
      <c r="D279" s="724" t="s">
        <v>1598</v>
      </c>
      <c r="E279" s="725">
        <v>4.5</v>
      </c>
      <c r="F279" s="722" t="s">
        <v>1599</v>
      </c>
      <c r="G279" s="722" t="s">
        <v>1600</v>
      </c>
      <c r="H279" s="722" t="s">
        <v>1850</v>
      </c>
      <c r="I279" s="727">
        <v>9687</v>
      </c>
      <c r="J279" s="726" t="s">
        <v>1599</v>
      </c>
      <c r="K279" s="728">
        <v>2040</v>
      </c>
      <c r="L279" s="743">
        <f>M279-K279</f>
        <v>9517</v>
      </c>
      <c r="M279" s="730">
        <v>11557</v>
      </c>
      <c r="N279" s="842">
        <v>8877</v>
      </c>
      <c r="O279" s="710">
        <f t="shared" si="21"/>
        <v>39.9465</v>
      </c>
      <c r="P279" s="711">
        <f t="shared" si="22"/>
        <v>1.248328125</v>
      </c>
      <c r="Q279" s="712">
        <f t="shared" si="23"/>
        <v>85991.498999999996</v>
      </c>
    </row>
    <row r="280" spans="1:17" ht="15.75" customHeight="1">
      <c r="A280" s="750" t="s">
        <v>2116</v>
      </c>
      <c r="B280" s="732">
        <v>45071</v>
      </c>
      <c r="C280" s="733" t="s">
        <v>1597</v>
      </c>
      <c r="D280" s="733" t="s">
        <v>2117</v>
      </c>
      <c r="E280" s="734">
        <v>41.1</v>
      </c>
      <c r="F280" s="731" t="s">
        <v>1599</v>
      </c>
      <c r="G280" s="731" t="s">
        <v>1600</v>
      </c>
      <c r="H280" s="731" t="s">
        <v>1850</v>
      </c>
      <c r="I280" s="736">
        <v>9687</v>
      </c>
      <c r="J280" s="735" t="s">
        <v>1599</v>
      </c>
      <c r="K280" s="737">
        <v>0</v>
      </c>
      <c r="L280" s="744">
        <v>0</v>
      </c>
      <c r="M280" s="739">
        <v>0</v>
      </c>
      <c r="N280" s="843">
        <v>7468</v>
      </c>
      <c r="O280" s="710">
        <f t="shared" si="21"/>
        <v>306.9348</v>
      </c>
      <c r="P280" s="711">
        <f t="shared" si="22"/>
        <v>9.5917124999999999</v>
      </c>
      <c r="Q280" s="712">
        <f t="shared" si="23"/>
        <v>72342.516000000003</v>
      </c>
    </row>
    <row r="281" spans="1:17" ht="15.75" customHeight="1">
      <c r="A281" s="722" t="s">
        <v>2118</v>
      </c>
      <c r="B281" s="723">
        <v>45048</v>
      </c>
      <c r="C281" s="724" t="s">
        <v>1597</v>
      </c>
      <c r="D281" s="724" t="s">
        <v>1598</v>
      </c>
      <c r="E281" s="725">
        <v>6.2</v>
      </c>
      <c r="F281" s="722" t="s">
        <v>1599</v>
      </c>
      <c r="G281" s="722" t="s">
        <v>1600</v>
      </c>
      <c r="H281" s="722" t="s">
        <v>1807</v>
      </c>
      <c r="I281" s="727">
        <v>1734</v>
      </c>
      <c r="J281" s="726" t="s">
        <v>1599</v>
      </c>
      <c r="K281" s="728">
        <v>3700</v>
      </c>
      <c r="L281" s="743">
        <f t="shared" ref="L281:L284" si="24">M281-K281</f>
        <v>11504.9</v>
      </c>
      <c r="M281" s="730">
        <v>15204.9</v>
      </c>
      <c r="N281" s="842">
        <v>9026</v>
      </c>
      <c r="O281" s="710">
        <f t="shared" si="21"/>
        <v>55.961200000000005</v>
      </c>
      <c r="P281" s="711">
        <f t="shared" si="22"/>
        <v>1.7487875000000002</v>
      </c>
      <c r="Q281" s="712">
        <f t="shared" si="23"/>
        <v>15651.084000000001</v>
      </c>
    </row>
    <row r="282" spans="1:17" ht="15.75" customHeight="1">
      <c r="A282" s="731" t="s">
        <v>2119</v>
      </c>
      <c r="B282" s="732">
        <v>45048</v>
      </c>
      <c r="C282" s="733" t="s">
        <v>1597</v>
      </c>
      <c r="D282" s="733" t="s">
        <v>1598</v>
      </c>
      <c r="E282" s="734">
        <v>6.2</v>
      </c>
      <c r="F282" s="731" t="s">
        <v>1599</v>
      </c>
      <c r="G282" s="731" t="s">
        <v>1600</v>
      </c>
      <c r="H282" s="731" t="s">
        <v>1807</v>
      </c>
      <c r="I282" s="736">
        <v>1734</v>
      </c>
      <c r="J282" s="735" t="s">
        <v>1599</v>
      </c>
      <c r="K282" s="737">
        <v>2150</v>
      </c>
      <c r="L282" s="744">
        <f t="shared" si="24"/>
        <v>5817.5</v>
      </c>
      <c r="M282" s="739">
        <v>7967.5</v>
      </c>
      <c r="N282" s="843">
        <v>4400.8</v>
      </c>
      <c r="O282" s="710">
        <f t="shared" si="21"/>
        <v>27.284960000000002</v>
      </c>
      <c r="P282" s="711">
        <f t="shared" si="22"/>
        <v>0.85265500000000005</v>
      </c>
      <c r="Q282" s="712">
        <f t="shared" si="23"/>
        <v>7630.9872000000005</v>
      </c>
    </row>
    <row r="283" spans="1:17" ht="15.75" customHeight="1">
      <c r="A283" s="722" t="s">
        <v>2120</v>
      </c>
      <c r="B283" s="723">
        <v>45051</v>
      </c>
      <c r="C283" s="724" t="s">
        <v>1597</v>
      </c>
      <c r="D283" s="724" t="s">
        <v>1598</v>
      </c>
      <c r="E283" s="725">
        <v>6</v>
      </c>
      <c r="F283" s="722" t="s">
        <v>1599</v>
      </c>
      <c r="G283" s="722" t="s">
        <v>1600</v>
      </c>
      <c r="H283" s="722" t="s">
        <v>2121</v>
      </c>
      <c r="I283" s="727">
        <v>9007</v>
      </c>
      <c r="J283" s="726" t="s">
        <v>1599</v>
      </c>
      <c r="K283" s="728">
        <v>2185</v>
      </c>
      <c r="L283" s="743">
        <f t="shared" si="24"/>
        <v>5123</v>
      </c>
      <c r="M283" s="730">
        <v>7308</v>
      </c>
      <c r="N283" s="842">
        <v>3723.6</v>
      </c>
      <c r="O283" s="710">
        <f t="shared" si="21"/>
        <v>22.3416</v>
      </c>
      <c r="P283" s="711">
        <f t="shared" si="22"/>
        <v>0.69817499999999999</v>
      </c>
      <c r="Q283" s="712">
        <f t="shared" si="23"/>
        <v>33538.465199999999</v>
      </c>
    </row>
    <row r="284" spans="1:17" ht="15.75" customHeight="1">
      <c r="A284" s="731" t="s">
        <v>2122</v>
      </c>
      <c r="B284" s="732">
        <v>45048</v>
      </c>
      <c r="C284" s="733" t="s">
        <v>1597</v>
      </c>
      <c r="D284" s="733" t="s">
        <v>1598</v>
      </c>
      <c r="E284" s="734">
        <v>6.2</v>
      </c>
      <c r="F284" s="731" t="s">
        <v>1599</v>
      </c>
      <c r="G284" s="731" t="s">
        <v>1600</v>
      </c>
      <c r="H284" s="731" t="s">
        <v>1884</v>
      </c>
      <c r="I284" s="736">
        <v>13413</v>
      </c>
      <c r="J284" s="735" t="s">
        <v>1599</v>
      </c>
      <c r="K284" s="737">
        <v>3700</v>
      </c>
      <c r="L284" s="744">
        <f t="shared" si="24"/>
        <v>14839</v>
      </c>
      <c r="M284" s="739">
        <v>18539</v>
      </c>
      <c r="N284" s="843">
        <v>12511.2</v>
      </c>
      <c r="O284" s="710">
        <f t="shared" si="21"/>
        <v>77.56944</v>
      </c>
      <c r="P284" s="711">
        <f t="shared" si="22"/>
        <v>2.424045</v>
      </c>
      <c r="Q284" s="712">
        <f t="shared" si="23"/>
        <v>167812.72560000003</v>
      </c>
    </row>
    <row r="285" spans="1:17" ht="15.75" customHeight="1">
      <c r="A285" s="722" t="s">
        <v>2123</v>
      </c>
      <c r="B285" s="723">
        <v>45055</v>
      </c>
      <c r="C285" s="724" t="s">
        <v>1597</v>
      </c>
      <c r="D285" s="724"/>
      <c r="E285" s="725"/>
      <c r="F285" s="722"/>
      <c r="G285" s="722" t="s">
        <v>1600</v>
      </c>
      <c r="H285" s="722" t="s">
        <v>1798</v>
      </c>
      <c r="I285" s="727">
        <v>1931</v>
      </c>
      <c r="J285" s="726"/>
      <c r="K285" s="728">
        <v>3142.78</v>
      </c>
      <c r="L285" s="743">
        <v>1333.24</v>
      </c>
      <c r="M285" s="730">
        <v>4476.07</v>
      </c>
      <c r="N285" s="842">
        <v>3142.78</v>
      </c>
      <c r="O285" s="710">
        <f t="shared" si="21"/>
        <v>0</v>
      </c>
      <c r="P285" s="711">
        <f t="shared" si="22"/>
        <v>0</v>
      </c>
      <c r="Q285" s="712">
        <f t="shared" si="23"/>
        <v>6068.7081800000005</v>
      </c>
    </row>
    <row r="286" spans="1:17" ht="15.75" customHeight="1">
      <c r="A286" s="731" t="s">
        <v>2124</v>
      </c>
      <c r="B286" s="732">
        <v>45054</v>
      </c>
      <c r="C286" s="733" t="s">
        <v>1597</v>
      </c>
      <c r="D286" s="733" t="s">
        <v>1598</v>
      </c>
      <c r="E286" s="734">
        <v>6</v>
      </c>
      <c r="F286" s="731" t="s">
        <v>1599</v>
      </c>
      <c r="G286" s="731" t="s">
        <v>1600</v>
      </c>
      <c r="H286" s="731" t="s">
        <v>1850</v>
      </c>
      <c r="I286" s="736">
        <v>9687</v>
      </c>
      <c r="J286" s="735" t="s">
        <v>1599</v>
      </c>
      <c r="K286" s="737">
        <v>2230</v>
      </c>
      <c r="L286" s="744">
        <f t="shared" ref="L286:L349" si="25">M286-K286</f>
        <v>5777</v>
      </c>
      <c r="M286" s="739">
        <v>8007</v>
      </c>
      <c r="N286" s="843">
        <v>4550</v>
      </c>
      <c r="O286" s="710">
        <f t="shared" si="21"/>
        <v>27.3</v>
      </c>
      <c r="P286" s="711">
        <f t="shared" si="22"/>
        <v>0.85312500000000002</v>
      </c>
      <c r="Q286" s="712">
        <f t="shared" si="23"/>
        <v>44075.85</v>
      </c>
    </row>
    <row r="287" spans="1:17" ht="15.75" customHeight="1">
      <c r="A287" s="722" t="s">
        <v>2125</v>
      </c>
      <c r="B287" s="723">
        <v>45054</v>
      </c>
      <c r="C287" s="724" t="s">
        <v>1597</v>
      </c>
      <c r="D287" s="724" t="s">
        <v>1598</v>
      </c>
      <c r="E287" s="725">
        <v>6.3</v>
      </c>
      <c r="F287" s="722" t="s">
        <v>1599</v>
      </c>
      <c r="G287" s="722" t="s">
        <v>1600</v>
      </c>
      <c r="H287" s="722" t="s">
        <v>1822</v>
      </c>
      <c r="I287" s="727">
        <v>13787</v>
      </c>
      <c r="J287" s="726" t="s">
        <v>1599</v>
      </c>
      <c r="K287" s="728">
        <v>3800</v>
      </c>
      <c r="L287" s="743">
        <f t="shared" si="25"/>
        <v>14839</v>
      </c>
      <c r="M287" s="730">
        <v>18639</v>
      </c>
      <c r="N287" s="842">
        <v>12511.2</v>
      </c>
      <c r="O287" s="710">
        <f t="shared" si="21"/>
        <v>78.82056</v>
      </c>
      <c r="P287" s="711">
        <f t="shared" si="22"/>
        <v>2.4631425</v>
      </c>
      <c r="Q287" s="712">
        <f t="shared" si="23"/>
        <v>172491.91440000001</v>
      </c>
    </row>
    <row r="288" spans="1:17" ht="15.75" customHeight="1">
      <c r="A288" s="731" t="s">
        <v>2126</v>
      </c>
      <c r="B288" s="732">
        <v>45051</v>
      </c>
      <c r="C288" s="733" t="s">
        <v>1597</v>
      </c>
      <c r="D288" s="733" t="s">
        <v>1598</v>
      </c>
      <c r="E288" s="734">
        <v>7.1</v>
      </c>
      <c r="F288" s="731" t="s">
        <v>1599</v>
      </c>
      <c r="G288" s="731" t="s">
        <v>1600</v>
      </c>
      <c r="H288" s="731" t="s">
        <v>1844</v>
      </c>
      <c r="I288" s="736">
        <v>5727</v>
      </c>
      <c r="J288" s="735" t="s">
        <v>1599</v>
      </c>
      <c r="K288" s="737">
        <v>2220</v>
      </c>
      <c r="L288" s="744">
        <f t="shared" si="25"/>
        <v>6041.7800000000007</v>
      </c>
      <c r="M288" s="739">
        <v>8261.7800000000007</v>
      </c>
      <c r="N288" s="843">
        <v>5083.78</v>
      </c>
      <c r="O288" s="710">
        <f t="shared" si="21"/>
        <v>36.094837999999996</v>
      </c>
      <c r="P288" s="711">
        <f t="shared" si="22"/>
        <v>1.1279636874999999</v>
      </c>
      <c r="Q288" s="712">
        <f t="shared" si="23"/>
        <v>29114.808059999999</v>
      </c>
    </row>
    <row r="289" spans="1:17" ht="15.75" customHeight="1">
      <c r="A289" s="722" t="s">
        <v>2127</v>
      </c>
      <c r="B289" s="723">
        <v>45051</v>
      </c>
      <c r="C289" s="724" t="s">
        <v>1597</v>
      </c>
      <c r="D289" s="724" t="s">
        <v>1598</v>
      </c>
      <c r="E289" s="725">
        <v>7.1</v>
      </c>
      <c r="F289" s="722" t="s">
        <v>1599</v>
      </c>
      <c r="G289" s="722" t="s">
        <v>1600</v>
      </c>
      <c r="H289" s="722" t="s">
        <v>1846</v>
      </c>
      <c r="I289" s="727">
        <v>5317</v>
      </c>
      <c r="J289" s="726" t="s">
        <v>1599</v>
      </c>
      <c r="K289" s="728">
        <v>2180</v>
      </c>
      <c r="L289" s="743">
        <f t="shared" si="25"/>
        <v>6459.15</v>
      </c>
      <c r="M289" s="730">
        <v>8639.15</v>
      </c>
      <c r="N289" s="842">
        <v>5232.0200000000004</v>
      </c>
      <c r="O289" s="710">
        <f t="shared" si="21"/>
        <v>37.147342000000002</v>
      </c>
      <c r="P289" s="711">
        <f t="shared" si="22"/>
        <v>1.1608544375000001</v>
      </c>
      <c r="Q289" s="712">
        <f t="shared" si="23"/>
        <v>27818.650340000004</v>
      </c>
    </row>
    <row r="290" spans="1:17" ht="15.75" customHeight="1">
      <c r="A290" s="731" t="s">
        <v>2128</v>
      </c>
      <c r="B290" s="732">
        <v>45051</v>
      </c>
      <c r="C290" s="733" t="s">
        <v>1597</v>
      </c>
      <c r="D290" s="733" t="s">
        <v>1598</v>
      </c>
      <c r="E290" s="734">
        <v>7.1</v>
      </c>
      <c r="F290" s="731" t="s">
        <v>1599</v>
      </c>
      <c r="G290" s="731" t="s">
        <v>1600</v>
      </c>
      <c r="H290" s="731" t="s">
        <v>1912</v>
      </c>
      <c r="I290" s="736">
        <v>4929</v>
      </c>
      <c r="J290" s="735" t="s">
        <v>1599</v>
      </c>
      <c r="K290" s="737">
        <v>3640</v>
      </c>
      <c r="L290" s="744">
        <f t="shared" si="25"/>
        <v>14991.64</v>
      </c>
      <c r="M290" s="739">
        <v>18631.64</v>
      </c>
      <c r="N290" s="843">
        <v>13057.23</v>
      </c>
      <c r="O290" s="710">
        <f t="shared" si="21"/>
        <v>92.706333000000001</v>
      </c>
      <c r="P290" s="711">
        <f t="shared" si="22"/>
        <v>2.89707290625</v>
      </c>
      <c r="Q290" s="712">
        <f t="shared" si="23"/>
        <v>64359.086669999997</v>
      </c>
    </row>
    <row r="291" spans="1:17" ht="15.75" customHeight="1">
      <c r="A291" s="722" t="s">
        <v>2129</v>
      </c>
      <c r="B291" s="723">
        <v>45054</v>
      </c>
      <c r="C291" s="724" t="s">
        <v>1597</v>
      </c>
      <c r="D291" s="724" t="s">
        <v>1598</v>
      </c>
      <c r="E291" s="725">
        <v>7.1</v>
      </c>
      <c r="F291" s="722" t="s">
        <v>1599</v>
      </c>
      <c r="G291" s="722" t="s">
        <v>1600</v>
      </c>
      <c r="H291" s="722" t="s">
        <v>1912</v>
      </c>
      <c r="I291" s="727">
        <v>4929</v>
      </c>
      <c r="J291" s="726" t="s">
        <v>1599</v>
      </c>
      <c r="K291" s="728">
        <v>3740</v>
      </c>
      <c r="L291" s="743">
        <f t="shared" si="25"/>
        <v>13200.099999999999</v>
      </c>
      <c r="M291" s="730">
        <v>16940.099999999999</v>
      </c>
      <c r="N291" s="842">
        <v>10567.3</v>
      </c>
      <c r="O291" s="710">
        <f t="shared" si="21"/>
        <v>75.02782999999998</v>
      </c>
      <c r="P291" s="711">
        <f t="shared" si="22"/>
        <v>2.3446196874999994</v>
      </c>
      <c r="Q291" s="712">
        <f t="shared" si="23"/>
        <v>52086.221699999995</v>
      </c>
    </row>
    <row r="292" spans="1:17" ht="15.75" customHeight="1">
      <c r="A292" s="731" t="s">
        <v>2130</v>
      </c>
      <c r="B292" s="732">
        <v>45056</v>
      </c>
      <c r="C292" s="733" t="s">
        <v>1597</v>
      </c>
      <c r="D292" s="733" t="s">
        <v>1598</v>
      </c>
      <c r="E292" s="734">
        <v>6.3</v>
      </c>
      <c r="F292" s="731" t="s">
        <v>1599</v>
      </c>
      <c r="G292" s="731" t="s">
        <v>1600</v>
      </c>
      <c r="H292" s="731" t="s">
        <v>1850</v>
      </c>
      <c r="I292" s="736">
        <v>9687</v>
      </c>
      <c r="J292" s="735" t="s">
        <v>1599</v>
      </c>
      <c r="K292" s="737">
        <v>3750</v>
      </c>
      <c r="L292" s="744">
        <f t="shared" si="25"/>
        <v>25027</v>
      </c>
      <c r="M292" s="739">
        <v>28777</v>
      </c>
      <c r="N292" s="843">
        <v>23842</v>
      </c>
      <c r="O292" s="710">
        <f t="shared" si="21"/>
        <v>150.2046</v>
      </c>
      <c r="P292" s="711">
        <f t="shared" si="22"/>
        <v>4.69389375</v>
      </c>
      <c r="Q292" s="712">
        <f t="shared" si="23"/>
        <v>230957.454</v>
      </c>
    </row>
    <row r="293" spans="1:17" ht="15.75" customHeight="1">
      <c r="A293" s="722" t="s">
        <v>2131</v>
      </c>
      <c r="B293" s="723">
        <v>45054</v>
      </c>
      <c r="C293" s="724" t="s">
        <v>1597</v>
      </c>
      <c r="D293" s="724" t="s">
        <v>1598</v>
      </c>
      <c r="E293" s="725">
        <v>6</v>
      </c>
      <c r="F293" s="722" t="s">
        <v>1599</v>
      </c>
      <c r="G293" s="722" t="s">
        <v>1600</v>
      </c>
      <c r="H293" s="722" t="s">
        <v>1846</v>
      </c>
      <c r="I293" s="727">
        <v>5317</v>
      </c>
      <c r="J293" s="726" t="s">
        <v>1599</v>
      </c>
      <c r="K293" s="728">
        <v>2210</v>
      </c>
      <c r="L293" s="743">
        <f t="shared" si="25"/>
        <v>3770.6899999999996</v>
      </c>
      <c r="M293" s="730">
        <v>5980.69</v>
      </c>
      <c r="N293" s="842">
        <v>2729.97</v>
      </c>
      <c r="O293" s="710">
        <f t="shared" si="21"/>
        <v>16.379819999999999</v>
      </c>
      <c r="P293" s="711">
        <f t="shared" si="22"/>
        <v>0.51186937499999996</v>
      </c>
      <c r="Q293" s="712">
        <f t="shared" si="23"/>
        <v>14515.250489999999</v>
      </c>
    </row>
    <row r="294" spans="1:17" ht="15.75" customHeight="1">
      <c r="A294" s="731" t="s">
        <v>2132</v>
      </c>
      <c r="B294" s="732">
        <v>45061</v>
      </c>
      <c r="C294" s="733" t="s">
        <v>1597</v>
      </c>
      <c r="D294" s="733" t="s">
        <v>1598</v>
      </c>
      <c r="E294" s="734">
        <v>6.2</v>
      </c>
      <c r="F294" s="731" t="s">
        <v>1599</v>
      </c>
      <c r="G294" s="731" t="s">
        <v>1600</v>
      </c>
      <c r="H294" s="731" t="s">
        <v>1838</v>
      </c>
      <c r="I294" s="736">
        <v>4972</v>
      </c>
      <c r="J294" s="735" t="s">
        <v>1599</v>
      </c>
      <c r="K294" s="737">
        <v>3570</v>
      </c>
      <c r="L294" s="744">
        <f t="shared" si="25"/>
        <v>12352.75</v>
      </c>
      <c r="M294" s="742">
        <v>15922.75</v>
      </c>
      <c r="N294" s="843">
        <v>9530.7999999999993</v>
      </c>
      <c r="O294" s="710">
        <f t="shared" si="21"/>
        <v>59.090960000000003</v>
      </c>
      <c r="P294" s="711">
        <f t="shared" si="22"/>
        <v>1.8465925000000001</v>
      </c>
      <c r="Q294" s="712">
        <f t="shared" si="23"/>
        <v>47387.137599999995</v>
      </c>
    </row>
    <row r="295" spans="1:17" ht="15.75" customHeight="1">
      <c r="A295" s="722" t="s">
        <v>2133</v>
      </c>
      <c r="B295" s="723">
        <v>45072</v>
      </c>
      <c r="C295" s="724" t="s">
        <v>1597</v>
      </c>
      <c r="D295" s="724" t="s">
        <v>1598</v>
      </c>
      <c r="E295" s="725">
        <v>7.1</v>
      </c>
      <c r="F295" s="722" t="s">
        <v>1599</v>
      </c>
      <c r="G295" s="722" t="s">
        <v>1600</v>
      </c>
      <c r="H295" s="722" t="s">
        <v>1841</v>
      </c>
      <c r="I295" s="727">
        <v>9486</v>
      </c>
      <c r="J295" s="726" t="s">
        <v>1599</v>
      </c>
      <c r="K295" s="728">
        <v>3890</v>
      </c>
      <c r="L295" s="743">
        <f t="shared" si="25"/>
        <v>16826.900000000001</v>
      </c>
      <c r="M295" s="741">
        <v>20716.900000000001</v>
      </c>
      <c r="N295" s="842">
        <v>12903.9</v>
      </c>
      <c r="O295" s="710">
        <f t="shared" si="21"/>
        <v>91.617689999999982</v>
      </c>
      <c r="P295" s="711">
        <f t="shared" si="22"/>
        <v>2.8630528124999994</v>
      </c>
      <c r="Q295" s="712">
        <f t="shared" si="23"/>
        <v>122406.39539999999</v>
      </c>
    </row>
    <row r="296" spans="1:17" ht="15.75" customHeight="1">
      <c r="A296" s="731" t="s">
        <v>2134</v>
      </c>
      <c r="B296" s="732">
        <v>45062</v>
      </c>
      <c r="C296" s="733" t="s">
        <v>1597</v>
      </c>
      <c r="D296" s="733" t="s">
        <v>1598</v>
      </c>
      <c r="E296" s="734">
        <v>6.2</v>
      </c>
      <c r="F296" s="731" t="s">
        <v>1599</v>
      </c>
      <c r="G296" s="731" t="s">
        <v>1600</v>
      </c>
      <c r="H296" s="731" t="s">
        <v>1841</v>
      </c>
      <c r="I296" s="736">
        <v>9486</v>
      </c>
      <c r="J296" s="735" t="s">
        <v>1599</v>
      </c>
      <c r="K296" s="737">
        <v>3830</v>
      </c>
      <c r="L296" s="744">
        <f t="shared" si="25"/>
        <v>16861.349999999999</v>
      </c>
      <c r="M296" s="742">
        <v>20691.349999999999</v>
      </c>
      <c r="N296" s="843">
        <v>12792.45</v>
      </c>
      <c r="O296" s="710">
        <f t="shared" si="21"/>
        <v>79.313190000000006</v>
      </c>
      <c r="P296" s="711">
        <f t="shared" si="22"/>
        <v>2.4785371875000002</v>
      </c>
      <c r="Q296" s="712">
        <f t="shared" si="23"/>
        <v>121349.1807</v>
      </c>
    </row>
    <row r="297" spans="1:17" ht="15.75" customHeight="1">
      <c r="A297" s="722" t="s">
        <v>2135</v>
      </c>
      <c r="B297" s="723">
        <v>45062</v>
      </c>
      <c r="C297" s="724" t="s">
        <v>1597</v>
      </c>
      <c r="D297" s="724" t="s">
        <v>1598</v>
      </c>
      <c r="E297" s="725">
        <v>6.3</v>
      </c>
      <c r="F297" s="722" t="s">
        <v>1599</v>
      </c>
      <c r="G297" s="722" t="s">
        <v>1600</v>
      </c>
      <c r="H297" s="722" t="s">
        <v>1841</v>
      </c>
      <c r="I297" s="727">
        <v>9486</v>
      </c>
      <c r="J297" s="726" t="s">
        <v>1599</v>
      </c>
      <c r="K297" s="728">
        <v>3860</v>
      </c>
      <c r="L297" s="743">
        <f t="shared" si="25"/>
        <v>17401.05</v>
      </c>
      <c r="M297" s="728">
        <v>21261.05</v>
      </c>
      <c r="N297" s="842">
        <v>12365.65</v>
      </c>
      <c r="O297" s="710">
        <f t="shared" si="21"/>
        <v>77.903594999999996</v>
      </c>
      <c r="P297" s="711">
        <f t="shared" si="22"/>
        <v>2.4344873437499999</v>
      </c>
      <c r="Q297" s="712">
        <f t="shared" si="23"/>
        <v>117300.55589999999</v>
      </c>
    </row>
    <row r="298" spans="1:17" ht="15.75" customHeight="1">
      <c r="A298" s="257" t="s">
        <v>2136</v>
      </c>
      <c r="B298" s="751">
        <v>45056</v>
      </c>
      <c r="C298" s="733" t="s">
        <v>1597</v>
      </c>
      <c r="D298" s="733" t="s">
        <v>1598</v>
      </c>
      <c r="E298" s="734">
        <v>6.3</v>
      </c>
      <c r="F298" s="731" t="s">
        <v>1599</v>
      </c>
      <c r="G298" s="731" t="s">
        <v>1600</v>
      </c>
      <c r="H298" s="257" t="s">
        <v>1854</v>
      </c>
      <c r="I298" s="752">
        <v>8865</v>
      </c>
      <c r="J298" s="735" t="s">
        <v>1599</v>
      </c>
      <c r="K298" s="737">
        <v>3570</v>
      </c>
      <c r="L298" s="744">
        <f t="shared" si="25"/>
        <v>19773</v>
      </c>
      <c r="M298" s="739">
        <v>23343</v>
      </c>
      <c r="N298" s="842">
        <v>18255.400000000001</v>
      </c>
      <c r="O298" s="710">
        <f t="shared" si="21"/>
        <v>115.00902000000001</v>
      </c>
      <c r="P298" s="711">
        <f t="shared" si="22"/>
        <v>3.5940318750000002</v>
      </c>
      <c r="Q298" s="712">
        <f t="shared" si="23"/>
        <v>161834.12100000001</v>
      </c>
    </row>
    <row r="299" spans="1:17" ht="15.75" customHeight="1">
      <c r="A299" s="731" t="s">
        <v>2137</v>
      </c>
      <c r="B299" s="732">
        <v>45064</v>
      </c>
      <c r="C299" s="724" t="s">
        <v>1597</v>
      </c>
      <c r="D299" s="724" t="s">
        <v>1598</v>
      </c>
      <c r="E299" s="725">
        <v>6.2</v>
      </c>
      <c r="F299" s="722" t="s">
        <v>1599</v>
      </c>
      <c r="G299" s="722" t="s">
        <v>1600</v>
      </c>
      <c r="H299" s="731" t="s">
        <v>1801</v>
      </c>
      <c r="I299" s="736">
        <v>9292</v>
      </c>
      <c r="J299" s="726" t="s">
        <v>1599</v>
      </c>
      <c r="K299" s="728">
        <v>2180</v>
      </c>
      <c r="L299" s="743">
        <f t="shared" si="25"/>
        <v>14805</v>
      </c>
      <c r="M299" s="730">
        <v>16985</v>
      </c>
      <c r="N299" s="843">
        <v>14226.6</v>
      </c>
      <c r="O299" s="710">
        <f t="shared" si="21"/>
        <v>88.204920000000001</v>
      </c>
      <c r="P299" s="711">
        <f t="shared" si="22"/>
        <v>2.75640375</v>
      </c>
      <c r="Q299" s="712">
        <f t="shared" si="23"/>
        <v>132193.56719999999</v>
      </c>
    </row>
    <row r="300" spans="1:17" ht="15.75" customHeight="1">
      <c r="A300" s="731" t="s">
        <v>2138</v>
      </c>
      <c r="B300" s="732">
        <v>45055</v>
      </c>
      <c r="C300" s="733" t="s">
        <v>1597</v>
      </c>
      <c r="D300" s="733" t="s">
        <v>1598</v>
      </c>
      <c r="E300" s="734">
        <v>6.2</v>
      </c>
      <c r="F300" s="731" t="s">
        <v>1599</v>
      </c>
      <c r="G300" s="731" t="s">
        <v>1600</v>
      </c>
      <c r="H300" s="731" t="s">
        <v>1880</v>
      </c>
      <c r="I300" s="736">
        <v>13558</v>
      </c>
      <c r="J300" s="735" t="s">
        <v>1599</v>
      </c>
      <c r="K300" s="737">
        <v>3830</v>
      </c>
      <c r="L300" s="744">
        <f t="shared" si="25"/>
        <v>17889.099999999999</v>
      </c>
      <c r="M300" s="739">
        <v>21719.1</v>
      </c>
      <c r="N300" s="843">
        <v>14665.2</v>
      </c>
      <c r="O300" s="710">
        <f t="shared" si="21"/>
        <v>90.924240000000012</v>
      </c>
      <c r="P300" s="711">
        <f t="shared" si="22"/>
        <v>2.8413825000000004</v>
      </c>
      <c r="Q300" s="712">
        <f t="shared" si="23"/>
        <v>198830.78160000002</v>
      </c>
    </row>
    <row r="301" spans="1:17" ht="15.75" customHeight="1">
      <c r="A301" s="722" t="s">
        <v>2139</v>
      </c>
      <c r="B301" s="723">
        <v>45056</v>
      </c>
      <c r="C301" s="724" t="s">
        <v>1597</v>
      </c>
      <c r="D301" s="724" t="s">
        <v>1598</v>
      </c>
      <c r="E301" s="725">
        <v>6.2</v>
      </c>
      <c r="F301" s="722" t="s">
        <v>1599</v>
      </c>
      <c r="G301" s="722" t="s">
        <v>1600</v>
      </c>
      <c r="H301" s="722" t="s">
        <v>1880</v>
      </c>
      <c r="I301" s="727">
        <v>13558</v>
      </c>
      <c r="J301" s="726" t="s">
        <v>1599</v>
      </c>
      <c r="K301" s="728">
        <v>3840</v>
      </c>
      <c r="L301" s="743">
        <f t="shared" si="25"/>
        <v>17889.099999999999</v>
      </c>
      <c r="M301" s="730">
        <v>21729.1</v>
      </c>
      <c r="N301" s="842">
        <v>14665.2</v>
      </c>
      <c r="O301" s="710">
        <f t="shared" si="21"/>
        <v>90.924240000000012</v>
      </c>
      <c r="P301" s="711">
        <f t="shared" si="22"/>
        <v>2.8413825000000004</v>
      </c>
      <c r="Q301" s="712">
        <f t="shared" si="23"/>
        <v>198830.78160000002</v>
      </c>
    </row>
    <row r="302" spans="1:17" ht="15.75" customHeight="1">
      <c r="A302" s="731" t="s">
        <v>2140</v>
      </c>
      <c r="B302" s="732">
        <v>45061</v>
      </c>
      <c r="C302" s="733" t="s">
        <v>1597</v>
      </c>
      <c r="D302" s="733" t="s">
        <v>1598</v>
      </c>
      <c r="E302" s="734">
        <v>11.9</v>
      </c>
      <c r="F302" s="731" t="s">
        <v>1599</v>
      </c>
      <c r="G302" s="731" t="s">
        <v>1600</v>
      </c>
      <c r="H302" s="731" t="s">
        <v>1836</v>
      </c>
      <c r="I302" s="736">
        <v>14544</v>
      </c>
      <c r="J302" s="735" t="s">
        <v>1599</v>
      </c>
      <c r="K302" s="737">
        <v>3700</v>
      </c>
      <c r="L302" s="744">
        <f t="shared" si="25"/>
        <v>17889.099999999999</v>
      </c>
      <c r="M302" s="737">
        <v>21589.1</v>
      </c>
      <c r="N302" s="843">
        <v>14665.2</v>
      </c>
      <c r="O302" s="710">
        <f t="shared" si="21"/>
        <v>174.51588000000001</v>
      </c>
      <c r="P302" s="711">
        <f t="shared" si="22"/>
        <v>5.4536212500000003</v>
      </c>
      <c r="Q302" s="712">
        <f t="shared" si="23"/>
        <v>213290.66880000001</v>
      </c>
    </row>
    <row r="303" spans="1:17" ht="15.75" customHeight="1">
      <c r="A303" s="722" t="s">
        <v>2141</v>
      </c>
      <c r="B303" s="723">
        <v>45062</v>
      </c>
      <c r="C303" s="724" t="s">
        <v>1597</v>
      </c>
      <c r="D303" s="724" t="s">
        <v>1598</v>
      </c>
      <c r="E303" s="725">
        <v>6.2</v>
      </c>
      <c r="F303" s="722" t="s">
        <v>1599</v>
      </c>
      <c r="G303" s="722" t="s">
        <v>1600</v>
      </c>
      <c r="H303" s="722" t="s">
        <v>1836</v>
      </c>
      <c r="I303" s="727">
        <v>14544</v>
      </c>
      <c r="J303" s="726" t="s">
        <v>1599</v>
      </c>
      <c r="K303" s="728">
        <v>3860</v>
      </c>
      <c r="L303" s="743">
        <f t="shared" si="25"/>
        <v>14839</v>
      </c>
      <c r="M303" s="728">
        <v>18699</v>
      </c>
      <c r="N303" s="842">
        <v>12511.2</v>
      </c>
      <c r="O303" s="710">
        <f t="shared" si="21"/>
        <v>77.56944</v>
      </c>
      <c r="P303" s="711">
        <f t="shared" si="22"/>
        <v>2.424045</v>
      </c>
      <c r="Q303" s="712">
        <f t="shared" si="23"/>
        <v>181962.8928</v>
      </c>
    </row>
    <row r="304" spans="1:17" ht="15.75" customHeight="1">
      <c r="A304" s="731" t="s">
        <v>2142</v>
      </c>
      <c r="B304" s="732">
        <v>45072</v>
      </c>
      <c r="C304" s="733" t="s">
        <v>1597</v>
      </c>
      <c r="D304" s="733" t="s">
        <v>1598</v>
      </c>
      <c r="E304" s="734">
        <v>6.3</v>
      </c>
      <c r="F304" s="731" t="s">
        <v>1599</v>
      </c>
      <c r="G304" s="731" t="s">
        <v>1600</v>
      </c>
      <c r="H304" s="731" t="s">
        <v>1822</v>
      </c>
      <c r="I304" s="736">
        <v>13787</v>
      </c>
      <c r="J304" s="735" t="s">
        <v>1599</v>
      </c>
      <c r="K304" s="737">
        <v>3700</v>
      </c>
      <c r="L304" s="744">
        <f t="shared" si="25"/>
        <v>9602</v>
      </c>
      <c r="M304" s="742">
        <v>13302</v>
      </c>
      <c r="N304" s="843">
        <v>5376</v>
      </c>
      <c r="O304" s="710">
        <f t="shared" si="21"/>
        <v>33.868799999999993</v>
      </c>
      <c r="P304" s="711">
        <f t="shared" si="22"/>
        <v>1.0583999999999998</v>
      </c>
      <c r="Q304" s="712">
        <f t="shared" si="23"/>
        <v>74118.911999999997</v>
      </c>
    </row>
    <row r="305" spans="1:17" ht="15.75" customHeight="1">
      <c r="A305" s="722" t="s">
        <v>2143</v>
      </c>
      <c r="B305" s="723">
        <v>45057</v>
      </c>
      <c r="C305" s="724" t="s">
        <v>1597</v>
      </c>
      <c r="D305" s="724" t="s">
        <v>1598</v>
      </c>
      <c r="E305" s="725">
        <v>6.3</v>
      </c>
      <c r="F305" s="722" t="s">
        <v>1599</v>
      </c>
      <c r="G305" s="722" t="s">
        <v>1600</v>
      </c>
      <c r="H305" s="722" t="s">
        <v>1850</v>
      </c>
      <c r="I305" s="727">
        <v>9687</v>
      </c>
      <c r="J305" s="726" t="s">
        <v>1599</v>
      </c>
      <c r="K305" s="728">
        <v>3640</v>
      </c>
      <c r="L305" s="743">
        <f t="shared" si="25"/>
        <v>20330.099999999999</v>
      </c>
      <c r="M305" s="730">
        <v>23970.1</v>
      </c>
      <c r="N305" s="842">
        <v>19030.3</v>
      </c>
      <c r="O305" s="710">
        <f t="shared" si="21"/>
        <v>119.89088999999998</v>
      </c>
      <c r="P305" s="711">
        <f t="shared" si="22"/>
        <v>3.7465903124999995</v>
      </c>
      <c r="Q305" s="712">
        <f t="shared" si="23"/>
        <v>184346.51610000001</v>
      </c>
    </row>
    <row r="306" spans="1:17" ht="15.75" customHeight="1">
      <c r="A306" s="731" t="s">
        <v>2144</v>
      </c>
      <c r="B306" s="732">
        <v>45064</v>
      </c>
      <c r="C306" s="733" t="s">
        <v>1597</v>
      </c>
      <c r="D306" s="733" t="s">
        <v>1598</v>
      </c>
      <c r="E306" s="734">
        <v>6.2</v>
      </c>
      <c r="F306" s="731" t="s">
        <v>1599</v>
      </c>
      <c r="G306" s="731" t="s">
        <v>1600</v>
      </c>
      <c r="H306" s="731" t="s">
        <v>1880</v>
      </c>
      <c r="I306" s="736">
        <v>13558</v>
      </c>
      <c r="J306" s="735" t="s">
        <v>1599</v>
      </c>
      <c r="K306" s="737">
        <v>3870</v>
      </c>
      <c r="L306" s="744">
        <f t="shared" si="25"/>
        <v>19071.599999999999</v>
      </c>
      <c r="M306" s="739">
        <v>22941.599999999999</v>
      </c>
      <c r="N306" s="843">
        <v>15602.4</v>
      </c>
      <c r="O306" s="710">
        <f t="shared" si="21"/>
        <v>96.734880000000004</v>
      </c>
      <c r="P306" s="711">
        <f t="shared" si="22"/>
        <v>3.0229650000000001</v>
      </c>
      <c r="Q306" s="712">
        <f t="shared" si="23"/>
        <v>211537.33919999999</v>
      </c>
    </row>
    <row r="307" spans="1:17" ht="15.75" customHeight="1">
      <c r="A307" s="722" t="s">
        <v>2145</v>
      </c>
      <c r="B307" s="723">
        <v>45064</v>
      </c>
      <c r="C307" s="724" t="s">
        <v>1597</v>
      </c>
      <c r="D307" s="724" t="s">
        <v>1598</v>
      </c>
      <c r="E307" s="725">
        <v>6.2</v>
      </c>
      <c r="F307" s="722" t="s">
        <v>1599</v>
      </c>
      <c r="G307" s="722" t="s">
        <v>1600</v>
      </c>
      <c r="H307" s="722" t="s">
        <v>1809</v>
      </c>
      <c r="I307" s="727">
        <v>15168</v>
      </c>
      <c r="J307" s="726" t="s">
        <v>1599</v>
      </c>
      <c r="K307" s="728">
        <v>3830</v>
      </c>
      <c r="L307" s="743">
        <f t="shared" si="25"/>
        <v>20139.36</v>
      </c>
      <c r="M307" s="730">
        <v>23969.360000000001</v>
      </c>
      <c r="N307" s="842">
        <v>17014.080000000002</v>
      </c>
      <c r="O307" s="710">
        <f t="shared" si="21"/>
        <v>105.48729600000001</v>
      </c>
      <c r="P307" s="711">
        <f t="shared" si="22"/>
        <v>3.2964780000000005</v>
      </c>
      <c r="Q307" s="712">
        <f t="shared" si="23"/>
        <v>258069.56544000003</v>
      </c>
    </row>
    <row r="308" spans="1:17" ht="15.75" customHeight="1">
      <c r="A308" s="731" t="s">
        <v>2146</v>
      </c>
      <c r="B308" s="732">
        <v>45064</v>
      </c>
      <c r="C308" s="733" t="s">
        <v>1597</v>
      </c>
      <c r="D308" s="733" t="s">
        <v>1598</v>
      </c>
      <c r="E308" s="734">
        <v>6.2</v>
      </c>
      <c r="F308" s="731" t="s">
        <v>1599</v>
      </c>
      <c r="G308" s="731" t="s">
        <v>1600</v>
      </c>
      <c r="H308" s="731" t="s">
        <v>1809</v>
      </c>
      <c r="I308" s="736">
        <v>15168</v>
      </c>
      <c r="J308" s="735" t="s">
        <v>1599</v>
      </c>
      <c r="K308" s="737">
        <v>3900</v>
      </c>
      <c r="L308" s="744">
        <f t="shared" si="25"/>
        <v>20139.36</v>
      </c>
      <c r="M308" s="739">
        <v>24039.360000000001</v>
      </c>
      <c r="N308" s="843">
        <v>17014.080000000002</v>
      </c>
      <c r="O308" s="710">
        <f t="shared" si="21"/>
        <v>105.48729600000001</v>
      </c>
      <c r="P308" s="711">
        <f t="shared" si="22"/>
        <v>3.2964780000000005</v>
      </c>
      <c r="Q308" s="712">
        <f t="shared" si="23"/>
        <v>258069.56544000003</v>
      </c>
    </row>
    <row r="309" spans="1:17" ht="15.75" customHeight="1">
      <c r="A309" s="722" t="s">
        <v>2147</v>
      </c>
      <c r="B309" s="723">
        <v>45061</v>
      </c>
      <c r="C309" s="724" t="s">
        <v>1597</v>
      </c>
      <c r="D309" s="724" t="s">
        <v>1598</v>
      </c>
      <c r="E309" s="725">
        <v>11.9</v>
      </c>
      <c r="F309" s="722" t="s">
        <v>1599</v>
      </c>
      <c r="G309" s="722" t="s">
        <v>1600</v>
      </c>
      <c r="H309" s="722" t="s">
        <v>1866</v>
      </c>
      <c r="I309" s="727">
        <v>2597</v>
      </c>
      <c r="J309" s="726" t="s">
        <v>1599</v>
      </c>
      <c r="K309" s="728">
        <v>3820</v>
      </c>
      <c r="L309" s="743">
        <f t="shared" si="25"/>
        <v>14090</v>
      </c>
      <c r="M309" s="741">
        <v>17910</v>
      </c>
      <c r="N309" s="842">
        <v>11494</v>
      </c>
      <c r="O309" s="710">
        <f t="shared" si="21"/>
        <v>136.77860000000001</v>
      </c>
      <c r="P309" s="711">
        <f t="shared" si="22"/>
        <v>4.2743312500000004</v>
      </c>
      <c r="Q309" s="712">
        <f t="shared" si="23"/>
        <v>29849.918000000001</v>
      </c>
    </row>
    <row r="310" spans="1:17" ht="15.75" customHeight="1">
      <c r="A310" s="731" t="s">
        <v>2148</v>
      </c>
      <c r="B310" s="732">
        <v>45062</v>
      </c>
      <c r="C310" s="733" t="s">
        <v>1597</v>
      </c>
      <c r="D310" s="733" t="s">
        <v>1598</v>
      </c>
      <c r="E310" s="734">
        <v>6.3</v>
      </c>
      <c r="F310" s="731" t="s">
        <v>1599</v>
      </c>
      <c r="G310" s="731" t="s">
        <v>1600</v>
      </c>
      <c r="H310" s="731" t="s">
        <v>1963</v>
      </c>
      <c r="I310" s="736">
        <v>14253</v>
      </c>
      <c r="J310" s="735" t="s">
        <v>1599</v>
      </c>
      <c r="K310" s="737">
        <v>3830</v>
      </c>
      <c r="L310" s="744">
        <f t="shared" si="25"/>
        <v>11853.05</v>
      </c>
      <c r="M310" s="737">
        <v>15683.05</v>
      </c>
      <c r="N310" s="843">
        <v>8947.14</v>
      </c>
      <c r="O310" s="710">
        <f t="shared" si="21"/>
        <v>56.366981999999993</v>
      </c>
      <c r="P310" s="711">
        <f t="shared" si="22"/>
        <v>1.7614681874999998</v>
      </c>
      <c r="Q310" s="712">
        <f t="shared" si="23"/>
        <v>127523.58641999999</v>
      </c>
    </row>
    <row r="311" spans="1:17" ht="15.75" customHeight="1">
      <c r="A311" s="722" t="s">
        <v>2149</v>
      </c>
      <c r="B311" s="723">
        <v>45070</v>
      </c>
      <c r="C311" s="724" t="s">
        <v>1597</v>
      </c>
      <c r="D311" s="724" t="s">
        <v>1598</v>
      </c>
      <c r="E311" s="725">
        <v>7.1</v>
      </c>
      <c r="F311" s="722" t="s">
        <v>1599</v>
      </c>
      <c r="G311" s="722" t="s">
        <v>1600</v>
      </c>
      <c r="H311" s="722" t="s">
        <v>1828</v>
      </c>
      <c r="I311" s="727">
        <v>7448</v>
      </c>
      <c r="J311" s="726" t="s">
        <v>1599</v>
      </c>
      <c r="K311" s="728">
        <v>3700</v>
      </c>
      <c r="L311" s="743">
        <f t="shared" si="25"/>
        <v>24062</v>
      </c>
      <c r="M311" s="730">
        <v>27762</v>
      </c>
      <c r="N311" s="842">
        <v>19896.5</v>
      </c>
      <c r="O311" s="710">
        <f t="shared" si="21"/>
        <v>141.26515000000001</v>
      </c>
      <c r="P311" s="711">
        <f t="shared" si="22"/>
        <v>4.4145359375000002</v>
      </c>
      <c r="Q311" s="712">
        <f t="shared" si="23"/>
        <v>148189.13200000001</v>
      </c>
    </row>
    <row r="312" spans="1:17" ht="15.75" customHeight="1">
      <c r="A312" s="731" t="s">
        <v>2150</v>
      </c>
      <c r="B312" s="732">
        <v>45070</v>
      </c>
      <c r="C312" s="733" t="s">
        <v>1597</v>
      </c>
      <c r="D312" s="733" t="s">
        <v>1598</v>
      </c>
      <c r="E312" s="734">
        <v>7.1</v>
      </c>
      <c r="F312" s="731" t="s">
        <v>1599</v>
      </c>
      <c r="G312" s="731" t="s">
        <v>1600</v>
      </c>
      <c r="H312" s="731" t="s">
        <v>1828</v>
      </c>
      <c r="I312" s="736">
        <v>7448</v>
      </c>
      <c r="J312" s="735" t="s">
        <v>1599</v>
      </c>
      <c r="K312" s="737">
        <v>3800</v>
      </c>
      <c r="L312" s="744">
        <f t="shared" si="25"/>
        <v>20702</v>
      </c>
      <c r="M312" s="739">
        <v>24502</v>
      </c>
      <c r="N312" s="843">
        <v>16560</v>
      </c>
      <c r="O312" s="710">
        <f t="shared" si="21"/>
        <v>117.57599999999999</v>
      </c>
      <c r="P312" s="711">
        <f t="shared" si="22"/>
        <v>3.6742499999999998</v>
      </c>
      <c r="Q312" s="712">
        <f t="shared" si="23"/>
        <v>123338.88</v>
      </c>
    </row>
    <row r="313" spans="1:17" ht="15.75" customHeight="1">
      <c r="A313" s="722" t="s">
        <v>2151</v>
      </c>
      <c r="B313" s="723">
        <v>45064</v>
      </c>
      <c r="C313" s="724" t="s">
        <v>1597</v>
      </c>
      <c r="D313" s="724" t="s">
        <v>1598</v>
      </c>
      <c r="E313" s="725">
        <v>6.2</v>
      </c>
      <c r="F313" s="722" t="s">
        <v>1599</v>
      </c>
      <c r="G313" s="722" t="s">
        <v>1600</v>
      </c>
      <c r="H313" s="722" t="s">
        <v>1850</v>
      </c>
      <c r="I313" s="727">
        <v>9687</v>
      </c>
      <c r="J313" s="726" t="s">
        <v>1599</v>
      </c>
      <c r="K313" s="728">
        <v>3640</v>
      </c>
      <c r="L313" s="743">
        <f t="shared" si="25"/>
        <v>19787.400000000001</v>
      </c>
      <c r="M313" s="741">
        <v>23427.4</v>
      </c>
      <c r="N313" s="842">
        <v>18829.400000000001</v>
      </c>
      <c r="O313" s="710">
        <f t="shared" si="21"/>
        <v>116.74228000000001</v>
      </c>
      <c r="P313" s="711">
        <f t="shared" si="22"/>
        <v>3.6481962500000003</v>
      </c>
      <c r="Q313" s="712">
        <f t="shared" si="23"/>
        <v>182400.39780000001</v>
      </c>
    </row>
    <row r="314" spans="1:17" ht="15.75" customHeight="1">
      <c r="A314" s="731" t="s">
        <v>2152</v>
      </c>
      <c r="B314" s="732">
        <v>45069</v>
      </c>
      <c r="C314" s="733" t="s">
        <v>1597</v>
      </c>
      <c r="D314" s="733" t="s">
        <v>1598</v>
      </c>
      <c r="E314" s="734">
        <v>11.9</v>
      </c>
      <c r="F314" s="731" t="s">
        <v>1599</v>
      </c>
      <c r="G314" s="731" t="s">
        <v>1600</v>
      </c>
      <c r="H314" s="731" t="s">
        <v>2153</v>
      </c>
      <c r="I314" s="736">
        <v>2686</v>
      </c>
      <c r="J314" s="735" t="s">
        <v>1599</v>
      </c>
      <c r="K314" s="737">
        <v>2180</v>
      </c>
      <c r="L314" s="744">
        <f t="shared" si="25"/>
        <v>5642.5</v>
      </c>
      <c r="M314" s="739">
        <v>7822.5</v>
      </c>
      <c r="N314" s="843">
        <v>4746.5</v>
      </c>
      <c r="O314" s="710">
        <f t="shared" si="21"/>
        <v>56.483350000000002</v>
      </c>
      <c r="P314" s="711">
        <f t="shared" si="22"/>
        <v>1.7651046875</v>
      </c>
      <c r="Q314" s="712">
        <f t="shared" si="23"/>
        <v>12749.099</v>
      </c>
    </row>
    <row r="315" spans="1:17" ht="15.75" customHeight="1">
      <c r="A315" s="722" t="s">
        <v>2154</v>
      </c>
      <c r="B315" s="723">
        <v>45071</v>
      </c>
      <c r="C315" s="724" t="s">
        <v>1597</v>
      </c>
      <c r="D315" s="724" t="s">
        <v>1598</v>
      </c>
      <c r="E315" s="725">
        <v>5.3</v>
      </c>
      <c r="F315" s="722" t="s">
        <v>1599</v>
      </c>
      <c r="G315" s="722" t="s">
        <v>1600</v>
      </c>
      <c r="H315" s="722" t="s">
        <v>1807</v>
      </c>
      <c r="I315" s="727">
        <v>1734</v>
      </c>
      <c r="J315" s="726" t="s">
        <v>1599</v>
      </c>
      <c r="K315" s="728">
        <v>3650</v>
      </c>
      <c r="L315" s="743">
        <f t="shared" si="25"/>
        <v>12478.42</v>
      </c>
      <c r="M315" s="741">
        <v>16128.42</v>
      </c>
      <c r="N315" s="842">
        <v>9520.34</v>
      </c>
      <c r="O315" s="710">
        <f t="shared" si="21"/>
        <v>50.457801999999994</v>
      </c>
      <c r="P315" s="711">
        <f t="shared" si="22"/>
        <v>1.5768063124999998</v>
      </c>
      <c r="Q315" s="712">
        <f t="shared" si="23"/>
        <v>16508.269560000001</v>
      </c>
    </row>
    <row r="316" spans="1:17" ht="15.75" customHeight="1">
      <c r="A316" s="731" t="s">
        <v>2155</v>
      </c>
      <c r="B316" s="732">
        <v>45072</v>
      </c>
      <c r="C316" s="733" t="s">
        <v>1597</v>
      </c>
      <c r="D316" s="733" t="s">
        <v>1598</v>
      </c>
      <c r="E316" s="734">
        <v>6.2</v>
      </c>
      <c r="F316" s="731" t="s">
        <v>1599</v>
      </c>
      <c r="G316" s="731" t="s">
        <v>1600</v>
      </c>
      <c r="H316" s="731" t="s">
        <v>1886</v>
      </c>
      <c r="I316" s="736">
        <v>13877</v>
      </c>
      <c r="J316" s="735" t="s">
        <v>1599</v>
      </c>
      <c r="K316" s="737">
        <v>3840</v>
      </c>
      <c r="L316" s="744">
        <f t="shared" si="25"/>
        <v>19599.5</v>
      </c>
      <c r="M316" s="742">
        <v>23439.5</v>
      </c>
      <c r="N316" s="843">
        <v>15795</v>
      </c>
      <c r="O316" s="710">
        <f t="shared" si="21"/>
        <v>97.929000000000002</v>
      </c>
      <c r="P316" s="711">
        <f t="shared" si="22"/>
        <v>3.0602812500000001</v>
      </c>
      <c r="Q316" s="712">
        <f t="shared" si="23"/>
        <v>219187.215</v>
      </c>
    </row>
    <row r="317" spans="1:17" ht="15.75" customHeight="1">
      <c r="A317" s="722" t="s">
        <v>2156</v>
      </c>
      <c r="B317" s="723">
        <v>45072</v>
      </c>
      <c r="C317" s="724" t="s">
        <v>1597</v>
      </c>
      <c r="D317" s="724" t="s">
        <v>1598</v>
      </c>
      <c r="E317" s="725">
        <v>7.1</v>
      </c>
      <c r="F317" s="722" t="s">
        <v>1599</v>
      </c>
      <c r="G317" s="722" t="s">
        <v>1600</v>
      </c>
      <c r="H317" s="722" t="s">
        <v>1886</v>
      </c>
      <c r="I317" s="727">
        <v>13877</v>
      </c>
      <c r="J317" s="726" t="s">
        <v>1599</v>
      </c>
      <c r="K317" s="728">
        <v>3840</v>
      </c>
      <c r="L317" s="743">
        <f t="shared" si="25"/>
        <v>10189.799999999999</v>
      </c>
      <c r="M317" s="741">
        <v>14029.8</v>
      </c>
      <c r="N317" s="842">
        <v>7660</v>
      </c>
      <c r="O317" s="710">
        <f t="shared" si="21"/>
        <v>54.386000000000003</v>
      </c>
      <c r="P317" s="711">
        <f t="shared" si="22"/>
        <v>1.6995625000000001</v>
      </c>
      <c r="Q317" s="712">
        <f t="shared" si="23"/>
        <v>106297.82</v>
      </c>
    </row>
    <row r="318" spans="1:17" ht="15.75" customHeight="1">
      <c r="A318" s="731" t="s">
        <v>2157</v>
      </c>
      <c r="B318" s="732">
        <v>45069</v>
      </c>
      <c r="C318" s="733" t="s">
        <v>1597</v>
      </c>
      <c r="D318" s="733" t="s">
        <v>1598</v>
      </c>
      <c r="E318" s="734">
        <v>6.2</v>
      </c>
      <c r="F318" s="731" t="s">
        <v>1599</v>
      </c>
      <c r="G318" s="731" t="s">
        <v>1600</v>
      </c>
      <c r="H318" s="731" t="s">
        <v>1880</v>
      </c>
      <c r="I318" s="736">
        <v>13558</v>
      </c>
      <c r="J318" s="735" t="s">
        <v>1599</v>
      </c>
      <c r="K318" s="737">
        <v>3300</v>
      </c>
      <c r="L318" s="744">
        <f t="shared" si="25"/>
        <v>19071.599999999999</v>
      </c>
      <c r="M318" s="739">
        <v>22371.599999999999</v>
      </c>
      <c r="N318" s="843">
        <v>15602.4</v>
      </c>
      <c r="O318" s="710">
        <f t="shared" si="21"/>
        <v>96.734880000000004</v>
      </c>
      <c r="P318" s="711">
        <f t="shared" si="22"/>
        <v>3.0229650000000001</v>
      </c>
      <c r="Q318" s="712">
        <f t="shared" si="23"/>
        <v>211537.33919999999</v>
      </c>
    </row>
    <row r="319" spans="1:17" ht="15.75" customHeight="1">
      <c r="A319" s="722" t="s">
        <v>2158</v>
      </c>
      <c r="B319" s="723">
        <v>45070</v>
      </c>
      <c r="C319" s="724" t="s">
        <v>1597</v>
      </c>
      <c r="D319" s="724" t="s">
        <v>1598</v>
      </c>
      <c r="E319" s="725">
        <v>6.2</v>
      </c>
      <c r="F319" s="722" t="s">
        <v>1599</v>
      </c>
      <c r="G319" s="722" t="s">
        <v>1600</v>
      </c>
      <c r="H319" s="722" t="s">
        <v>1818</v>
      </c>
      <c r="I319" s="727">
        <v>14000</v>
      </c>
      <c r="J319" s="726" t="s">
        <v>1599</v>
      </c>
      <c r="K319" s="728">
        <v>3860</v>
      </c>
      <c r="L319" s="743">
        <f t="shared" si="25"/>
        <v>17889.43</v>
      </c>
      <c r="M319" s="730">
        <v>21749.43</v>
      </c>
      <c r="N319" s="842">
        <v>15414.09</v>
      </c>
      <c r="O319" s="710">
        <f t="shared" si="21"/>
        <v>95.567358000000013</v>
      </c>
      <c r="P319" s="711">
        <f t="shared" si="22"/>
        <v>2.9864799375000004</v>
      </c>
      <c r="Q319" s="712">
        <f t="shared" si="23"/>
        <v>215797.26</v>
      </c>
    </row>
    <row r="320" spans="1:17" ht="15.75" customHeight="1">
      <c r="A320" s="731" t="s">
        <v>2159</v>
      </c>
      <c r="B320" s="732">
        <v>45071</v>
      </c>
      <c r="C320" s="733" t="s">
        <v>1597</v>
      </c>
      <c r="D320" s="733" t="s">
        <v>1598</v>
      </c>
      <c r="E320" s="734">
        <v>6.2</v>
      </c>
      <c r="F320" s="731" t="s">
        <v>1599</v>
      </c>
      <c r="G320" s="731" t="s">
        <v>1600</v>
      </c>
      <c r="H320" s="731" t="s">
        <v>1880</v>
      </c>
      <c r="I320" s="736">
        <v>13558</v>
      </c>
      <c r="J320" s="735" t="s">
        <v>1599</v>
      </c>
      <c r="K320" s="737">
        <v>3850</v>
      </c>
      <c r="L320" s="744">
        <f t="shared" si="25"/>
        <v>19071.599999999999</v>
      </c>
      <c r="M320" s="742">
        <v>22921.599999999999</v>
      </c>
      <c r="N320" s="843">
        <v>15602.4</v>
      </c>
      <c r="O320" s="710">
        <f t="shared" si="21"/>
        <v>96.734880000000004</v>
      </c>
      <c r="P320" s="711">
        <f t="shared" si="22"/>
        <v>3.0229650000000001</v>
      </c>
      <c r="Q320" s="712">
        <f t="shared" si="23"/>
        <v>211537.33919999999</v>
      </c>
    </row>
    <row r="321" spans="1:17" ht="15.75" customHeight="1">
      <c r="A321" s="722" t="s">
        <v>2160</v>
      </c>
      <c r="B321" s="723">
        <v>45071</v>
      </c>
      <c r="C321" s="724" t="s">
        <v>1597</v>
      </c>
      <c r="D321" s="724" t="s">
        <v>1598</v>
      </c>
      <c r="E321" s="725">
        <v>6.2</v>
      </c>
      <c r="F321" s="722" t="s">
        <v>1599</v>
      </c>
      <c r="G321" s="722" t="s">
        <v>1600</v>
      </c>
      <c r="H321" s="722" t="s">
        <v>1880</v>
      </c>
      <c r="I321" s="727">
        <v>13558</v>
      </c>
      <c r="J321" s="726" t="s">
        <v>1599</v>
      </c>
      <c r="K321" s="728">
        <v>3900</v>
      </c>
      <c r="L321" s="743">
        <f t="shared" si="25"/>
        <v>14921.75</v>
      </c>
      <c r="M321" s="741">
        <v>18821.75</v>
      </c>
      <c r="N321" s="842">
        <v>12519.75</v>
      </c>
      <c r="O321" s="710">
        <f t="shared" si="21"/>
        <v>77.622450000000001</v>
      </c>
      <c r="P321" s="711">
        <f t="shared" si="22"/>
        <v>2.4257015625</v>
      </c>
      <c r="Q321" s="712">
        <f t="shared" si="23"/>
        <v>169742.77050000001</v>
      </c>
    </row>
    <row r="322" spans="1:17" ht="15.75" customHeight="1">
      <c r="A322" s="731" t="s">
        <v>2161</v>
      </c>
      <c r="B322" s="732">
        <v>45069</v>
      </c>
      <c r="C322" s="733" t="s">
        <v>1597</v>
      </c>
      <c r="D322" s="733" t="s">
        <v>1598</v>
      </c>
      <c r="E322" s="734">
        <v>6.2</v>
      </c>
      <c r="F322" s="731" t="s">
        <v>1599</v>
      </c>
      <c r="G322" s="731" t="s">
        <v>1600</v>
      </c>
      <c r="H322" s="731" t="s">
        <v>1884</v>
      </c>
      <c r="I322" s="736">
        <v>13413</v>
      </c>
      <c r="J322" s="735" t="s">
        <v>1599</v>
      </c>
      <c r="K322" s="737">
        <v>3890</v>
      </c>
      <c r="L322" s="744">
        <f t="shared" si="25"/>
        <v>14839</v>
      </c>
      <c r="M322" s="739">
        <v>18729</v>
      </c>
      <c r="N322" s="843">
        <v>12511.2</v>
      </c>
      <c r="O322" s="710">
        <f t="shared" si="21"/>
        <v>77.56944</v>
      </c>
      <c r="P322" s="711">
        <f t="shared" si="22"/>
        <v>2.424045</v>
      </c>
      <c r="Q322" s="712">
        <f t="shared" si="23"/>
        <v>167812.72560000003</v>
      </c>
    </row>
    <row r="323" spans="1:17" ht="15.75" customHeight="1">
      <c r="A323" s="722" t="s">
        <v>2162</v>
      </c>
      <c r="B323" s="723">
        <v>45073</v>
      </c>
      <c r="C323" s="724" t="s">
        <v>1597</v>
      </c>
      <c r="D323" s="724" t="s">
        <v>1598</v>
      </c>
      <c r="E323" s="725">
        <v>7.1</v>
      </c>
      <c r="F323" s="722" t="s">
        <v>1599</v>
      </c>
      <c r="G323" s="722" t="s">
        <v>1600</v>
      </c>
      <c r="H323" s="722" t="s">
        <v>1963</v>
      </c>
      <c r="I323" s="727">
        <v>14253</v>
      </c>
      <c r="J323" s="726" t="s">
        <v>1599</v>
      </c>
      <c r="K323" s="728">
        <v>3900</v>
      </c>
      <c r="L323" s="743">
        <f t="shared" si="25"/>
        <v>11143.27</v>
      </c>
      <c r="M323" s="741">
        <v>15043.27</v>
      </c>
      <c r="N323" s="842">
        <v>8297.7999999999993</v>
      </c>
      <c r="O323" s="710">
        <f t="shared" si="21"/>
        <v>58.914379999999987</v>
      </c>
      <c r="P323" s="711">
        <f t="shared" si="22"/>
        <v>1.8410743749999996</v>
      </c>
      <c r="Q323" s="712">
        <f t="shared" si="23"/>
        <v>118268.5434</v>
      </c>
    </row>
    <row r="324" spans="1:17" ht="15.75" customHeight="1">
      <c r="A324" s="731" t="s">
        <v>2163</v>
      </c>
      <c r="B324" s="732">
        <v>45071</v>
      </c>
      <c r="C324" s="733" t="s">
        <v>1597</v>
      </c>
      <c r="D324" s="733" t="s">
        <v>1598</v>
      </c>
      <c r="E324" s="734">
        <v>7.1</v>
      </c>
      <c r="F324" s="731" t="s">
        <v>1599</v>
      </c>
      <c r="G324" s="731" t="s">
        <v>1600</v>
      </c>
      <c r="H324" s="731" t="s">
        <v>1893</v>
      </c>
      <c r="I324" s="736">
        <v>2167</v>
      </c>
      <c r="J324" s="735" t="s">
        <v>1599</v>
      </c>
      <c r="K324" s="737">
        <v>2270</v>
      </c>
      <c r="L324" s="744">
        <f t="shared" si="25"/>
        <v>4419.2</v>
      </c>
      <c r="M324" s="739">
        <v>6689.2</v>
      </c>
      <c r="N324" s="843">
        <v>3305.6</v>
      </c>
      <c r="O324" s="710">
        <f t="shared" si="21"/>
        <v>23.469759999999997</v>
      </c>
      <c r="P324" s="711">
        <f t="shared" si="22"/>
        <v>0.73342999999999992</v>
      </c>
      <c r="Q324" s="712">
        <f t="shared" si="23"/>
        <v>7163.2352000000001</v>
      </c>
    </row>
    <row r="325" spans="1:17" ht="15.75" customHeight="1">
      <c r="A325" s="722" t="s">
        <v>2164</v>
      </c>
      <c r="B325" s="723">
        <v>45076</v>
      </c>
      <c r="C325" s="724" t="s">
        <v>1597</v>
      </c>
      <c r="D325" s="724" t="s">
        <v>1598</v>
      </c>
      <c r="E325" s="725">
        <v>6.2</v>
      </c>
      <c r="F325" s="722" t="s">
        <v>1599</v>
      </c>
      <c r="G325" s="722" t="s">
        <v>1600</v>
      </c>
      <c r="H325" s="722" t="s">
        <v>1841</v>
      </c>
      <c r="I325" s="727">
        <v>9486</v>
      </c>
      <c r="J325" s="726" t="s">
        <v>1599</v>
      </c>
      <c r="K325" s="728">
        <v>3860</v>
      </c>
      <c r="L325" s="743">
        <f t="shared" si="25"/>
        <v>23433.7</v>
      </c>
      <c r="M325" s="741">
        <v>27293.7</v>
      </c>
      <c r="N325" s="842">
        <v>18985.5</v>
      </c>
      <c r="O325" s="710">
        <f t="shared" si="21"/>
        <v>117.71010000000001</v>
      </c>
      <c r="P325" s="711">
        <f t="shared" si="22"/>
        <v>3.6784406250000004</v>
      </c>
      <c r="Q325" s="712">
        <f t="shared" si="23"/>
        <v>180096.45300000001</v>
      </c>
    </row>
    <row r="326" spans="1:17" ht="15.75" customHeight="1">
      <c r="A326" s="731" t="s">
        <v>2165</v>
      </c>
      <c r="B326" s="732">
        <v>45073</v>
      </c>
      <c r="C326" s="733" t="s">
        <v>1597</v>
      </c>
      <c r="D326" s="733" t="s">
        <v>1598</v>
      </c>
      <c r="E326" s="734">
        <v>7.1</v>
      </c>
      <c r="F326" s="731" t="s">
        <v>1599</v>
      </c>
      <c r="G326" s="731" t="s">
        <v>1600</v>
      </c>
      <c r="H326" s="731" t="s">
        <v>1838</v>
      </c>
      <c r="I326" s="736">
        <v>4972</v>
      </c>
      <c r="J326" s="735" t="s">
        <v>1599</v>
      </c>
      <c r="K326" s="737">
        <v>3850</v>
      </c>
      <c r="L326" s="744">
        <f t="shared" si="25"/>
        <v>11425.39</v>
      </c>
      <c r="M326" s="742">
        <v>15275.39</v>
      </c>
      <c r="N326" s="843">
        <v>8611.83</v>
      </c>
      <c r="O326" s="710">
        <f t="shared" ref="O326:O389" si="26">N326*E326/1000</f>
        <v>61.143992999999995</v>
      </c>
      <c r="P326" s="711">
        <f t="shared" ref="P326:P389" si="27">O326/32</f>
        <v>1.9107497812499998</v>
      </c>
      <c r="Q326" s="712">
        <f t="shared" ref="Q326:Q389" si="28">N326*I326/1000</f>
        <v>42818.018759999999</v>
      </c>
    </row>
    <row r="327" spans="1:17" ht="15.75" customHeight="1">
      <c r="A327" s="722" t="s">
        <v>2166</v>
      </c>
      <c r="B327" s="723">
        <v>45070</v>
      </c>
      <c r="C327" s="724" t="s">
        <v>1597</v>
      </c>
      <c r="D327" s="724" t="s">
        <v>1598</v>
      </c>
      <c r="E327" s="725">
        <v>7.1</v>
      </c>
      <c r="F327" s="722" t="s">
        <v>1599</v>
      </c>
      <c r="G327" s="722" t="s">
        <v>1600</v>
      </c>
      <c r="H327" s="722" t="s">
        <v>1941</v>
      </c>
      <c r="I327" s="727">
        <v>1588</v>
      </c>
      <c r="J327" s="726" t="s">
        <v>1599</v>
      </c>
      <c r="K327" s="728">
        <v>2180</v>
      </c>
      <c r="L327" s="743">
        <f t="shared" si="25"/>
        <v>4242.1400000000003</v>
      </c>
      <c r="M327" s="730">
        <v>6422.14</v>
      </c>
      <c r="N327" s="842">
        <v>3092.48</v>
      </c>
      <c r="O327" s="710">
        <f t="shared" si="26"/>
        <v>21.956607999999999</v>
      </c>
      <c r="P327" s="711">
        <f t="shared" si="27"/>
        <v>0.68614399999999998</v>
      </c>
      <c r="Q327" s="712">
        <f t="shared" si="28"/>
        <v>4910.8582400000005</v>
      </c>
    </row>
    <row r="328" spans="1:17" ht="15.75" customHeight="1">
      <c r="A328" s="731" t="s">
        <v>2167</v>
      </c>
      <c r="B328" s="732">
        <v>45075</v>
      </c>
      <c r="C328" s="733" t="s">
        <v>1597</v>
      </c>
      <c r="D328" s="733" t="s">
        <v>1598</v>
      </c>
      <c r="E328" s="734">
        <v>11.9</v>
      </c>
      <c r="F328" s="731" t="s">
        <v>1599</v>
      </c>
      <c r="G328" s="731" t="s">
        <v>1600</v>
      </c>
      <c r="H328" s="731" t="s">
        <v>1836</v>
      </c>
      <c r="I328" s="736">
        <v>14544</v>
      </c>
      <c r="J328" s="735" t="s">
        <v>1599</v>
      </c>
      <c r="K328" s="737">
        <v>3700</v>
      </c>
      <c r="L328" s="744">
        <f t="shared" si="25"/>
        <v>14290.25</v>
      </c>
      <c r="M328" s="742">
        <v>17990.25</v>
      </c>
      <c r="N328" s="843">
        <v>11468.5</v>
      </c>
      <c r="O328" s="710">
        <f t="shared" si="26"/>
        <v>136.47514999999999</v>
      </c>
      <c r="P328" s="711">
        <f t="shared" si="27"/>
        <v>4.2648484374999995</v>
      </c>
      <c r="Q328" s="712">
        <f t="shared" si="28"/>
        <v>166797.864</v>
      </c>
    </row>
    <row r="329" spans="1:17" ht="15.75" customHeight="1">
      <c r="A329" s="722" t="s">
        <v>2168</v>
      </c>
      <c r="B329" s="723">
        <v>45071</v>
      </c>
      <c r="C329" s="724" t="s">
        <v>1597</v>
      </c>
      <c r="D329" s="724" t="s">
        <v>1598</v>
      </c>
      <c r="E329" s="725">
        <v>7.1</v>
      </c>
      <c r="F329" s="722" t="s">
        <v>1599</v>
      </c>
      <c r="G329" s="722" t="s">
        <v>1600</v>
      </c>
      <c r="H329" s="722" t="s">
        <v>1854</v>
      </c>
      <c r="I329" s="727">
        <v>8865</v>
      </c>
      <c r="J329" s="726" t="s">
        <v>1599</v>
      </c>
      <c r="K329" s="728">
        <v>2100</v>
      </c>
      <c r="L329" s="743">
        <f t="shared" si="25"/>
        <v>4317</v>
      </c>
      <c r="M329" s="730">
        <v>6417</v>
      </c>
      <c r="N329" s="842">
        <v>3115.5</v>
      </c>
      <c r="O329" s="710">
        <f t="shared" si="26"/>
        <v>22.120049999999999</v>
      </c>
      <c r="P329" s="711">
        <f t="shared" si="27"/>
        <v>0.69125156249999997</v>
      </c>
      <c r="Q329" s="712">
        <f t="shared" si="28"/>
        <v>27618.907500000001</v>
      </c>
    </row>
    <row r="330" spans="1:17" ht="15.75" customHeight="1">
      <c r="A330" s="731" t="s">
        <v>2169</v>
      </c>
      <c r="B330" s="732">
        <v>45070</v>
      </c>
      <c r="C330" s="733" t="s">
        <v>1597</v>
      </c>
      <c r="D330" s="733" t="s">
        <v>1598</v>
      </c>
      <c r="E330" s="734">
        <v>6</v>
      </c>
      <c r="F330" s="731" t="s">
        <v>1599</v>
      </c>
      <c r="G330" s="731" t="s">
        <v>1600</v>
      </c>
      <c r="H330" s="731" t="s">
        <v>1854</v>
      </c>
      <c r="I330" s="727">
        <v>8865</v>
      </c>
      <c r="J330" s="735" t="s">
        <v>1599</v>
      </c>
      <c r="K330" s="737">
        <v>3620</v>
      </c>
      <c r="L330" s="744">
        <f t="shared" si="25"/>
        <v>26500</v>
      </c>
      <c r="M330" s="739">
        <v>30120</v>
      </c>
      <c r="N330" s="843">
        <v>23240.6</v>
      </c>
      <c r="O330" s="710">
        <f t="shared" si="26"/>
        <v>139.44359999999998</v>
      </c>
      <c r="P330" s="711">
        <f t="shared" si="27"/>
        <v>4.3576124999999992</v>
      </c>
      <c r="Q330" s="712">
        <f t="shared" si="28"/>
        <v>206027.91899999999</v>
      </c>
    </row>
    <row r="331" spans="1:17" ht="15.75" customHeight="1">
      <c r="A331" s="722" t="s">
        <v>2170</v>
      </c>
      <c r="B331" s="723">
        <v>45071</v>
      </c>
      <c r="C331" s="724" t="s">
        <v>1597</v>
      </c>
      <c r="D331" s="724" t="s">
        <v>1598</v>
      </c>
      <c r="E331" s="725">
        <v>4.9000000000000004</v>
      </c>
      <c r="F331" s="722" t="s">
        <v>1599</v>
      </c>
      <c r="G331" s="722" t="s">
        <v>1600</v>
      </c>
      <c r="H331" s="722" t="s">
        <v>1854</v>
      </c>
      <c r="I331" s="727">
        <v>8865</v>
      </c>
      <c r="J331" s="726" t="s">
        <v>1599</v>
      </c>
      <c r="K331" s="728">
        <v>2330</v>
      </c>
      <c r="L331" s="743">
        <f t="shared" si="25"/>
        <v>12176</v>
      </c>
      <c r="M331" s="730">
        <v>14506</v>
      </c>
      <c r="N331" s="842">
        <v>11410.5</v>
      </c>
      <c r="O331" s="710">
        <f t="shared" si="26"/>
        <v>55.911450000000002</v>
      </c>
      <c r="P331" s="711">
        <f t="shared" si="27"/>
        <v>1.7472328125000001</v>
      </c>
      <c r="Q331" s="712">
        <f t="shared" si="28"/>
        <v>101154.0825</v>
      </c>
    </row>
    <row r="332" spans="1:17" ht="15.75" customHeight="1">
      <c r="A332" s="731" t="s">
        <v>2171</v>
      </c>
      <c r="B332" s="732">
        <v>45075</v>
      </c>
      <c r="C332" s="733" t="s">
        <v>1597</v>
      </c>
      <c r="D332" s="733" t="s">
        <v>1598</v>
      </c>
      <c r="E332" s="734">
        <v>7.1</v>
      </c>
      <c r="F332" s="731" t="s">
        <v>1599</v>
      </c>
      <c r="G332" s="731" t="s">
        <v>1600</v>
      </c>
      <c r="H332" s="731" t="s">
        <v>1828</v>
      </c>
      <c r="I332" s="736">
        <v>7448</v>
      </c>
      <c r="J332" s="735" t="s">
        <v>1599</v>
      </c>
      <c r="K332" s="737">
        <v>3640</v>
      </c>
      <c r="L332" s="744">
        <f t="shared" si="25"/>
        <v>24102</v>
      </c>
      <c r="M332" s="742">
        <v>27742</v>
      </c>
      <c r="N332" s="843">
        <v>21253</v>
      </c>
      <c r="O332" s="710">
        <f t="shared" si="26"/>
        <v>150.8963</v>
      </c>
      <c r="P332" s="711">
        <f t="shared" si="27"/>
        <v>4.7155093749999999</v>
      </c>
      <c r="Q332" s="712">
        <f t="shared" si="28"/>
        <v>158292.34400000001</v>
      </c>
    </row>
    <row r="333" spans="1:17" ht="15.75" customHeight="1">
      <c r="A333" s="722" t="s">
        <v>2172</v>
      </c>
      <c r="B333" s="723">
        <v>45167</v>
      </c>
      <c r="C333" s="724" t="s">
        <v>1597</v>
      </c>
      <c r="D333" s="724" t="s">
        <v>1598</v>
      </c>
      <c r="E333" s="725">
        <v>7.1</v>
      </c>
      <c r="F333" s="722" t="s">
        <v>1599</v>
      </c>
      <c r="G333" s="722" t="s">
        <v>1600</v>
      </c>
      <c r="H333" s="722" t="s">
        <v>1828</v>
      </c>
      <c r="I333" s="727">
        <v>7448</v>
      </c>
      <c r="J333" s="726" t="s">
        <v>1599</v>
      </c>
      <c r="K333" s="728">
        <v>3910</v>
      </c>
      <c r="L333" s="743">
        <f t="shared" si="25"/>
        <v>11252</v>
      </c>
      <c r="M333" s="741">
        <v>15162</v>
      </c>
      <c r="N333" s="842">
        <v>6411</v>
      </c>
      <c r="O333" s="710">
        <f t="shared" si="26"/>
        <v>45.518099999999997</v>
      </c>
      <c r="P333" s="711">
        <f t="shared" si="27"/>
        <v>1.4224406249999999</v>
      </c>
      <c r="Q333" s="712">
        <f t="shared" si="28"/>
        <v>47749.127999999997</v>
      </c>
    </row>
    <row r="334" spans="1:17" ht="15.75" customHeight="1">
      <c r="A334" s="731" t="s">
        <v>2173</v>
      </c>
      <c r="B334" s="732">
        <v>45075</v>
      </c>
      <c r="C334" s="733" t="s">
        <v>1597</v>
      </c>
      <c r="D334" s="733" t="s">
        <v>1598</v>
      </c>
      <c r="E334" s="734">
        <v>7.1</v>
      </c>
      <c r="F334" s="731" t="s">
        <v>1599</v>
      </c>
      <c r="G334" s="731" t="s">
        <v>1600</v>
      </c>
      <c r="H334" s="731" t="s">
        <v>1828</v>
      </c>
      <c r="I334" s="736">
        <v>7448</v>
      </c>
      <c r="J334" s="735" t="s">
        <v>1599</v>
      </c>
      <c r="K334" s="737">
        <v>3700</v>
      </c>
      <c r="L334" s="744">
        <f t="shared" si="25"/>
        <v>17921</v>
      </c>
      <c r="M334" s="742">
        <v>21621</v>
      </c>
      <c r="N334" s="843">
        <v>11998.9</v>
      </c>
      <c r="O334" s="710">
        <f t="shared" si="26"/>
        <v>85.192189999999982</v>
      </c>
      <c r="P334" s="711">
        <f t="shared" si="27"/>
        <v>2.6622559374999994</v>
      </c>
      <c r="Q334" s="712">
        <f t="shared" si="28"/>
        <v>89367.80720000001</v>
      </c>
    </row>
    <row r="335" spans="1:17" ht="15.75" customHeight="1">
      <c r="A335" s="722" t="s">
        <v>2174</v>
      </c>
      <c r="B335" s="723">
        <v>45071</v>
      </c>
      <c r="C335" s="724" t="s">
        <v>1597</v>
      </c>
      <c r="D335" s="724" t="s">
        <v>1598</v>
      </c>
      <c r="E335" s="725">
        <v>7.1</v>
      </c>
      <c r="F335" s="722" t="s">
        <v>1599</v>
      </c>
      <c r="G335" s="722" t="s">
        <v>1600</v>
      </c>
      <c r="H335" s="722" t="s">
        <v>1844</v>
      </c>
      <c r="I335" s="727">
        <v>5727</v>
      </c>
      <c r="J335" s="726" t="s">
        <v>1599</v>
      </c>
      <c r="K335" s="728">
        <v>2250</v>
      </c>
      <c r="L335" s="743">
        <f t="shared" si="25"/>
        <v>6775.9699999999993</v>
      </c>
      <c r="M335" s="741">
        <v>9025.9699999999993</v>
      </c>
      <c r="N335" s="842">
        <v>5700.45</v>
      </c>
      <c r="O335" s="710">
        <f t="shared" si="26"/>
        <v>40.473194999999997</v>
      </c>
      <c r="P335" s="711">
        <f t="shared" si="27"/>
        <v>1.2647873437499999</v>
      </c>
      <c r="Q335" s="712">
        <f t="shared" si="28"/>
        <v>32646.477149999999</v>
      </c>
    </row>
    <row r="336" spans="1:17" ht="15.75" customHeight="1">
      <c r="A336" s="731" t="s">
        <v>2175</v>
      </c>
      <c r="B336" s="732">
        <v>45072</v>
      </c>
      <c r="C336" s="733" t="s">
        <v>1597</v>
      </c>
      <c r="D336" s="733" t="s">
        <v>1598</v>
      </c>
      <c r="E336" s="734">
        <v>7.1</v>
      </c>
      <c r="F336" s="731" t="s">
        <v>1599</v>
      </c>
      <c r="G336" s="731" t="s">
        <v>1600</v>
      </c>
      <c r="H336" s="731" t="s">
        <v>1846</v>
      </c>
      <c r="I336" s="736">
        <v>5317</v>
      </c>
      <c r="J336" s="735" t="s">
        <v>1599</v>
      </c>
      <c r="K336" s="737">
        <v>2180</v>
      </c>
      <c r="L336" s="744">
        <f t="shared" si="25"/>
        <v>6026.8600000000006</v>
      </c>
      <c r="M336" s="742">
        <v>8206.86</v>
      </c>
      <c r="N336" s="843">
        <v>4928.8599999999997</v>
      </c>
      <c r="O336" s="710">
        <f t="shared" si="26"/>
        <v>34.994905999999993</v>
      </c>
      <c r="P336" s="711">
        <f t="shared" si="27"/>
        <v>1.0935908124999998</v>
      </c>
      <c r="Q336" s="712">
        <f t="shared" si="28"/>
        <v>26206.748619999998</v>
      </c>
    </row>
    <row r="337" spans="1:17" ht="15.75" customHeight="1">
      <c r="A337" s="722" t="s">
        <v>2176</v>
      </c>
      <c r="B337" s="723">
        <v>45072</v>
      </c>
      <c r="C337" s="724" t="s">
        <v>1597</v>
      </c>
      <c r="D337" s="724" t="s">
        <v>1598</v>
      </c>
      <c r="E337" s="725">
        <v>7.1</v>
      </c>
      <c r="F337" s="722" t="s">
        <v>1599</v>
      </c>
      <c r="G337" s="722" t="s">
        <v>1600</v>
      </c>
      <c r="H337" s="722" t="s">
        <v>1846</v>
      </c>
      <c r="I337" s="727">
        <v>5317</v>
      </c>
      <c r="J337" s="726" t="s">
        <v>1599</v>
      </c>
      <c r="K337" s="728">
        <v>3540</v>
      </c>
      <c r="L337" s="743">
        <f t="shared" si="25"/>
        <v>14601.07</v>
      </c>
      <c r="M337" s="741">
        <v>18141.07</v>
      </c>
      <c r="N337" s="842">
        <v>12256.15</v>
      </c>
      <c r="O337" s="710">
        <f t="shared" si="26"/>
        <v>87.018664999999999</v>
      </c>
      <c r="P337" s="711">
        <f t="shared" si="27"/>
        <v>2.71933328125</v>
      </c>
      <c r="Q337" s="712">
        <f t="shared" si="28"/>
        <v>65165.949549999998</v>
      </c>
    </row>
    <row r="338" spans="1:17" ht="15.75" customHeight="1">
      <c r="A338" s="731" t="s">
        <v>2177</v>
      </c>
      <c r="B338" s="732">
        <v>45073</v>
      </c>
      <c r="C338" s="733" t="s">
        <v>1597</v>
      </c>
      <c r="D338" s="733" t="s">
        <v>1598</v>
      </c>
      <c r="E338" s="734">
        <v>7.1</v>
      </c>
      <c r="F338" s="731" t="s">
        <v>1599</v>
      </c>
      <c r="G338" s="731" t="s">
        <v>1600</v>
      </c>
      <c r="H338" s="731" t="s">
        <v>1912</v>
      </c>
      <c r="I338" s="736">
        <v>4929</v>
      </c>
      <c r="J338" s="735" t="s">
        <v>1599</v>
      </c>
      <c r="K338" s="737">
        <v>3540</v>
      </c>
      <c r="L338" s="744">
        <f t="shared" si="25"/>
        <v>15438.84</v>
      </c>
      <c r="M338" s="742">
        <v>18978.84</v>
      </c>
      <c r="N338" s="843">
        <v>13769.12</v>
      </c>
      <c r="O338" s="710">
        <f t="shared" si="26"/>
        <v>97.760752000000011</v>
      </c>
      <c r="P338" s="711">
        <f t="shared" si="27"/>
        <v>3.0550235000000003</v>
      </c>
      <c r="Q338" s="712">
        <f t="shared" si="28"/>
        <v>67867.992480000001</v>
      </c>
    </row>
    <row r="339" spans="1:17" ht="15.75" customHeight="1">
      <c r="A339" s="722" t="s">
        <v>2178</v>
      </c>
      <c r="B339" s="723">
        <v>45072</v>
      </c>
      <c r="C339" s="724" t="s">
        <v>1597</v>
      </c>
      <c r="D339" s="724" t="s">
        <v>1598</v>
      </c>
      <c r="E339" s="725">
        <v>7.1</v>
      </c>
      <c r="F339" s="722" t="s">
        <v>1599</v>
      </c>
      <c r="G339" s="722" t="s">
        <v>1600</v>
      </c>
      <c r="H339" s="722" t="s">
        <v>1912</v>
      </c>
      <c r="I339" s="727">
        <v>4929</v>
      </c>
      <c r="J339" s="726" t="s">
        <v>1599</v>
      </c>
      <c r="K339" s="728">
        <v>3640</v>
      </c>
      <c r="L339" s="743">
        <f t="shared" si="25"/>
        <v>12626.85</v>
      </c>
      <c r="M339" s="741">
        <v>16266.85</v>
      </c>
      <c r="N339" s="842">
        <v>10335.25</v>
      </c>
      <c r="O339" s="710">
        <f t="shared" si="26"/>
        <v>73.380274999999997</v>
      </c>
      <c r="P339" s="711">
        <f t="shared" si="27"/>
        <v>2.2931335937499999</v>
      </c>
      <c r="Q339" s="712">
        <f t="shared" si="28"/>
        <v>50942.447249999997</v>
      </c>
    </row>
    <row r="340" spans="1:17" ht="15.75" customHeight="1">
      <c r="A340" s="731" t="s">
        <v>2179</v>
      </c>
      <c r="B340" s="732">
        <v>45071</v>
      </c>
      <c r="C340" s="733" t="s">
        <v>1597</v>
      </c>
      <c r="D340" s="733" t="s">
        <v>1598</v>
      </c>
      <c r="E340" s="734">
        <v>6</v>
      </c>
      <c r="F340" s="731" t="s">
        <v>1599</v>
      </c>
      <c r="G340" s="731" t="s">
        <v>1600</v>
      </c>
      <c r="H340" s="731" t="s">
        <v>2003</v>
      </c>
      <c r="I340" s="736">
        <v>9292</v>
      </c>
      <c r="J340" s="735" t="s">
        <v>1599</v>
      </c>
      <c r="K340" s="737">
        <v>3700</v>
      </c>
      <c r="L340" s="744">
        <f t="shared" si="25"/>
        <v>11418</v>
      </c>
      <c r="M340" s="742">
        <v>15118</v>
      </c>
      <c r="N340" s="843">
        <v>7386</v>
      </c>
      <c r="O340" s="710">
        <f t="shared" si="26"/>
        <v>44.316000000000003</v>
      </c>
      <c r="P340" s="711">
        <f t="shared" si="27"/>
        <v>1.3848750000000001</v>
      </c>
      <c r="Q340" s="712">
        <f t="shared" si="28"/>
        <v>68630.712</v>
      </c>
    </row>
    <row r="341" spans="1:17" ht="15.75" customHeight="1">
      <c r="A341" s="722" t="s">
        <v>2180</v>
      </c>
      <c r="B341" s="723">
        <v>45071</v>
      </c>
      <c r="C341" s="724" t="s">
        <v>1597</v>
      </c>
      <c r="D341" s="724" t="s">
        <v>1598</v>
      </c>
      <c r="E341" s="725">
        <v>6</v>
      </c>
      <c r="F341" s="722" t="s">
        <v>1599</v>
      </c>
      <c r="G341" s="722" t="s">
        <v>1600</v>
      </c>
      <c r="H341" s="722" t="s">
        <v>2003</v>
      </c>
      <c r="I341" s="727">
        <v>9292</v>
      </c>
      <c r="J341" s="726" t="s">
        <v>1599</v>
      </c>
      <c r="K341" s="728">
        <v>3700</v>
      </c>
      <c r="L341" s="743">
        <f t="shared" si="25"/>
        <v>11418</v>
      </c>
      <c r="M341" s="741">
        <v>15118</v>
      </c>
      <c r="N341" s="842">
        <v>7386</v>
      </c>
      <c r="O341" s="710">
        <f t="shared" si="26"/>
        <v>44.316000000000003</v>
      </c>
      <c r="P341" s="711">
        <f t="shared" si="27"/>
        <v>1.3848750000000001</v>
      </c>
      <c r="Q341" s="712">
        <f t="shared" si="28"/>
        <v>68630.712</v>
      </c>
    </row>
    <row r="342" spans="1:17" ht="15.75" customHeight="1">
      <c r="A342" s="731" t="s">
        <v>2181</v>
      </c>
      <c r="B342" s="732">
        <v>45076</v>
      </c>
      <c r="C342" s="733" t="s">
        <v>1597</v>
      </c>
      <c r="D342" s="733" t="s">
        <v>1598</v>
      </c>
      <c r="E342" s="734">
        <v>6.2</v>
      </c>
      <c r="F342" s="731" t="s">
        <v>1599</v>
      </c>
      <c r="G342" s="731" t="s">
        <v>1600</v>
      </c>
      <c r="H342" s="731" t="s">
        <v>1815</v>
      </c>
      <c r="I342" s="736">
        <v>17387</v>
      </c>
      <c r="J342" s="735" t="s">
        <v>1599</v>
      </c>
      <c r="K342" s="737">
        <v>3900</v>
      </c>
      <c r="L342" s="744">
        <f t="shared" si="25"/>
        <v>17792.650000000001</v>
      </c>
      <c r="M342" s="742">
        <v>21692.65</v>
      </c>
      <c r="N342" s="843">
        <v>15577.53</v>
      </c>
      <c r="O342" s="710">
        <f t="shared" si="26"/>
        <v>96.580686</v>
      </c>
      <c r="P342" s="711">
        <f t="shared" si="27"/>
        <v>3.0181464375</v>
      </c>
      <c r="Q342" s="712">
        <f t="shared" si="28"/>
        <v>270846.51410999999</v>
      </c>
    </row>
    <row r="343" spans="1:17" ht="15.75" customHeight="1">
      <c r="A343" s="722" t="s">
        <v>2182</v>
      </c>
      <c r="B343" s="723">
        <v>45076</v>
      </c>
      <c r="C343" s="724" t="s">
        <v>1597</v>
      </c>
      <c r="D343" s="724" t="s">
        <v>1598</v>
      </c>
      <c r="E343" s="725">
        <v>6.2</v>
      </c>
      <c r="F343" s="722" t="s">
        <v>1599</v>
      </c>
      <c r="G343" s="722" t="s">
        <v>1600</v>
      </c>
      <c r="H343" s="722" t="s">
        <v>1815</v>
      </c>
      <c r="I343" s="727">
        <v>17387</v>
      </c>
      <c r="J343" s="726" t="s">
        <v>1599</v>
      </c>
      <c r="K343" s="728">
        <v>3870</v>
      </c>
      <c r="L343" s="743">
        <f t="shared" si="25"/>
        <v>18054.47</v>
      </c>
      <c r="M343" s="741">
        <v>21924.47</v>
      </c>
      <c r="N343" s="841">
        <v>15372.93</v>
      </c>
      <c r="O343" s="710">
        <f t="shared" si="26"/>
        <v>95.312165999999991</v>
      </c>
      <c r="P343" s="711">
        <f t="shared" si="27"/>
        <v>2.9785051874999997</v>
      </c>
      <c r="Q343" s="712">
        <f t="shared" si="28"/>
        <v>267289.13390999998</v>
      </c>
    </row>
    <row r="344" spans="1:17" ht="15.75" customHeight="1">
      <c r="A344" s="731" t="s">
        <v>2183</v>
      </c>
      <c r="B344" s="732">
        <v>45077</v>
      </c>
      <c r="C344" s="733" t="s">
        <v>1597</v>
      </c>
      <c r="D344" s="733" t="s">
        <v>1598</v>
      </c>
      <c r="E344" s="734">
        <v>6.2</v>
      </c>
      <c r="F344" s="731" t="s">
        <v>1599</v>
      </c>
      <c r="G344" s="731" t="s">
        <v>1600</v>
      </c>
      <c r="H344" s="731" t="s">
        <v>1866</v>
      </c>
      <c r="I344" s="736">
        <v>2597</v>
      </c>
      <c r="J344" s="735" t="s">
        <v>1599</v>
      </c>
      <c r="K344" s="737">
        <v>2100</v>
      </c>
      <c r="L344" s="744">
        <f t="shared" si="25"/>
        <v>3554.1000000000004</v>
      </c>
      <c r="M344" s="742">
        <v>5654.1</v>
      </c>
      <c r="N344" s="895">
        <v>2424</v>
      </c>
      <c r="O344" s="710">
        <f t="shared" si="26"/>
        <v>15.0288</v>
      </c>
      <c r="P344" s="711">
        <f t="shared" si="27"/>
        <v>0.46965000000000001</v>
      </c>
      <c r="Q344" s="712">
        <f t="shared" si="28"/>
        <v>6295.1279999999997</v>
      </c>
    </row>
    <row r="345" spans="1:17" ht="15.75" customHeight="1">
      <c r="A345" s="722" t="s">
        <v>2184</v>
      </c>
      <c r="B345" s="723">
        <v>45077</v>
      </c>
      <c r="C345" s="724" t="s">
        <v>1597</v>
      </c>
      <c r="D345" s="724" t="s">
        <v>1598</v>
      </c>
      <c r="E345" s="725">
        <v>6.2</v>
      </c>
      <c r="F345" s="722" t="s">
        <v>1599</v>
      </c>
      <c r="G345" s="722" t="s">
        <v>1600</v>
      </c>
      <c r="H345" s="722" t="s">
        <v>1818</v>
      </c>
      <c r="I345" s="727">
        <v>14000</v>
      </c>
      <c r="J345" s="726" t="s">
        <v>1599</v>
      </c>
      <c r="K345" s="728">
        <v>3700</v>
      </c>
      <c r="L345" s="743">
        <f t="shared" si="25"/>
        <v>19535.23</v>
      </c>
      <c r="M345" s="741">
        <v>23235.23</v>
      </c>
      <c r="N345" s="841">
        <v>16760.77</v>
      </c>
      <c r="O345" s="710">
        <f t="shared" si="26"/>
        <v>103.916774</v>
      </c>
      <c r="P345" s="711">
        <f t="shared" si="27"/>
        <v>3.2473991875000001</v>
      </c>
      <c r="Q345" s="712">
        <f t="shared" si="28"/>
        <v>234650.78</v>
      </c>
    </row>
    <row r="346" spans="1:17" ht="15.75" customHeight="1">
      <c r="A346" s="731" t="s">
        <v>2185</v>
      </c>
      <c r="B346" s="732">
        <v>45075</v>
      </c>
      <c r="C346" s="733" t="s">
        <v>1597</v>
      </c>
      <c r="D346" s="733" t="s">
        <v>1598</v>
      </c>
      <c r="E346" s="734">
        <v>11.9</v>
      </c>
      <c r="F346" s="731" t="s">
        <v>1599</v>
      </c>
      <c r="G346" s="731" t="s">
        <v>1600</v>
      </c>
      <c r="H346" s="731" t="s">
        <v>1836</v>
      </c>
      <c r="I346" s="736">
        <v>14544</v>
      </c>
      <c r="J346" s="735" t="s">
        <v>1599</v>
      </c>
      <c r="K346" s="737">
        <v>3900</v>
      </c>
      <c r="L346" s="744">
        <f t="shared" si="25"/>
        <v>13464.5</v>
      </c>
      <c r="M346" s="742">
        <v>17364.5</v>
      </c>
      <c r="N346" s="843">
        <v>11047.5</v>
      </c>
      <c r="O346" s="710">
        <f t="shared" si="26"/>
        <v>131.46525</v>
      </c>
      <c r="P346" s="711">
        <f t="shared" si="27"/>
        <v>4.1082890624999999</v>
      </c>
      <c r="Q346" s="712">
        <f t="shared" si="28"/>
        <v>160674.84</v>
      </c>
    </row>
    <row r="347" spans="1:17" ht="15.75" customHeight="1">
      <c r="A347" s="722" t="s">
        <v>2186</v>
      </c>
      <c r="B347" s="723">
        <v>45077</v>
      </c>
      <c r="C347" s="724" t="s">
        <v>1597</v>
      </c>
      <c r="D347" s="724" t="s">
        <v>1598</v>
      </c>
      <c r="E347" s="725">
        <v>6.2</v>
      </c>
      <c r="F347" s="722" t="s">
        <v>1599</v>
      </c>
      <c r="G347" s="722" t="s">
        <v>1600</v>
      </c>
      <c r="H347" s="722" t="s">
        <v>1880</v>
      </c>
      <c r="I347" s="727">
        <v>13558</v>
      </c>
      <c r="J347" s="726" t="s">
        <v>1599</v>
      </c>
      <c r="K347" s="728">
        <v>3890</v>
      </c>
      <c r="L347" s="743">
        <f t="shared" si="25"/>
        <v>14035.5</v>
      </c>
      <c r="M347" s="741">
        <v>17925.5</v>
      </c>
      <c r="N347" s="841">
        <v>10580.5</v>
      </c>
      <c r="O347" s="710">
        <f t="shared" si="26"/>
        <v>65.599100000000007</v>
      </c>
      <c r="P347" s="711">
        <f t="shared" si="27"/>
        <v>2.0499718750000002</v>
      </c>
      <c r="Q347" s="712">
        <f t="shared" si="28"/>
        <v>143450.41899999999</v>
      </c>
    </row>
    <row r="348" spans="1:17" ht="15.75" customHeight="1">
      <c r="A348" s="731" t="s">
        <v>2187</v>
      </c>
      <c r="B348" s="732">
        <v>45077</v>
      </c>
      <c r="C348" s="733" t="s">
        <v>1597</v>
      </c>
      <c r="D348" s="733" t="s">
        <v>1598</v>
      </c>
      <c r="E348" s="734">
        <v>6.2</v>
      </c>
      <c r="F348" s="731" t="s">
        <v>1599</v>
      </c>
      <c r="G348" s="731" t="s">
        <v>1600</v>
      </c>
      <c r="H348" s="731" t="s">
        <v>1822</v>
      </c>
      <c r="I348" s="736">
        <v>13787</v>
      </c>
      <c r="J348" s="735" t="s">
        <v>1599</v>
      </c>
      <c r="K348" s="737">
        <v>3840</v>
      </c>
      <c r="L348" s="744">
        <f t="shared" si="25"/>
        <v>19071.599999999999</v>
      </c>
      <c r="M348" s="742">
        <v>22911.599999999999</v>
      </c>
      <c r="N348" s="895">
        <v>15602.4</v>
      </c>
      <c r="O348" s="710">
        <f t="shared" si="26"/>
        <v>96.734880000000004</v>
      </c>
      <c r="P348" s="711">
        <f t="shared" si="27"/>
        <v>3.0229650000000001</v>
      </c>
      <c r="Q348" s="712">
        <f t="shared" si="28"/>
        <v>215110.28879999998</v>
      </c>
    </row>
    <row r="349" spans="1:17" ht="15.75" customHeight="1">
      <c r="A349" s="722" t="s">
        <v>2188</v>
      </c>
      <c r="B349" s="723">
        <v>45083</v>
      </c>
      <c r="C349" s="724" t="s">
        <v>1597</v>
      </c>
      <c r="D349" s="724" t="s">
        <v>1598</v>
      </c>
      <c r="E349" s="725">
        <v>7.1</v>
      </c>
      <c r="F349" s="722" t="s">
        <v>1599</v>
      </c>
      <c r="G349" s="722" t="s">
        <v>1600</v>
      </c>
      <c r="H349" s="722" t="s">
        <v>1828</v>
      </c>
      <c r="I349" s="727">
        <v>7448</v>
      </c>
      <c r="J349" s="726" t="s">
        <v>1599</v>
      </c>
      <c r="K349" s="728">
        <v>3800</v>
      </c>
      <c r="L349" s="743">
        <f t="shared" si="25"/>
        <v>19377</v>
      </c>
      <c r="M349" s="741">
        <v>23177</v>
      </c>
      <c r="N349" s="842">
        <v>10732</v>
      </c>
      <c r="O349" s="710">
        <f t="shared" si="26"/>
        <v>76.197199999999995</v>
      </c>
      <c r="P349" s="711">
        <f t="shared" si="27"/>
        <v>2.3811624999999998</v>
      </c>
      <c r="Q349" s="712">
        <f t="shared" si="28"/>
        <v>79931.936000000002</v>
      </c>
    </row>
    <row r="350" spans="1:17" ht="15.75" customHeight="1">
      <c r="A350" s="731" t="s">
        <v>2189</v>
      </c>
      <c r="B350" s="732">
        <v>45083</v>
      </c>
      <c r="C350" s="733" t="s">
        <v>1597</v>
      </c>
      <c r="D350" s="733" t="s">
        <v>1598</v>
      </c>
      <c r="E350" s="734">
        <v>7.1</v>
      </c>
      <c r="F350" s="731" t="s">
        <v>1599</v>
      </c>
      <c r="G350" s="731" t="s">
        <v>1600</v>
      </c>
      <c r="H350" s="731" t="s">
        <v>1831</v>
      </c>
      <c r="I350" s="736">
        <v>7283</v>
      </c>
      <c r="J350" s="735" t="s">
        <v>1599</v>
      </c>
      <c r="K350" s="737">
        <v>3780</v>
      </c>
      <c r="L350" s="744">
        <f t="shared" ref="L350:L353" si="29">M350-K350</f>
        <v>24062</v>
      </c>
      <c r="M350" s="742">
        <v>27842</v>
      </c>
      <c r="N350" s="843">
        <v>20143</v>
      </c>
      <c r="O350" s="710">
        <f t="shared" si="26"/>
        <v>143.0153</v>
      </c>
      <c r="P350" s="711">
        <f t="shared" si="27"/>
        <v>4.4692281249999999</v>
      </c>
      <c r="Q350" s="712">
        <f t="shared" si="28"/>
        <v>146701.46900000001</v>
      </c>
    </row>
    <row r="351" spans="1:17" ht="15.75" customHeight="1">
      <c r="A351" s="722" t="s">
        <v>2190</v>
      </c>
      <c r="B351" s="723">
        <v>45084</v>
      </c>
      <c r="C351" s="724" t="s">
        <v>1597</v>
      </c>
      <c r="D351" s="724" t="s">
        <v>1598</v>
      </c>
      <c r="E351" s="725">
        <v>7.1</v>
      </c>
      <c r="F351" s="722" t="s">
        <v>1599</v>
      </c>
      <c r="G351" s="722" t="s">
        <v>1600</v>
      </c>
      <c r="H351" s="722" t="s">
        <v>1831</v>
      </c>
      <c r="I351" s="727">
        <v>7283</v>
      </c>
      <c r="J351" s="726" t="s">
        <v>1599</v>
      </c>
      <c r="K351" s="728">
        <v>3590</v>
      </c>
      <c r="L351" s="743">
        <f t="shared" si="29"/>
        <v>24127</v>
      </c>
      <c r="M351" s="741">
        <v>27717</v>
      </c>
      <c r="N351" s="842">
        <v>17495</v>
      </c>
      <c r="O351" s="710">
        <f t="shared" si="26"/>
        <v>124.2145</v>
      </c>
      <c r="P351" s="711">
        <f t="shared" si="27"/>
        <v>3.881703125</v>
      </c>
      <c r="Q351" s="712">
        <f t="shared" si="28"/>
        <v>127416.08500000001</v>
      </c>
    </row>
    <row r="352" spans="1:17" ht="15.75" customHeight="1">
      <c r="A352" s="731" t="s">
        <v>2191</v>
      </c>
      <c r="B352" s="732">
        <v>45083</v>
      </c>
      <c r="C352" s="733" t="s">
        <v>1597</v>
      </c>
      <c r="D352" s="733" t="s">
        <v>1598</v>
      </c>
      <c r="E352" s="734">
        <v>7.1</v>
      </c>
      <c r="F352" s="731" t="s">
        <v>1599</v>
      </c>
      <c r="G352" s="731" t="s">
        <v>1600</v>
      </c>
      <c r="H352" s="731" t="s">
        <v>1831</v>
      </c>
      <c r="I352" s="736">
        <v>7283</v>
      </c>
      <c r="J352" s="735" t="s">
        <v>1599</v>
      </c>
      <c r="K352" s="737">
        <v>3640</v>
      </c>
      <c r="L352" s="744">
        <f t="shared" si="29"/>
        <v>24052</v>
      </c>
      <c r="M352" s="742">
        <v>27692</v>
      </c>
      <c r="N352" s="843">
        <v>21079</v>
      </c>
      <c r="O352" s="710">
        <f t="shared" si="26"/>
        <v>149.6609</v>
      </c>
      <c r="P352" s="711">
        <f t="shared" si="27"/>
        <v>4.6769031249999999</v>
      </c>
      <c r="Q352" s="712">
        <f t="shared" si="28"/>
        <v>153518.35699999999</v>
      </c>
    </row>
    <row r="353" spans="1:17" ht="15.75" customHeight="1">
      <c r="A353" s="722" t="s">
        <v>2192</v>
      </c>
      <c r="B353" s="723">
        <v>45079</v>
      </c>
      <c r="C353" s="724" t="s">
        <v>1597</v>
      </c>
      <c r="D353" s="724" t="s">
        <v>1598</v>
      </c>
      <c r="E353" s="725">
        <v>6.5</v>
      </c>
      <c r="F353" s="724" t="s">
        <v>1599</v>
      </c>
      <c r="G353" s="724" t="s">
        <v>1600</v>
      </c>
      <c r="H353" s="722" t="s">
        <v>1822</v>
      </c>
      <c r="I353" s="727">
        <v>13787</v>
      </c>
      <c r="J353" s="753" t="s">
        <v>1599</v>
      </c>
      <c r="K353" s="728">
        <v>4100</v>
      </c>
      <c r="L353" s="743">
        <f t="shared" si="29"/>
        <v>16798.5</v>
      </c>
      <c r="M353" s="741">
        <v>20898.5</v>
      </c>
      <c r="N353" s="842">
        <v>13230</v>
      </c>
      <c r="O353" s="710">
        <f t="shared" si="26"/>
        <v>85.995000000000005</v>
      </c>
      <c r="P353" s="711">
        <f t="shared" si="27"/>
        <v>2.6873437500000001</v>
      </c>
      <c r="Q353" s="712">
        <f t="shared" si="28"/>
        <v>182402.01</v>
      </c>
    </row>
    <row r="354" spans="1:17" ht="15.75" customHeight="1">
      <c r="A354" s="713" t="s">
        <v>2193</v>
      </c>
      <c r="B354" s="732">
        <v>45089</v>
      </c>
      <c r="C354" s="713" t="s">
        <v>1597</v>
      </c>
      <c r="D354" s="713" t="s">
        <v>1598</v>
      </c>
      <c r="E354" s="715">
        <v>7.1</v>
      </c>
      <c r="F354" s="713" t="s">
        <v>1599</v>
      </c>
      <c r="G354" s="713" t="s">
        <v>1600</v>
      </c>
      <c r="H354" s="731" t="s">
        <v>1798</v>
      </c>
      <c r="I354" s="736">
        <v>1931</v>
      </c>
      <c r="J354" s="718" t="s">
        <v>1599</v>
      </c>
      <c r="K354" s="719">
        <v>3132.45</v>
      </c>
      <c r="L354" s="745">
        <v>2333.8000000000002</v>
      </c>
      <c r="M354" s="746">
        <v>4466.25</v>
      </c>
      <c r="N354" s="843">
        <v>3132.45</v>
      </c>
      <c r="O354" s="710">
        <f t="shared" si="26"/>
        <v>22.240394999999996</v>
      </c>
      <c r="P354" s="711">
        <f t="shared" si="27"/>
        <v>0.69501234374999987</v>
      </c>
      <c r="Q354" s="712">
        <f t="shared" si="28"/>
        <v>6048.760949999999</v>
      </c>
    </row>
    <row r="355" spans="1:17" ht="15.75" customHeight="1">
      <c r="A355" s="722" t="s">
        <v>2194</v>
      </c>
      <c r="B355" s="723">
        <v>45086</v>
      </c>
      <c r="C355" s="724" t="s">
        <v>1597</v>
      </c>
      <c r="D355" s="724" t="s">
        <v>1598</v>
      </c>
      <c r="E355" s="725">
        <v>7.1</v>
      </c>
      <c r="F355" s="722" t="s">
        <v>1599</v>
      </c>
      <c r="G355" s="722" t="s">
        <v>1600</v>
      </c>
      <c r="H355" s="722" t="s">
        <v>1912</v>
      </c>
      <c r="I355" s="727">
        <v>4929</v>
      </c>
      <c r="J355" s="726" t="s">
        <v>1599</v>
      </c>
      <c r="K355" s="728">
        <v>2220</v>
      </c>
      <c r="L355" s="743">
        <f t="shared" ref="L355:L396" si="30">M355-K355</f>
        <v>6453.5</v>
      </c>
      <c r="M355" s="741">
        <v>8673.5</v>
      </c>
      <c r="N355" s="842">
        <v>5315.02</v>
      </c>
      <c r="O355" s="710">
        <f t="shared" si="26"/>
        <v>37.736642000000003</v>
      </c>
      <c r="P355" s="711">
        <f t="shared" si="27"/>
        <v>1.1792700625000001</v>
      </c>
      <c r="Q355" s="712">
        <f t="shared" si="28"/>
        <v>26197.733580000004</v>
      </c>
    </row>
    <row r="356" spans="1:17" ht="15.75" customHeight="1">
      <c r="A356" s="731" t="s">
        <v>2195</v>
      </c>
      <c r="B356" s="732">
        <v>45083</v>
      </c>
      <c r="C356" s="733" t="s">
        <v>1597</v>
      </c>
      <c r="D356" s="733" t="s">
        <v>1598</v>
      </c>
      <c r="E356" s="734">
        <v>7.1</v>
      </c>
      <c r="F356" s="731" t="s">
        <v>1599</v>
      </c>
      <c r="G356" s="731" t="s">
        <v>1600</v>
      </c>
      <c r="H356" s="731" t="s">
        <v>1873</v>
      </c>
      <c r="I356" s="736">
        <v>3824</v>
      </c>
      <c r="J356" s="735" t="s">
        <v>1599</v>
      </c>
      <c r="K356" s="737">
        <v>3700</v>
      </c>
      <c r="L356" s="744">
        <f t="shared" si="30"/>
        <v>11053.91</v>
      </c>
      <c r="M356" s="742">
        <v>14753.91</v>
      </c>
      <c r="N356" s="843">
        <v>8259.84</v>
      </c>
      <c r="O356" s="710">
        <f t="shared" si="26"/>
        <v>58.644863999999998</v>
      </c>
      <c r="P356" s="711">
        <f t="shared" si="27"/>
        <v>1.8326519999999999</v>
      </c>
      <c r="Q356" s="712">
        <f t="shared" si="28"/>
        <v>31585.62816</v>
      </c>
    </row>
    <row r="357" spans="1:17" ht="15.75" customHeight="1">
      <c r="A357" s="722" t="s">
        <v>2196</v>
      </c>
      <c r="B357" s="723">
        <v>45079</v>
      </c>
      <c r="C357" s="724" t="s">
        <v>1597</v>
      </c>
      <c r="D357" s="724" t="s">
        <v>1598</v>
      </c>
      <c r="E357" s="725">
        <v>7.1</v>
      </c>
      <c r="F357" s="722" t="s">
        <v>1599</v>
      </c>
      <c r="G357" s="722" t="s">
        <v>1600</v>
      </c>
      <c r="H357" s="722" t="s">
        <v>1850</v>
      </c>
      <c r="I357" s="727">
        <v>9687</v>
      </c>
      <c r="J357" s="726" t="s">
        <v>1599</v>
      </c>
      <c r="K357" s="728">
        <v>3570</v>
      </c>
      <c r="L357" s="743">
        <f t="shared" si="30"/>
        <v>19588.099999999999</v>
      </c>
      <c r="M357" s="741">
        <v>23158.1</v>
      </c>
      <c r="N357" s="842">
        <v>18254.7</v>
      </c>
      <c r="O357" s="710">
        <f t="shared" si="26"/>
        <v>129.60837000000001</v>
      </c>
      <c r="P357" s="711">
        <f t="shared" si="27"/>
        <v>4.0502615625000002</v>
      </c>
      <c r="Q357" s="712">
        <f t="shared" si="28"/>
        <v>176833.2789</v>
      </c>
    </row>
    <row r="358" spans="1:17" ht="15.75" customHeight="1">
      <c r="A358" s="731" t="s">
        <v>2197</v>
      </c>
      <c r="B358" s="732">
        <v>45083</v>
      </c>
      <c r="C358" s="733" t="s">
        <v>1597</v>
      </c>
      <c r="D358" s="733" t="s">
        <v>1598</v>
      </c>
      <c r="E358" s="734">
        <v>11.9</v>
      </c>
      <c r="F358" s="731" t="s">
        <v>1599</v>
      </c>
      <c r="G358" s="731" t="s">
        <v>1600</v>
      </c>
      <c r="H358" s="731" t="s">
        <v>1880</v>
      </c>
      <c r="I358" s="736">
        <v>13558</v>
      </c>
      <c r="J358" s="735" t="s">
        <v>1599</v>
      </c>
      <c r="K358" s="737">
        <v>3800</v>
      </c>
      <c r="L358" s="744">
        <f t="shared" si="30"/>
        <v>9602</v>
      </c>
      <c r="M358" s="742">
        <v>13402</v>
      </c>
      <c r="N358" s="843">
        <v>5376</v>
      </c>
      <c r="O358" s="710">
        <f t="shared" si="26"/>
        <v>63.974400000000003</v>
      </c>
      <c r="P358" s="711">
        <f t="shared" si="27"/>
        <v>1.9992000000000001</v>
      </c>
      <c r="Q358" s="712">
        <f t="shared" si="28"/>
        <v>72887.808000000005</v>
      </c>
    </row>
    <row r="359" spans="1:17" ht="15.75" customHeight="1">
      <c r="A359" s="722" t="s">
        <v>2198</v>
      </c>
      <c r="B359" s="723">
        <v>45083</v>
      </c>
      <c r="C359" s="724" t="s">
        <v>1597</v>
      </c>
      <c r="D359" s="724" t="s">
        <v>1598</v>
      </c>
      <c r="E359" s="725">
        <v>6.2</v>
      </c>
      <c r="F359" s="722" t="s">
        <v>1599</v>
      </c>
      <c r="G359" s="722" t="s">
        <v>1600</v>
      </c>
      <c r="H359" s="722" t="s">
        <v>1836</v>
      </c>
      <c r="I359" s="727">
        <v>14544</v>
      </c>
      <c r="J359" s="726" t="s">
        <v>1599</v>
      </c>
      <c r="K359" s="728">
        <v>3900</v>
      </c>
      <c r="L359" s="743">
        <f t="shared" si="30"/>
        <v>12560</v>
      </c>
      <c r="M359" s="741">
        <v>16460</v>
      </c>
      <c r="N359" s="842">
        <v>9747.4</v>
      </c>
      <c r="O359" s="710">
        <f t="shared" si="26"/>
        <v>60.433879999999995</v>
      </c>
      <c r="P359" s="711">
        <f t="shared" si="27"/>
        <v>1.8885587499999998</v>
      </c>
      <c r="Q359" s="712">
        <f t="shared" si="28"/>
        <v>141766.1856</v>
      </c>
    </row>
    <row r="360" spans="1:17" ht="15.75" customHeight="1">
      <c r="A360" s="731" t="s">
        <v>2199</v>
      </c>
      <c r="B360" s="732">
        <v>45083</v>
      </c>
      <c r="C360" s="733" t="s">
        <v>1597</v>
      </c>
      <c r="D360" s="733" t="s">
        <v>1598</v>
      </c>
      <c r="E360" s="734">
        <v>6.2</v>
      </c>
      <c r="F360" s="731" t="s">
        <v>1599</v>
      </c>
      <c r="G360" s="731" t="s">
        <v>1600</v>
      </c>
      <c r="H360" s="731" t="s">
        <v>1884</v>
      </c>
      <c r="I360" s="736">
        <v>13413</v>
      </c>
      <c r="J360" s="735" t="s">
        <v>1599</v>
      </c>
      <c r="K360" s="737">
        <v>3700</v>
      </c>
      <c r="L360" s="744">
        <f t="shared" si="30"/>
        <v>16609</v>
      </c>
      <c r="M360" s="742">
        <v>20309</v>
      </c>
      <c r="N360" s="843">
        <v>13542</v>
      </c>
      <c r="O360" s="710">
        <f t="shared" si="26"/>
        <v>83.960400000000007</v>
      </c>
      <c r="P360" s="711">
        <f t="shared" si="27"/>
        <v>2.6237625000000002</v>
      </c>
      <c r="Q360" s="712">
        <f t="shared" si="28"/>
        <v>181638.84599999999</v>
      </c>
    </row>
    <row r="361" spans="1:17" ht="15.75" customHeight="1">
      <c r="A361" s="722" t="s">
        <v>2200</v>
      </c>
      <c r="B361" s="723">
        <v>45083</v>
      </c>
      <c r="C361" s="724" t="s">
        <v>1597</v>
      </c>
      <c r="D361" s="724" t="s">
        <v>1598</v>
      </c>
      <c r="E361" s="725">
        <v>6.5</v>
      </c>
      <c r="F361" s="722" t="s">
        <v>1599</v>
      </c>
      <c r="G361" s="722" t="s">
        <v>1600</v>
      </c>
      <c r="H361" s="722" t="s">
        <v>1809</v>
      </c>
      <c r="I361" s="727">
        <v>15168</v>
      </c>
      <c r="J361" s="726" t="s">
        <v>1599</v>
      </c>
      <c r="K361" s="728">
        <v>3770</v>
      </c>
      <c r="L361" s="743">
        <f t="shared" si="30"/>
        <v>20530.080000000002</v>
      </c>
      <c r="M361" s="741">
        <v>24300.080000000002</v>
      </c>
      <c r="N361" s="842">
        <v>17404.8</v>
      </c>
      <c r="O361" s="710">
        <f t="shared" si="26"/>
        <v>113.13119999999999</v>
      </c>
      <c r="P361" s="711">
        <f t="shared" si="27"/>
        <v>3.5353499999999998</v>
      </c>
      <c r="Q361" s="712">
        <f t="shared" si="28"/>
        <v>263996.00639999995</v>
      </c>
    </row>
    <row r="362" spans="1:17" ht="15.75" customHeight="1">
      <c r="A362" s="731" t="s">
        <v>2201</v>
      </c>
      <c r="B362" s="732">
        <v>45084</v>
      </c>
      <c r="C362" s="733" t="s">
        <v>1597</v>
      </c>
      <c r="D362" s="733" t="s">
        <v>1598</v>
      </c>
      <c r="E362" s="734">
        <v>6</v>
      </c>
      <c r="F362" s="731" t="s">
        <v>1599</v>
      </c>
      <c r="G362" s="731" t="s">
        <v>1600</v>
      </c>
      <c r="H362" s="731" t="s">
        <v>1822</v>
      </c>
      <c r="I362" s="736">
        <v>13787</v>
      </c>
      <c r="J362" s="735" t="s">
        <v>1599</v>
      </c>
      <c r="K362" s="737">
        <v>3750</v>
      </c>
      <c r="L362" s="744">
        <f t="shared" si="30"/>
        <v>17889</v>
      </c>
      <c r="M362" s="742">
        <v>21639</v>
      </c>
      <c r="N362" s="843">
        <v>14665.2</v>
      </c>
      <c r="O362" s="710">
        <f t="shared" si="26"/>
        <v>87.991200000000006</v>
      </c>
      <c r="P362" s="711">
        <f t="shared" si="27"/>
        <v>2.7497250000000002</v>
      </c>
      <c r="Q362" s="712">
        <f t="shared" si="28"/>
        <v>202189.11240000001</v>
      </c>
    </row>
    <row r="363" spans="1:17" ht="15.75" customHeight="1">
      <c r="A363" s="722" t="s">
        <v>2202</v>
      </c>
      <c r="B363" s="723">
        <v>45082</v>
      </c>
      <c r="C363" s="724" t="s">
        <v>1597</v>
      </c>
      <c r="D363" s="724" t="s">
        <v>1598</v>
      </c>
      <c r="E363" s="725">
        <v>6</v>
      </c>
      <c r="F363" s="722" t="s">
        <v>1599</v>
      </c>
      <c r="G363" s="722" t="s">
        <v>1600</v>
      </c>
      <c r="H363" s="722" t="s">
        <v>1798</v>
      </c>
      <c r="I363" s="727">
        <v>1931</v>
      </c>
      <c r="J363" s="726" t="s">
        <v>1599</v>
      </c>
      <c r="K363" s="728">
        <v>5422.5</v>
      </c>
      <c r="L363" s="743">
        <f t="shared" si="30"/>
        <v>975</v>
      </c>
      <c r="M363" s="741">
        <v>6397.5</v>
      </c>
      <c r="N363" s="842">
        <v>5422.5</v>
      </c>
      <c r="O363" s="710">
        <f t="shared" si="26"/>
        <v>32.534999999999997</v>
      </c>
      <c r="P363" s="711">
        <f t="shared" si="27"/>
        <v>1.0167187499999999</v>
      </c>
      <c r="Q363" s="712">
        <f t="shared" si="28"/>
        <v>10470.8475</v>
      </c>
    </row>
    <row r="364" spans="1:17" ht="15.75" customHeight="1">
      <c r="A364" s="731" t="s">
        <v>2203</v>
      </c>
      <c r="B364" s="732">
        <v>45085</v>
      </c>
      <c r="C364" s="733" t="s">
        <v>1597</v>
      </c>
      <c r="D364" s="733" t="s">
        <v>1598</v>
      </c>
      <c r="E364" s="734">
        <v>5.3</v>
      </c>
      <c r="F364" s="731" t="s">
        <v>1599</v>
      </c>
      <c r="G364" s="731" t="s">
        <v>1600</v>
      </c>
      <c r="H364" s="731" t="s">
        <v>1807</v>
      </c>
      <c r="I364" s="736">
        <v>1734</v>
      </c>
      <c r="J364" s="735" t="s">
        <v>1599</v>
      </c>
      <c r="K364" s="737">
        <v>3590</v>
      </c>
      <c r="L364" s="744">
        <f t="shared" si="30"/>
        <v>11661.58</v>
      </c>
      <c r="M364" s="742">
        <v>15251.58</v>
      </c>
      <c r="N364" s="843">
        <v>8848.7199999999993</v>
      </c>
      <c r="O364" s="710">
        <f t="shared" si="26"/>
        <v>46.898215999999991</v>
      </c>
      <c r="P364" s="711">
        <f t="shared" si="27"/>
        <v>1.4655692499999997</v>
      </c>
      <c r="Q364" s="712">
        <f t="shared" si="28"/>
        <v>15343.680479999999</v>
      </c>
    </row>
    <row r="365" spans="1:17" ht="15.75" customHeight="1">
      <c r="A365" s="722" t="s">
        <v>2204</v>
      </c>
      <c r="B365" s="723">
        <v>45085</v>
      </c>
      <c r="C365" s="724" t="s">
        <v>1597</v>
      </c>
      <c r="D365" s="724" t="s">
        <v>1598</v>
      </c>
      <c r="E365" s="725">
        <v>5.3</v>
      </c>
      <c r="F365" s="722" t="s">
        <v>1599</v>
      </c>
      <c r="G365" s="722" t="s">
        <v>1600</v>
      </c>
      <c r="H365" s="722" t="s">
        <v>1807</v>
      </c>
      <c r="I365" s="727">
        <v>1734</v>
      </c>
      <c r="J365" s="726" t="s">
        <v>1599</v>
      </c>
      <c r="K365" s="728">
        <v>3650</v>
      </c>
      <c r="L365" s="743">
        <f t="shared" si="30"/>
        <v>11308.2</v>
      </c>
      <c r="M365" s="741">
        <v>14958.2</v>
      </c>
      <c r="N365" s="842">
        <v>11306.2</v>
      </c>
      <c r="O365" s="710">
        <f t="shared" si="26"/>
        <v>59.92286</v>
      </c>
      <c r="P365" s="711">
        <f t="shared" si="27"/>
        <v>1.872589375</v>
      </c>
      <c r="Q365" s="712">
        <f t="shared" si="28"/>
        <v>19604.950800000002</v>
      </c>
    </row>
    <row r="366" spans="1:17" ht="15.75" customHeight="1">
      <c r="A366" s="731" t="s">
        <v>2205</v>
      </c>
      <c r="B366" s="732">
        <v>45091</v>
      </c>
      <c r="C366" s="733" t="s">
        <v>1597</v>
      </c>
      <c r="D366" s="733" t="s">
        <v>1598</v>
      </c>
      <c r="E366" s="734">
        <v>7.1</v>
      </c>
      <c r="F366" s="731" t="s">
        <v>1599</v>
      </c>
      <c r="G366" s="731" t="s">
        <v>1600</v>
      </c>
      <c r="H366" s="731" t="s">
        <v>1828</v>
      </c>
      <c r="I366" s="736">
        <v>7448</v>
      </c>
      <c r="J366" s="735" t="s">
        <v>1599</v>
      </c>
      <c r="K366" s="737">
        <v>3570</v>
      </c>
      <c r="L366" s="744">
        <f t="shared" si="30"/>
        <v>24158</v>
      </c>
      <c r="M366" s="742">
        <v>27728</v>
      </c>
      <c r="N366" s="843">
        <v>23716.799999999999</v>
      </c>
      <c r="O366" s="710">
        <f t="shared" si="26"/>
        <v>168.38927999999999</v>
      </c>
      <c r="P366" s="711">
        <f t="shared" si="27"/>
        <v>5.2621649999999995</v>
      </c>
      <c r="Q366" s="712">
        <f t="shared" si="28"/>
        <v>176642.72640000001</v>
      </c>
    </row>
    <row r="367" spans="1:17" ht="15.75" customHeight="1">
      <c r="A367" s="722" t="s">
        <v>2206</v>
      </c>
      <c r="B367" s="723">
        <v>45089</v>
      </c>
      <c r="C367" s="724" t="s">
        <v>1597</v>
      </c>
      <c r="D367" s="724" t="s">
        <v>1598</v>
      </c>
      <c r="E367" s="725">
        <v>7.1</v>
      </c>
      <c r="F367" s="722" t="s">
        <v>1599</v>
      </c>
      <c r="G367" s="722" t="s">
        <v>1600</v>
      </c>
      <c r="H367" s="722" t="s">
        <v>1828</v>
      </c>
      <c r="I367" s="727">
        <v>7448</v>
      </c>
      <c r="J367" s="726" t="s">
        <v>1599</v>
      </c>
      <c r="K367" s="728">
        <v>3800</v>
      </c>
      <c r="L367" s="743">
        <f t="shared" si="30"/>
        <v>23867.5</v>
      </c>
      <c r="M367" s="741">
        <v>27667.5</v>
      </c>
      <c r="N367" s="842">
        <v>19660.88</v>
      </c>
      <c r="O367" s="710">
        <f t="shared" si="26"/>
        <v>139.59224799999998</v>
      </c>
      <c r="P367" s="711">
        <f t="shared" si="27"/>
        <v>4.3622577499999995</v>
      </c>
      <c r="Q367" s="712">
        <f t="shared" si="28"/>
        <v>146434.23424000002</v>
      </c>
    </row>
    <row r="368" spans="1:17" ht="15.75" customHeight="1">
      <c r="A368" s="731" t="s">
        <v>2207</v>
      </c>
      <c r="B368" s="732">
        <v>45097</v>
      </c>
      <c r="C368" s="733" t="s">
        <v>1597</v>
      </c>
      <c r="D368" s="733" t="s">
        <v>1598</v>
      </c>
      <c r="E368" s="734">
        <v>7.1</v>
      </c>
      <c r="F368" s="731" t="s">
        <v>1599</v>
      </c>
      <c r="G368" s="731" t="s">
        <v>1600</v>
      </c>
      <c r="H368" s="731" t="s">
        <v>1841</v>
      </c>
      <c r="I368" s="736">
        <v>9486</v>
      </c>
      <c r="J368" s="735" t="s">
        <v>1599</v>
      </c>
      <c r="K368" s="737">
        <v>2185</v>
      </c>
      <c r="L368" s="744">
        <f t="shared" si="30"/>
        <v>15427</v>
      </c>
      <c r="M368" s="742">
        <v>17612</v>
      </c>
      <c r="N368" s="843">
        <v>13958</v>
      </c>
      <c r="O368" s="710">
        <f t="shared" si="26"/>
        <v>99.101799999999983</v>
      </c>
      <c r="P368" s="711">
        <f t="shared" si="27"/>
        <v>3.0969312499999995</v>
      </c>
      <c r="Q368" s="712">
        <f t="shared" si="28"/>
        <v>132405.58799999999</v>
      </c>
    </row>
    <row r="369" spans="1:17" ht="15.75" customHeight="1">
      <c r="A369" s="722" t="s">
        <v>2208</v>
      </c>
      <c r="B369" s="723">
        <v>45097</v>
      </c>
      <c r="C369" s="724" t="s">
        <v>1597</v>
      </c>
      <c r="D369" s="724" t="s">
        <v>1598</v>
      </c>
      <c r="E369" s="725">
        <v>7.1</v>
      </c>
      <c r="F369" s="722" t="s">
        <v>1599</v>
      </c>
      <c r="G369" s="722" t="s">
        <v>1600</v>
      </c>
      <c r="H369" s="722" t="s">
        <v>1841</v>
      </c>
      <c r="I369" s="727">
        <v>9486</v>
      </c>
      <c r="J369" s="726" t="s">
        <v>1599</v>
      </c>
      <c r="K369" s="728">
        <v>2280</v>
      </c>
      <c r="L369" s="743">
        <f t="shared" si="30"/>
        <v>9344.5</v>
      </c>
      <c r="M369" s="741">
        <v>11624.5</v>
      </c>
      <c r="N369" s="842">
        <v>7272.12</v>
      </c>
      <c r="O369" s="710">
        <f t="shared" si="26"/>
        <v>51.632051999999995</v>
      </c>
      <c r="P369" s="711">
        <f t="shared" si="27"/>
        <v>1.6135016249999998</v>
      </c>
      <c r="Q369" s="712">
        <f t="shared" si="28"/>
        <v>68983.330319999994</v>
      </c>
    </row>
    <row r="370" spans="1:17" ht="15.75" customHeight="1">
      <c r="A370" s="731" t="s">
        <v>2209</v>
      </c>
      <c r="B370" s="732">
        <v>45097</v>
      </c>
      <c r="C370" s="733" t="s">
        <v>1597</v>
      </c>
      <c r="D370" s="733" t="s">
        <v>1598</v>
      </c>
      <c r="E370" s="734">
        <v>7.1</v>
      </c>
      <c r="F370" s="731" t="s">
        <v>1599</v>
      </c>
      <c r="G370" s="731" t="s">
        <v>1600</v>
      </c>
      <c r="H370" s="731" t="s">
        <v>1841</v>
      </c>
      <c r="I370" s="736">
        <v>9486</v>
      </c>
      <c r="J370" s="735" t="s">
        <v>1599</v>
      </c>
      <c r="K370" s="737">
        <v>3700</v>
      </c>
      <c r="L370" s="744">
        <f t="shared" si="30"/>
        <v>19022.7</v>
      </c>
      <c r="M370" s="742">
        <v>22722.7</v>
      </c>
      <c r="N370" s="843">
        <v>15828.2</v>
      </c>
      <c r="O370" s="710">
        <f t="shared" si="26"/>
        <v>112.38021999999999</v>
      </c>
      <c r="P370" s="711">
        <f t="shared" si="27"/>
        <v>3.5118818749999998</v>
      </c>
      <c r="Q370" s="712">
        <f t="shared" si="28"/>
        <v>150146.30520000003</v>
      </c>
    </row>
    <row r="371" spans="1:17" ht="15.75" customHeight="1">
      <c r="A371" s="722" t="s">
        <v>2210</v>
      </c>
      <c r="B371" s="723">
        <v>45097</v>
      </c>
      <c r="C371" s="724" t="s">
        <v>1597</v>
      </c>
      <c r="D371" s="724" t="s">
        <v>1598</v>
      </c>
      <c r="E371" s="725">
        <v>7.1</v>
      </c>
      <c r="F371" s="722" t="s">
        <v>1599</v>
      </c>
      <c r="G371" s="722" t="s">
        <v>1600</v>
      </c>
      <c r="H371" s="722" t="s">
        <v>1841</v>
      </c>
      <c r="I371" s="727">
        <v>9486</v>
      </c>
      <c r="J371" s="726" t="s">
        <v>1599</v>
      </c>
      <c r="K371" s="728">
        <v>3670</v>
      </c>
      <c r="L371" s="743">
        <f t="shared" si="30"/>
        <v>16700.099999999999</v>
      </c>
      <c r="M371" s="741">
        <v>20370.099999999999</v>
      </c>
      <c r="N371" s="842">
        <v>11115.6</v>
      </c>
      <c r="O371" s="710">
        <f t="shared" si="26"/>
        <v>78.920760000000001</v>
      </c>
      <c r="P371" s="711">
        <f t="shared" si="27"/>
        <v>2.46627375</v>
      </c>
      <c r="Q371" s="712">
        <f t="shared" si="28"/>
        <v>105442.5816</v>
      </c>
    </row>
    <row r="372" spans="1:17" ht="15.75" customHeight="1">
      <c r="A372" s="731" t="s">
        <v>2211</v>
      </c>
      <c r="B372" s="732">
        <v>45099</v>
      </c>
      <c r="C372" s="733" t="s">
        <v>1597</v>
      </c>
      <c r="D372" s="733" t="s">
        <v>1598</v>
      </c>
      <c r="E372" s="734">
        <v>11.9</v>
      </c>
      <c r="F372" s="731" t="s">
        <v>1599</v>
      </c>
      <c r="G372" s="731" t="s">
        <v>1600</v>
      </c>
      <c r="H372" s="731" t="s">
        <v>1807</v>
      </c>
      <c r="I372" s="736">
        <v>1734</v>
      </c>
      <c r="J372" s="735" t="s">
        <v>1599</v>
      </c>
      <c r="K372" s="737">
        <v>3650</v>
      </c>
      <c r="L372" s="744">
        <f t="shared" si="30"/>
        <v>10597.9</v>
      </c>
      <c r="M372" s="739">
        <v>14247.9</v>
      </c>
      <c r="N372" s="843">
        <v>7853.1</v>
      </c>
      <c r="O372" s="710">
        <f t="shared" si="26"/>
        <v>93.45189000000002</v>
      </c>
      <c r="P372" s="711">
        <f t="shared" si="27"/>
        <v>2.9203715625000006</v>
      </c>
      <c r="Q372" s="712">
        <f t="shared" si="28"/>
        <v>13617.2754</v>
      </c>
    </row>
    <row r="373" spans="1:17" ht="15.75" customHeight="1">
      <c r="A373" s="722" t="s">
        <v>2212</v>
      </c>
      <c r="B373" s="723">
        <v>45085</v>
      </c>
      <c r="C373" s="724" t="s">
        <v>1597</v>
      </c>
      <c r="D373" s="724" t="s">
        <v>1598</v>
      </c>
      <c r="E373" s="725">
        <v>7.1</v>
      </c>
      <c r="F373" s="722" t="s">
        <v>1599</v>
      </c>
      <c r="G373" s="722" t="s">
        <v>1600</v>
      </c>
      <c r="H373" s="722" t="s">
        <v>1893</v>
      </c>
      <c r="I373" s="727">
        <v>2167</v>
      </c>
      <c r="J373" s="726" t="s">
        <v>1599</v>
      </c>
      <c r="K373" s="728">
        <v>2180</v>
      </c>
      <c r="L373" s="743">
        <f t="shared" si="30"/>
        <v>4747.6000000000004</v>
      </c>
      <c r="M373" s="741">
        <v>6927.6</v>
      </c>
      <c r="N373" s="842">
        <v>3567.6</v>
      </c>
      <c r="O373" s="710">
        <f t="shared" si="26"/>
        <v>25.32996</v>
      </c>
      <c r="P373" s="711">
        <f t="shared" si="27"/>
        <v>0.79156124999999999</v>
      </c>
      <c r="Q373" s="712">
        <f t="shared" si="28"/>
        <v>7730.9892</v>
      </c>
    </row>
    <row r="374" spans="1:17" ht="15.75" customHeight="1">
      <c r="A374" s="731" t="s">
        <v>2213</v>
      </c>
      <c r="B374" s="732">
        <v>45089</v>
      </c>
      <c r="C374" s="733" t="s">
        <v>1597</v>
      </c>
      <c r="D374" s="733" t="s">
        <v>1598</v>
      </c>
      <c r="E374" s="734">
        <v>6</v>
      </c>
      <c r="F374" s="731" t="s">
        <v>1599</v>
      </c>
      <c r="G374" s="731" t="s">
        <v>1600</v>
      </c>
      <c r="H374" s="731" t="s">
        <v>2214</v>
      </c>
      <c r="I374" s="736">
        <v>6975</v>
      </c>
      <c r="J374" s="735" t="s">
        <v>1599</v>
      </c>
      <c r="K374" s="737">
        <v>2200</v>
      </c>
      <c r="L374" s="744">
        <f t="shared" si="30"/>
        <v>3463.3100000000004</v>
      </c>
      <c r="M374" s="742">
        <v>5663.31</v>
      </c>
      <c r="N374" s="843">
        <v>2347.59</v>
      </c>
      <c r="O374" s="710">
        <f t="shared" si="26"/>
        <v>14.085540000000002</v>
      </c>
      <c r="P374" s="711">
        <f t="shared" si="27"/>
        <v>0.44017312500000005</v>
      </c>
      <c r="Q374" s="712">
        <f t="shared" si="28"/>
        <v>16374.440250000001</v>
      </c>
    </row>
    <row r="375" spans="1:17" ht="15.75" customHeight="1">
      <c r="A375" s="722" t="s">
        <v>2215</v>
      </c>
      <c r="B375" s="723">
        <v>45085</v>
      </c>
      <c r="C375" s="724" t="s">
        <v>1597</v>
      </c>
      <c r="D375" s="724" t="s">
        <v>1598</v>
      </c>
      <c r="E375" s="725">
        <v>5.3</v>
      </c>
      <c r="F375" s="722" t="s">
        <v>1599</v>
      </c>
      <c r="G375" s="722" t="s">
        <v>1600</v>
      </c>
      <c r="H375" s="722" t="s">
        <v>1866</v>
      </c>
      <c r="I375" s="727">
        <v>2597</v>
      </c>
      <c r="J375" s="726" t="s">
        <v>1599</v>
      </c>
      <c r="K375" s="728">
        <v>2140</v>
      </c>
      <c r="L375" s="743">
        <f t="shared" si="30"/>
        <v>5092</v>
      </c>
      <c r="M375" s="741">
        <v>7232</v>
      </c>
      <c r="N375" s="842">
        <v>3895.5</v>
      </c>
      <c r="O375" s="710">
        <f t="shared" si="26"/>
        <v>20.646149999999999</v>
      </c>
      <c r="P375" s="711">
        <f t="shared" si="27"/>
        <v>0.64519218749999996</v>
      </c>
      <c r="Q375" s="712">
        <f t="shared" si="28"/>
        <v>10116.613499999999</v>
      </c>
    </row>
    <row r="376" spans="1:17" ht="15.75" customHeight="1">
      <c r="A376" s="731" t="s">
        <v>2216</v>
      </c>
      <c r="B376" s="732">
        <v>45089</v>
      </c>
      <c r="C376" s="733" t="s">
        <v>1597</v>
      </c>
      <c r="D376" s="733" t="s">
        <v>1598</v>
      </c>
      <c r="E376" s="734">
        <v>7.1</v>
      </c>
      <c r="F376" s="731" t="s">
        <v>1599</v>
      </c>
      <c r="G376" s="731" t="s">
        <v>1600</v>
      </c>
      <c r="H376" s="731" t="s">
        <v>1809</v>
      </c>
      <c r="I376" s="736">
        <v>15168</v>
      </c>
      <c r="J376" s="735" t="s">
        <v>1599</v>
      </c>
      <c r="K376" s="737">
        <v>4010</v>
      </c>
      <c r="L376" s="744">
        <f t="shared" si="30"/>
        <v>20530.080000000002</v>
      </c>
      <c r="M376" s="742">
        <v>24540.080000000002</v>
      </c>
      <c r="N376" s="843">
        <v>17404.8</v>
      </c>
      <c r="O376" s="710">
        <f t="shared" si="26"/>
        <v>123.57407999999998</v>
      </c>
      <c r="P376" s="711">
        <f t="shared" si="27"/>
        <v>3.8616899999999994</v>
      </c>
      <c r="Q376" s="712">
        <f t="shared" si="28"/>
        <v>263996.00639999995</v>
      </c>
    </row>
    <row r="377" spans="1:17" ht="15.75" customHeight="1">
      <c r="A377" s="722" t="s">
        <v>2217</v>
      </c>
      <c r="B377" s="723">
        <v>45092</v>
      </c>
      <c r="C377" s="724" t="s">
        <v>1597</v>
      </c>
      <c r="D377" s="724" t="s">
        <v>1598</v>
      </c>
      <c r="E377" s="725">
        <v>6</v>
      </c>
      <c r="F377" s="722" t="s">
        <v>1599</v>
      </c>
      <c r="G377" s="722" t="s">
        <v>1600</v>
      </c>
      <c r="H377" s="722" t="s">
        <v>1908</v>
      </c>
      <c r="I377" s="727">
        <v>6579</v>
      </c>
      <c r="J377" s="726" t="s">
        <v>1599</v>
      </c>
      <c r="K377" s="728">
        <v>3820</v>
      </c>
      <c r="L377" s="743">
        <f t="shared" si="30"/>
        <v>10355</v>
      </c>
      <c r="M377" s="741">
        <v>14175</v>
      </c>
      <c r="N377" s="842">
        <v>8189.28</v>
      </c>
      <c r="O377" s="710">
        <f t="shared" si="26"/>
        <v>49.135680000000001</v>
      </c>
      <c r="P377" s="711">
        <f t="shared" si="27"/>
        <v>1.53549</v>
      </c>
      <c r="Q377" s="712">
        <f t="shared" si="28"/>
        <v>53877.273119999998</v>
      </c>
    </row>
    <row r="378" spans="1:17" ht="15.75" customHeight="1">
      <c r="A378" s="731" t="s">
        <v>2218</v>
      </c>
      <c r="B378" s="732">
        <v>45092</v>
      </c>
      <c r="C378" s="733" t="s">
        <v>1597</v>
      </c>
      <c r="D378" s="733" t="s">
        <v>1598</v>
      </c>
      <c r="E378" s="734">
        <v>6.5</v>
      </c>
      <c r="F378" s="731" t="s">
        <v>1599</v>
      </c>
      <c r="G378" s="731" t="s">
        <v>1600</v>
      </c>
      <c r="H378" s="731" t="s">
        <v>1803</v>
      </c>
      <c r="I378" s="736">
        <v>8839</v>
      </c>
      <c r="J378" s="735" t="s">
        <v>1599</v>
      </c>
      <c r="K378" s="737">
        <v>3660</v>
      </c>
      <c r="L378" s="744">
        <f t="shared" si="30"/>
        <v>10562</v>
      </c>
      <c r="M378" s="742">
        <v>14222</v>
      </c>
      <c r="N378" s="843">
        <v>7200</v>
      </c>
      <c r="O378" s="710">
        <f t="shared" si="26"/>
        <v>46.8</v>
      </c>
      <c r="P378" s="711">
        <f t="shared" si="27"/>
        <v>1.4624999999999999</v>
      </c>
      <c r="Q378" s="712">
        <f t="shared" si="28"/>
        <v>63640.800000000003</v>
      </c>
    </row>
    <row r="379" spans="1:17" ht="15.75" customHeight="1">
      <c r="A379" s="722" t="s">
        <v>2219</v>
      </c>
      <c r="B379" s="723">
        <v>45089</v>
      </c>
      <c r="C379" s="724" t="s">
        <v>1597</v>
      </c>
      <c r="D379" s="724" t="s">
        <v>1598</v>
      </c>
      <c r="E379" s="725">
        <v>7.1</v>
      </c>
      <c r="F379" s="722" t="s">
        <v>1599</v>
      </c>
      <c r="G379" s="722" t="s">
        <v>1600</v>
      </c>
      <c r="H379" s="722" t="s">
        <v>1809</v>
      </c>
      <c r="I379" s="727">
        <v>15168</v>
      </c>
      <c r="J379" s="726" t="s">
        <v>1599</v>
      </c>
      <c r="K379" s="728">
        <v>3970</v>
      </c>
      <c r="L379" s="743">
        <f t="shared" si="30"/>
        <v>20530.080000000002</v>
      </c>
      <c r="M379" s="728">
        <v>24500.080000000002</v>
      </c>
      <c r="N379" s="842">
        <v>17404.8</v>
      </c>
      <c r="O379" s="710">
        <f t="shared" si="26"/>
        <v>123.57407999999998</v>
      </c>
      <c r="P379" s="711">
        <f t="shared" si="27"/>
        <v>3.8616899999999994</v>
      </c>
      <c r="Q379" s="712">
        <f t="shared" si="28"/>
        <v>263996.00639999995</v>
      </c>
    </row>
    <row r="380" spans="1:17" ht="15.75" customHeight="1">
      <c r="A380" s="731" t="s">
        <v>2220</v>
      </c>
      <c r="B380" s="732">
        <v>45089</v>
      </c>
      <c r="C380" s="733" t="s">
        <v>1597</v>
      </c>
      <c r="D380" s="733" t="s">
        <v>1598</v>
      </c>
      <c r="E380" s="734">
        <v>7.1</v>
      </c>
      <c r="F380" s="731" t="s">
        <v>1599</v>
      </c>
      <c r="G380" s="731" t="s">
        <v>1600</v>
      </c>
      <c r="H380" s="731" t="s">
        <v>1809</v>
      </c>
      <c r="I380" s="736">
        <v>15168</v>
      </c>
      <c r="J380" s="735" t="s">
        <v>1599</v>
      </c>
      <c r="K380" s="737">
        <v>3770</v>
      </c>
      <c r="L380" s="744">
        <f t="shared" si="30"/>
        <v>20530.080000000002</v>
      </c>
      <c r="M380" s="742">
        <v>24300.080000000002</v>
      </c>
      <c r="N380" s="843">
        <v>17404.8</v>
      </c>
      <c r="O380" s="710">
        <f t="shared" si="26"/>
        <v>123.57407999999998</v>
      </c>
      <c r="P380" s="711">
        <f t="shared" si="27"/>
        <v>3.8616899999999994</v>
      </c>
      <c r="Q380" s="712">
        <f t="shared" si="28"/>
        <v>263996.00639999995</v>
      </c>
    </row>
    <row r="381" spans="1:17" ht="15.75" customHeight="1">
      <c r="A381" s="722" t="s">
        <v>2221</v>
      </c>
      <c r="B381" s="723">
        <v>45089</v>
      </c>
      <c r="C381" s="724" t="s">
        <v>1597</v>
      </c>
      <c r="D381" s="724" t="s">
        <v>1598</v>
      </c>
      <c r="E381" s="725">
        <v>7.1</v>
      </c>
      <c r="F381" s="722" t="s">
        <v>1599</v>
      </c>
      <c r="G381" s="722" t="s">
        <v>1600</v>
      </c>
      <c r="H381" s="722" t="s">
        <v>1809</v>
      </c>
      <c r="I381" s="727">
        <v>15168</v>
      </c>
      <c r="J381" s="726" t="s">
        <v>1599</v>
      </c>
      <c r="K381" s="728">
        <v>3880</v>
      </c>
      <c r="L381" s="743">
        <f t="shared" si="30"/>
        <v>20530.080000000002</v>
      </c>
      <c r="M381" s="728">
        <v>24410.080000000002</v>
      </c>
      <c r="N381" s="842">
        <v>17404.8</v>
      </c>
      <c r="O381" s="710">
        <f t="shared" si="26"/>
        <v>123.57407999999998</v>
      </c>
      <c r="P381" s="711">
        <f t="shared" si="27"/>
        <v>3.8616899999999994</v>
      </c>
      <c r="Q381" s="712">
        <f t="shared" si="28"/>
        <v>263996.00639999995</v>
      </c>
    </row>
    <row r="382" spans="1:17" ht="15.75" customHeight="1">
      <c r="A382" s="731" t="s">
        <v>2222</v>
      </c>
      <c r="B382" s="732">
        <v>45096</v>
      </c>
      <c r="C382" s="733" t="s">
        <v>1597</v>
      </c>
      <c r="D382" s="733" t="s">
        <v>1598</v>
      </c>
      <c r="E382" s="734">
        <v>4.0999999999999996</v>
      </c>
      <c r="F382" s="731" t="s">
        <v>1599</v>
      </c>
      <c r="G382" s="731" t="s">
        <v>1600</v>
      </c>
      <c r="H382" s="731" t="s">
        <v>1850</v>
      </c>
      <c r="I382" s="736">
        <v>9687</v>
      </c>
      <c r="J382" s="735" t="s">
        <v>1599</v>
      </c>
      <c r="K382" s="737">
        <v>2180</v>
      </c>
      <c r="L382" s="744">
        <f t="shared" si="30"/>
        <v>5777</v>
      </c>
      <c r="M382" s="742">
        <v>7957</v>
      </c>
      <c r="N382" s="843">
        <v>4550</v>
      </c>
      <c r="O382" s="710">
        <f t="shared" si="26"/>
        <v>18.655000000000001</v>
      </c>
      <c r="P382" s="711">
        <f t="shared" si="27"/>
        <v>0.58296875000000004</v>
      </c>
      <c r="Q382" s="712">
        <f t="shared" si="28"/>
        <v>44075.85</v>
      </c>
    </row>
    <row r="383" spans="1:17" ht="15.75" customHeight="1">
      <c r="A383" s="722" t="s">
        <v>2223</v>
      </c>
      <c r="B383" s="723">
        <v>45089</v>
      </c>
      <c r="C383" s="724" t="s">
        <v>1597</v>
      </c>
      <c r="D383" s="724" t="s">
        <v>1598</v>
      </c>
      <c r="E383" s="725">
        <v>7.1</v>
      </c>
      <c r="F383" s="722" t="s">
        <v>1599</v>
      </c>
      <c r="G383" s="722" t="s">
        <v>1600</v>
      </c>
      <c r="H383" s="722" t="s">
        <v>1809</v>
      </c>
      <c r="I383" s="727">
        <v>15168</v>
      </c>
      <c r="J383" s="726" t="s">
        <v>1599</v>
      </c>
      <c r="K383" s="728">
        <v>3700</v>
      </c>
      <c r="L383" s="743">
        <f t="shared" si="30"/>
        <v>20530.080000000002</v>
      </c>
      <c r="M383" s="741">
        <v>24230.080000000002</v>
      </c>
      <c r="N383" s="842">
        <v>17404.8</v>
      </c>
      <c r="O383" s="710">
        <f t="shared" si="26"/>
        <v>123.57407999999998</v>
      </c>
      <c r="P383" s="711">
        <f t="shared" si="27"/>
        <v>3.8616899999999994</v>
      </c>
      <c r="Q383" s="712">
        <f t="shared" si="28"/>
        <v>263996.00639999995</v>
      </c>
    </row>
    <row r="384" spans="1:17" ht="15.75" customHeight="1">
      <c r="A384" s="731" t="s">
        <v>2224</v>
      </c>
      <c r="B384" s="732">
        <v>45090</v>
      </c>
      <c r="C384" s="733" t="s">
        <v>1597</v>
      </c>
      <c r="D384" s="733" t="s">
        <v>1598</v>
      </c>
      <c r="E384" s="734">
        <v>3.6</v>
      </c>
      <c r="F384" s="731" t="s">
        <v>1599</v>
      </c>
      <c r="G384" s="731" t="s">
        <v>1600</v>
      </c>
      <c r="H384" s="731" t="s">
        <v>1848</v>
      </c>
      <c r="I384" s="736">
        <v>3740</v>
      </c>
      <c r="J384" s="735" t="s">
        <v>1599</v>
      </c>
      <c r="K384" s="737">
        <v>3730</v>
      </c>
      <c r="L384" s="744">
        <f t="shared" si="30"/>
        <v>5216.08</v>
      </c>
      <c r="M384" s="742">
        <v>8946.08</v>
      </c>
      <c r="N384" s="843">
        <v>3404.12</v>
      </c>
      <c r="O384" s="710">
        <f t="shared" si="26"/>
        <v>12.254832</v>
      </c>
      <c r="P384" s="711">
        <f t="shared" si="27"/>
        <v>0.38296350000000001</v>
      </c>
      <c r="Q384" s="712">
        <f t="shared" si="28"/>
        <v>12731.408799999999</v>
      </c>
    </row>
    <row r="385" spans="1:17" ht="15.75" customHeight="1">
      <c r="A385" s="722" t="s">
        <v>2225</v>
      </c>
      <c r="B385" s="723">
        <v>45090</v>
      </c>
      <c r="C385" s="724" t="s">
        <v>1597</v>
      </c>
      <c r="D385" s="724" t="s">
        <v>1598</v>
      </c>
      <c r="E385" s="725">
        <v>6.2</v>
      </c>
      <c r="F385" s="722" t="s">
        <v>1599</v>
      </c>
      <c r="G385" s="722" t="s">
        <v>1600</v>
      </c>
      <c r="H385" s="722" t="s">
        <v>1822</v>
      </c>
      <c r="I385" s="727">
        <v>13787</v>
      </c>
      <c r="J385" s="726" t="s">
        <v>1599</v>
      </c>
      <c r="K385" s="728">
        <v>3890</v>
      </c>
      <c r="L385" s="743">
        <f t="shared" si="30"/>
        <v>14839</v>
      </c>
      <c r="M385" s="741">
        <v>18729</v>
      </c>
      <c r="N385" s="842">
        <v>12511.2</v>
      </c>
      <c r="O385" s="710">
        <f t="shared" si="26"/>
        <v>77.56944</v>
      </c>
      <c r="P385" s="711">
        <f t="shared" si="27"/>
        <v>2.424045</v>
      </c>
      <c r="Q385" s="712">
        <f t="shared" si="28"/>
        <v>172491.91440000001</v>
      </c>
    </row>
    <row r="386" spans="1:17" ht="15.75" customHeight="1">
      <c r="A386" s="731" t="s">
        <v>2226</v>
      </c>
      <c r="B386" s="732">
        <v>45092</v>
      </c>
      <c r="C386" s="733" t="s">
        <v>1597</v>
      </c>
      <c r="D386" s="733" t="s">
        <v>1598</v>
      </c>
      <c r="E386" s="734">
        <v>6.2</v>
      </c>
      <c r="F386" s="731" t="s">
        <v>1599</v>
      </c>
      <c r="G386" s="731" t="s">
        <v>1600</v>
      </c>
      <c r="H386" s="731" t="s">
        <v>1818</v>
      </c>
      <c r="I386" s="736">
        <v>14000</v>
      </c>
      <c r="J386" s="735" t="s">
        <v>1599</v>
      </c>
      <c r="K386" s="737">
        <v>3800</v>
      </c>
      <c r="L386" s="744">
        <f t="shared" si="30"/>
        <v>18594.59</v>
      </c>
      <c r="M386" s="742">
        <v>22394.59</v>
      </c>
      <c r="N386" s="843">
        <v>15925.65</v>
      </c>
      <c r="O386" s="710">
        <f t="shared" si="26"/>
        <v>98.73903</v>
      </c>
      <c r="P386" s="711">
        <f t="shared" si="27"/>
        <v>3.0855946875</v>
      </c>
      <c r="Q386" s="712">
        <f t="shared" si="28"/>
        <v>222959.1</v>
      </c>
    </row>
    <row r="387" spans="1:17" ht="15.75" customHeight="1">
      <c r="A387" s="722" t="s">
        <v>2227</v>
      </c>
      <c r="B387" s="723">
        <v>45093</v>
      </c>
      <c r="C387" s="724" t="s">
        <v>1597</v>
      </c>
      <c r="D387" s="724" t="s">
        <v>1598</v>
      </c>
      <c r="E387" s="725">
        <v>6.2</v>
      </c>
      <c r="F387" s="722" t="s">
        <v>1599</v>
      </c>
      <c r="G387" s="722" t="s">
        <v>1600</v>
      </c>
      <c r="H387" s="722" t="s">
        <v>1822</v>
      </c>
      <c r="I387" s="727">
        <v>13787</v>
      </c>
      <c r="J387" s="726" t="s">
        <v>1599</v>
      </c>
      <c r="K387" s="728">
        <v>3830</v>
      </c>
      <c r="L387" s="743">
        <f t="shared" si="30"/>
        <v>19071.599999999999</v>
      </c>
      <c r="M387" s="741">
        <v>22901.599999999999</v>
      </c>
      <c r="N387" s="842">
        <v>15302.4</v>
      </c>
      <c r="O387" s="710">
        <f t="shared" si="26"/>
        <v>94.874880000000005</v>
      </c>
      <c r="P387" s="711">
        <f t="shared" si="27"/>
        <v>2.9648400000000001</v>
      </c>
      <c r="Q387" s="712">
        <f t="shared" si="28"/>
        <v>210974.18879999997</v>
      </c>
    </row>
    <row r="388" spans="1:17" ht="15.75" customHeight="1">
      <c r="A388" s="731" t="s">
        <v>2228</v>
      </c>
      <c r="B388" s="732">
        <v>45091</v>
      </c>
      <c r="C388" s="733" t="s">
        <v>1597</v>
      </c>
      <c r="D388" s="733" t="s">
        <v>1598</v>
      </c>
      <c r="E388" s="734">
        <v>6</v>
      </c>
      <c r="F388" s="731" t="s">
        <v>1599</v>
      </c>
      <c r="G388" s="731" t="s">
        <v>1600</v>
      </c>
      <c r="H388" s="731" t="s">
        <v>1822</v>
      </c>
      <c r="I388" s="736">
        <v>13787</v>
      </c>
      <c r="J388" s="735" t="s">
        <v>1599</v>
      </c>
      <c r="K388" s="737">
        <v>3890</v>
      </c>
      <c r="L388" s="744">
        <f t="shared" si="30"/>
        <v>14839</v>
      </c>
      <c r="M388" s="742">
        <v>18729</v>
      </c>
      <c r="N388" s="843">
        <v>12511.2</v>
      </c>
      <c r="O388" s="710">
        <f t="shared" si="26"/>
        <v>75.067200000000014</v>
      </c>
      <c r="P388" s="711">
        <f t="shared" si="27"/>
        <v>2.3458500000000004</v>
      </c>
      <c r="Q388" s="712">
        <f t="shared" si="28"/>
        <v>172491.91440000001</v>
      </c>
    </row>
    <row r="389" spans="1:17" ht="15.75" customHeight="1">
      <c r="A389" s="722" t="s">
        <v>2229</v>
      </c>
      <c r="B389" s="723">
        <v>45092</v>
      </c>
      <c r="C389" s="724" t="s">
        <v>1597</v>
      </c>
      <c r="D389" s="724" t="s">
        <v>1598</v>
      </c>
      <c r="E389" s="725">
        <v>4.0999999999999996</v>
      </c>
      <c r="F389" s="722" t="s">
        <v>1599</v>
      </c>
      <c r="G389" s="722" t="s">
        <v>1600</v>
      </c>
      <c r="H389" s="722" t="s">
        <v>1965</v>
      </c>
      <c r="I389" s="727">
        <v>5092</v>
      </c>
      <c r="J389" s="726" t="s">
        <v>1599</v>
      </c>
      <c r="K389" s="728">
        <v>2240</v>
      </c>
      <c r="L389" s="743">
        <f t="shared" si="30"/>
        <v>4872.75</v>
      </c>
      <c r="M389" s="728">
        <v>7112.75</v>
      </c>
      <c r="N389" s="842">
        <v>3558.5</v>
      </c>
      <c r="O389" s="710">
        <f t="shared" si="26"/>
        <v>14.589849999999998</v>
      </c>
      <c r="P389" s="711">
        <f t="shared" si="27"/>
        <v>0.45593281249999995</v>
      </c>
      <c r="Q389" s="712">
        <f t="shared" si="28"/>
        <v>18119.882000000001</v>
      </c>
    </row>
    <row r="390" spans="1:17" ht="15.75" customHeight="1">
      <c r="A390" s="731" t="s">
        <v>2230</v>
      </c>
      <c r="B390" s="732">
        <v>45099</v>
      </c>
      <c r="C390" s="733" t="s">
        <v>1597</v>
      </c>
      <c r="D390" s="733" t="s">
        <v>1598</v>
      </c>
      <c r="E390" s="734">
        <v>6</v>
      </c>
      <c r="F390" s="731" t="s">
        <v>1599</v>
      </c>
      <c r="G390" s="731" t="s">
        <v>1600</v>
      </c>
      <c r="H390" s="731" t="s">
        <v>1822</v>
      </c>
      <c r="I390" s="736">
        <v>13787</v>
      </c>
      <c r="J390" s="735" t="s">
        <v>1599</v>
      </c>
      <c r="K390" s="737">
        <v>3670</v>
      </c>
      <c r="L390" s="744">
        <f t="shared" si="30"/>
        <v>9602</v>
      </c>
      <c r="M390" s="739">
        <v>13272</v>
      </c>
      <c r="N390" s="895">
        <v>5376</v>
      </c>
      <c r="O390" s="710">
        <f t="shared" ref="O390:O453" si="31">N390*E390/1000</f>
        <v>32.256</v>
      </c>
      <c r="P390" s="711">
        <f t="shared" ref="P390:P453" si="32">O390/32</f>
        <v>1.008</v>
      </c>
      <c r="Q390" s="712">
        <f t="shared" ref="Q390:Q453" si="33">N390*I390/1000</f>
        <v>74118.911999999997</v>
      </c>
    </row>
    <row r="391" spans="1:17" ht="15.75" customHeight="1">
      <c r="A391" s="722" t="s">
        <v>2231</v>
      </c>
      <c r="B391" s="723">
        <v>45099</v>
      </c>
      <c r="C391" s="724" t="s">
        <v>1597</v>
      </c>
      <c r="D391" s="724" t="s">
        <v>1598</v>
      </c>
      <c r="E391" s="725">
        <v>6.5</v>
      </c>
      <c r="F391" s="722" t="s">
        <v>1599</v>
      </c>
      <c r="G391" s="722" t="s">
        <v>1600</v>
      </c>
      <c r="H391" s="722" t="s">
        <v>1822</v>
      </c>
      <c r="I391" s="727">
        <v>13787</v>
      </c>
      <c r="J391" s="726" t="s">
        <v>1599</v>
      </c>
      <c r="K391" s="728">
        <v>3700</v>
      </c>
      <c r="L391" s="743">
        <f t="shared" si="30"/>
        <v>14839</v>
      </c>
      <c r="M391" s="730">
        <v>18539</v>
      </c>
      <c r="N391" s="841">
        <v>14837</v>
      </c>
      <c r="O391" s="710">
        <f t="shared" si="31"/>
        <v>96.4405</v>
      </c>
      <c r="P391" s="711">
        <f t="shared" si="32"/>
        <v>3.013765625</v>
      </c>
      <c r="Q391" s="712">
        <f t="shared" si="33"/>
        <v>204557.71900000001</v>
      </c>
    </row>
    <row r="392" spans="1:17" ht="15.75" customHeight="1">
      <c r="A392" s="731" t="s">
        <v>2232</v>
      </c>
      <c r="B392" s="732">
        <v>45100</v>
      </c>
      <c r="C392" s="733" t="s">
        <v>1597</v>
      </c>
      <c r="D392" s="733" t="s">
        <v>1598</v>
      </c>
      <c r="E392" s="734">
        <v>5.3</v>
      </c>
      <c r="F392" s="731" t="s">
        <v>1599</v>
      </c>
      <c r="G392" s="731" t="s">
        <v>1600</v>
      </c>
      <c r="H392" s="731" t="s">
        <v>1848</v>
      </c>
      <c r="I392" s="736">
        <v>3740</v>
      </c>
      <c r="J392" s="735" t="s">
        <v>1599</v>
      </c>
      <c r="K392" s="737">
        <v>3700</v>
      </c>
      <c r="L392" s="744">
        <f t="shared" si="30"/>
        <v>5235.2800000000007</v>
      </c>
      <c r="M392" s="739">
        <v>8935.2800000000007</v>
      </c>
      <c r="N392" s="895">
        <v>3455.32</v>
      </c>
      <c r="O392" s="710">
        <f t="shared" si="31"/>
        <v>18.313196000000001</v>
      </c>
      <c r="P392" s="711">
        <f t="shared" si="32"/>
        <v>0.57228737500000004</v>
      </c>
      <c r="Q392" s="712">
        <f t="shared" si="33"/>
        <v>12922.8968</v>
      </c>
    </row>
    <row r="393" spans="1:17" ht="15.75" customHeight="1">
      <c r="A393" s="722" t="s">
        <v>2233</v>
      </c>
      <c r="B393" s="723">
        <v>45092</v>
      </c>
      <c r="C393" s="724" t="s">
        <v>1597</v>
      </c>
      <c r="D393" s="724" t="s">
        <v>1598</v>
      </c>
      <c r="E393" s="725">
        <v>7.1</v>
      </c>
      <c r="F393" s="722" t="s">
        <v>1599</v>
      </c>
      <c r="G393" s="722" t="s">
        <v>1600</v>
      </c>
      <c r="H393" s="722" t="s">
        <v>1886</v>
      </c>
      <c r="I393" s="727">
        <v>13877</v>
      </c>
      <c r="J393" s="726" t="s">
        <v>1599</v>
      </c>
      <c r="K393" s="728">
        <v>3700</v>
      </c>
      <c r="L393" s="743">
        <f t="shared" si="30"/>
        <v>19599.5</v>
      </c>
      <c r="M393" s="741">
        <v>23299.5</v>
      </c>
      <c r="N393" s="842">
        <v>15795</v>
      </c>
      <c r="O393" s="710">
        <f t="shared" si="31"/>
        <v>112.14449999999999</v>
      </c>
      <c r="P393" s="711">
        <f t="shared" si="32"/>
        <v>3.5045156249999998</v>
      </c>
      <c r="Q393" s="712">
        <f t="shared" si="33"/>
        <v>219187.215</v>
      </c>
    </row>
    <row r="394" spans="1:17" ht="15.75" customHeight="1">
      <c r="A394" s="731" t="s">
        <v>2234</v>
      </c>
      <c r="B394" s="732">
        <v>45099</v>
      </c>
      <c r="C394" s="733" t="s">
        <v>1597</v>
      </c>
      <c r="D394" s="733" t="s">
        <v>1598</v>
      </c>
      <c r="E394" s="734">
        <v>6.2</v>
      </c>
      <c r="F394" s="731" t="s">
        <v>1599</v>
      </c>
      <c r="G394" s="731" t="s">
        <v>1600</v>
      </c>
      <c r="H394" s="731" t="s">
        <v>1815</v>
      </c>
      <c r="I394" s="736">
        <v>17387</v>
      </c>
      <c r="J394" s="735" t="s">
        <v>1599</v>
      </c>
      <c r="K394" s="737">
        <v>3870</v>
      </c>
      <c r="L394" s="744">
        <f t="shared" si="30"/>
        <v>18671.29</v>
      </c>
      <c r="M394" s="739">
        <v>22541.29</v>
      </c>
      <c r="N394" s="895">
        <v>16170.76</v>
      </c>
      <c r="O394" s="710">
        <f t="shared" si="31"/>
        <v>100.258712</v>
      </c>
      <c r="P394" s="711">
        <f t="shared" si="32"/>
        <v>3.1330847500000001</v>
      </c>
      <c r="Q394" s="712">
        <f t="shared" si="33"/>
        <v>281161.00412</v>
      </c>
    </row>
    <row r="395" spans="1:17" ht="15.75" customHeight="1">
      <c r="A395" s="722" t="s">
        <v>2235</v>
      </c>
      <c r="B395" s="723">
        <v>45099</v>
      </c>
      <c r="C395" s="724" t="s">
        <v>1597</v>
      </c>
      <c r="D395" s="724" t="s">
        <v>1598</v>
      </c>
      <c r="E395" s="725">
        <v>6.2</v>
      </c>
      <c r="F395" s="722" t="s">
        <v>1599</v>
      </c>
      <c r="G395" s="722" t="s">
        <v>1600</v>
      </c>
      <c r="H395" s="722" t="s">
        <v>1815</v>
      </c>
      <c r="I395" s="727">
        <v>17387</v>
      </c>
      <c r="J395" s="726" t="s">
        <v>1599</v>
      </c>
      <c r="K395" s="728">
        <v>3840</v>
      </c>
      <c r="L395" s="743">
        <f t="shared" si="30"/>
        <v>18069.21</v>
      </c>
      <c r="M395" s="730">
        <v>21909.21</v>
      </c>
      <c r="N395" s="841">
        <v>15594.73</v>
      </c>
      <c r="O395" s="710">
        <f t="shared" si="31"/>
        <v>96.687325999999999</v>
      </c>
      <c r="P395" s="711">
        <f t="shared" si="32"/>
        <v>3.0214789375</v>
      </c>
      <c r="Q395" s="712">
        <f t="shared" si="33"/>
        <v>271145.57050999999</v>
      </c>
    </row>
    <row r="396" spans="1:17" ht="15.75" customHeight="1">
      <c r="A396" s="731" t="s">
        <v>2236</v>
      </c>
      <c r="B396" s="732">
        <v>45103</v>
      </c>
      <c r="C396" s="733" t="s">
        <v>1597</v>
      </c>
      <c r="D396" s="733" t="s">
        <v>1598</v>
      </c>
      <c r="E396" s="734">
        <v>6</v>
      </c>
      <c r="F396" s="731" t="s">
        <v>1599</v>
      </c>
      <c r="G396" s="731" t="s">
        <v>1600</v>
      </c>
      <c r="H396" s="731" t="s">
        <v>1838</v>
      </c>
      <c r="I396" s="736">
        <v>4972</v>
      </c>
      <c r="J396" s="735" t="s">
        <v>1599</v>
      </c>
      <c r="K396" s="734">
        <v>2210</v>
      </c>
      <c r="L396" s="744">
        <f t="shared" si="30"/>
        <v>5013.32</v>
      </c>
      <c r="M396" s="739">
        <v>7223.32</v>
      </c>
      <c r="N396" s="895">
        <v>3854.39</v>
      </c>
      <c r="O396" s="710">
        <f t="shared" si="31"/>
        <v>23.126339999999999</v>
      </c>
      <c r="P396" s="711">
        <f t="shared" si="32"/>
        <v>0.72269812499999997</v>
      </c>
      <c r="Q396" s="712">
        <f t="shared" si="33"/>
        <v>19164.02708</v>
      </c>
    </row>
    <row r="397" spans="1:17" ht="15.75" customHeight="1">
      <c r="A397" s="701" t="s">
        <v>2237</v>
      </c>
      <c r="B397" s="723">
        <v>45103</v>
      </c>
      <c r="C397" s="701" t="s">
        <v>1597</v>
      </c>
      <c r="D397" s="701" t="s">
        <v>1598</v>
      </c>
      <c r="E397" s="703">
        <v>5.3</v>
      </c>
      <c r="F397" s="701" t="s">
        <v>1599</v>
      </c>
      <c r="G397" s="701" t="s">
        <v>1600</v>
      </c>
      <c r="H397" s="722" t="s">
        <v>1844</v>
      </c>
      <c r="I397" s="727">
        <v>5727</v>
      </c>
      <c r="J397" s="706" t="s">
        <v>1599</v>
      </c>
      <c r="K397" s="707">
        <v>3850</v>
      </c>
      <c r="L397" s="747">
        <v>2535.25</v>
      </c>
      <c r="M397" s="754">
        <v>6385.25</v>
      </c>
      <c r="N397" s="842">
        <v>5187.33</v>
      </c>
      <c r="O397" s="710">
        <f t="shared" si="31"/>
        <v>27.492849</v>
      </c>
      <c r="P397" s="711">
        <f t="shared" si="32"/>
        <v>0.85915153124999999</v>
      </c>
      <c r="Q397" s="712">
        <f t="shared" si="33"/>
        <v>29707.838909999999</v>
      </c>
    </row>
    <row r="398" spans="1:17" ht="15.75" customHeight="1">
      <c r="A398" s="731" t="s">
        <v>2238</v>
      </c>
      <c r="B398" s="732">
        <v>45098</v>
      </c>
      <c r="C398" s="733" t="s">
        <v>1597</v>
      </c>
      <c r="D398" s="733" t="s">
        <v>1598</v>
      </c>
      <c r="E398" s="734">
        <v>5.2</v>
      </c>
      <c r="F398" s="731" t="s">
        <v>1599</v>
      </c>
      <c r="G398" s="731" t="s">
        <v>1600</v>
      </c>
      <c r="H398" s="731" t="s">
        <v>1798</v>
      </c>
      <c r="I398" s="736">
        <v>1931</v>
      </c>
      <c r="J398" s="735" t="s">
        <v>1599</v>
      </c>
      <c r="K398" s="737">
        <v>5321.7</v>
      </c>
      <c r="L398" s="744">
        <f t="shared" ref="L398:L406" si="34">M398-K398</f>
        <v>988</v>
      </c>
      <c r="M398" s="742">
        <v>6309.7</v>
      </c>
      <c r="N398" s="843">
        <v>5321.7</v>
      </c>
      <c r="O398" s="710">
        <f t="shared" si="31"/>
        <v>27.672840000000001</v>
      </c>
      <c r="P398" s="711">
        <f t="shared" si="32"/>
        <v>0.86477625000000002</v>
      </c>
      <c r="Q398" s="712">
        <f t="shared" si="33"/>
        <v>10276.2027</v>
      </c>
    </row>
    <row r="399" spans="1:17" ht="15.75" customHeight="1">
      <c r="A399" s="722" t="s">
        <v>2239</v>
      </c>
      <c r="B399" s="723">
        <v>45096</v>
      </c>
      <c r="C399" s="724" t="s">
        <v>1597</v>
      </c>
      <c r="D399" s="724" t="s">
        <v>1598</v>
      </c>
      <c r="E399" s="725">
        <v>6.5</v>
      </c>
      <c r="F399" s="722" t="s">
        <v>1599</v>
      </c>
      <c r="G399" s="722" t="s">
        <v>1600</v>
      </c>
      <c r="H399" s="722" t="s">
        <v>1854</v>
      </c>
      <c r="I399" s="727">
        <v>8865</v>
      </c>
      <c r="J399" s="726" t="s">
        <v>1599</v>
      </c>
      <c r="K399" s="728">
        <v>3700</v>
      </c>
      <c r="L399" s="743">
        <f t="shared" si="34"/>
        <v>20860.5</v>
      </c>
      <c r="M399" s="741">
        <v>24560.5</v>
      </c>
      <c r="N399" s="842">
        <v>18066</v>
      </c>
      <c r="O399" s="710">
        <f t="shared" si="31"/>
        <v>117.429</v>
      </c>
      <c r="P399" s="711">
        <f t="shared" si="32"/>
        <v>3.6696562500000001</v>
      </c>
      <c r="Q399" s="712">
        <f t="shared" si="33"/>
        <v>160155.09</v>
      </c>
    </row>
    <row r="400" spans="1:17" ht="15.75" customHeight="1">
      <c r="A400" s="731" t="s">
        <v>2240</v>
      </c>
      <c r="B400" s="732">
        <v>45098</v>
      </c>
      <c r="C400" s="733" t="s">
        <v>1597</v>
      </c>
      <c r="D400" s="733" t="s">
        <v>1598</v>
      </c>
      <c r="E400" s="734">
        <v>6.5</v>
      </c>
      <c r="F400" s="731" t="s">
        <v>1599</v>
      </c>
      <c r="G400" s="731" t="s">
        <v>1600</v>
      </c>
      <c r="H400" s="731" t="s">
        <v>1836</v>
      </c>
      <c r="I400" s="736">
        <v>14544</v>
      </c>
      <c r="J400" s="735" t="s">
        <v>1599</v>
      </c>
      <c r="K400" s="737">
        <v>3820</v>
      </c>
      <c r="L400" s="744">
        <f t="shared" si="34"/>
        <v>14839</v>
      </c>
      <c r="M400" s="739">
        <v>18659</v>
      </c>
      <c r="N400" s="843">
        <v>12511.2</v>
      </c>
      <c r="O400" s="710">
        <f t="shared" si="31"/>
        <v>81.322800000000001</v>
      </c>
      <c r="P400" s="711">
        <f t="shared" si="32"/>
        <v>2.5413375</v>
      </c>
      <c r="Q400" s="712">
        <f t="shared" si="33"/>
        <v>181962.8928</v>
      </c>
    </row>
    <row r="401" spans="1:17" ht="15.75" customHeight="1">
      <c r="A401" s="722" t="s">
        <v>2241</v>
      </c>
      <c r="B401" s="723">
        <v>45099</v>
      </c>
      <c r="C401" s="724" t="s">
        <v>1597</v>
      </c>
      <c r="D401" s="724" t="s">
        <v>1598</v>
      </c>
      <c r="E401" s="725">
        <v>6.2</v>
      </c>
      <c r="F401" s="722" t="s">
        <v>1599</v>
      </c>
      <c r="G401" s="722" t="s">
        <v>1600</v>
      </c>
      <c r="H401" s="722" t="s">
        <v>1884</v>
      </c>
      <c r="I401" s="727">
        <v>13413</v>
      </c>
      <c r="J401" s="726" t="s">
        <v>1599</v>
      </c>
      <c r="K401" s="728">
        <v>3900</v>
      </c>
      <c r="L401" s="743">
        <f t="shared" si="34"/>
        <v>17889.099999999999</v>
      </c>
      <c r="M401" s="730">
        <v>21789.1</v>
      </c>
      <c r="N401" s="841">
        <v>14665.2</v>
      </c>
      <c r="O401" s="710">
        <f t="shared" si="31"/>
        <v>90.924240000000012</v>
      </c>
      <c r="P401" s="711">
        <f t="shared" si="32"/>
        <v>2.8413825000000004</v>
      </c>
      <c r="Q401" s="712">
        <f t="shared" si="33"/>
        <v>196704.32760000002</v>
      </c>
    </row>
    <row r="402" spans="1:17" ht="15.75" customHeight="1">
      <c r="A402" s="731" t="s">
        <v>2242</v>
      </c>
      <c r="B402" s="732">
        <v>45098</v>
      </c>
      <c r="C402" s="733" t="s">
        <v>1597</v>
      </c>
      <c r="D402" s="733" t="s">
        <v>1598</v>
      </c>
      <c r="E402" s="734">
        <v>6.5</v>
      </c>
      <c r="F402" s="731" t="s">
        <v>1599</v>
      </c>
      <c r="G402" s="731" t="s">
        <v>1600</v>
      </c>
      <c r="H402" s="731" t="s">
        <v>1963</v>
      </c>
      <c r="I402" s="736">
        <v>14253</v>
      </c>
      <c r="J402" s="735" t="s">
        <v>1599</v>
      </c>
      <c r="K402" s="737">
        <v>3900</v>
      </c>
      <c r="L402" s="744">
        <f t="shared" si="34"/>
        <v>10741.02</v>
      </c>
      <c r="M402" s="742">
        <v>14641.02</v>
      </c>
      <c r="N402" s="843">
        <v>7892.82</v>
      </c>
      <c r="O402" s="710">
        <f t="shared" si="31"/>
        <v>51.303330000000003</v>
      </c>
      <c r="P402" s="711">
        <f t="shared" si="32"/>
        <v>1.6032290625000001</v>
      </c>
      <c r="Q402" s="712">
        <f t="shared" si="33"/>
        <v>112496.36345999999</v>
      </c>
    </row>
    <row r="403" spans="1:17" ht="15.75" customHeight="1">
      <c r="A403" s="722" t="s">
        <v>2243</v>
      </c>
      <c r="B403" s="723">
        <v>45100</v>
      </c>
      <c r="C403" s="724" t="s">
        <v>1597</v>
      </c>
      <c r="D403" s="724" t="s">
        <v>1598</v>
      </c>
      <c r="E403" s="725">
        <v>6.5</v>
      </c>
      <c r="F403" s="722" t="s">
        <v>1599</v>
      </c>
      <c r="G403" s="722" t="s">
        <v>1600</v>
      </c>
      <c r="H403" s="722" t="s">
        <v>1963</v>
      </c>
      <c r="I403" s="727">
        <v>14253</v>
      </c>
      <c r="J403" s="726" t="s">
        <v>1599</v>
      </c>
      <c r="K403" s="725">
        <v>3900</v>
      </c>
      <c r="L403" s="743">
        <f t="shared" si="34"/>
        <v>11271.06</v>
      </c>
      <c r="M403" s="730">
        <v>15171.06</v>
      </c>
      <c r="N403" s="841">
        <v>8420.0400000000009</v>
      </c>
      <c r="O403" s="710">
        <f t="shared" si="31"/>
        <v>54.730260000000008</v>
      </c>
      <c r="P403" s="711">
        <f t="shared" si="32"/>
        <v>1.7103206250000003</v>
      </c>
      <c r="Q403" s="712">
        <f t="shared" si="33"/>
        <v>120010.83012000001</v>
      </c>
    </row>
    <row r="404" spans="1:17" ht="15.75" customHeight="1">
      <c r="A404" s="731" t="s">
        <v>2244</v>
      </c>
      <c r="B404" s="732">
        <v>45103</v>
      </c>
      <c r="C404" s="733" t="s">
        <v>1597</v>
      </c>
      <c r="D404" s="733" t="s">
        <v>1598</v>
      </c>
      <c r="E404" s="734">
        <v>5.2</v>
      </c>
      <c r="F404" s="731" t="s">
        <v>1599</v>
      </c>
      <c r="G404" s="731" t="s">
        <v>1600</v>
      </c>
      <c r="H404" s="731" t="s">
        <v>1893</v>
      </c>
      <c r="I404" s="736">
        <v>2167</v>
      </c>
      <c r="J404" s="735" t="s">
        <v>1599</v>
      </c>
      <c r="K404" s="734">
        <v>2230</v>
      </c>
      <c r="L404" s="744">
        <f t="shared" si="34"/>
        <v>4155.6000000000004</v>
      </c>
      <c r="M404" s="739">
        <v>6385.6</v>
      </c>
      <c r="N404" s="895">
        <v>2808.9</v>
      </c>
      <c r="O404" s="710">
        <f t="shared" si="31"/>
        <v>14.60628</v>
      </c>
      <c r="P404" s="711">
        <f t="shared" si="32"/>
        <v>0.45644625</v>
      </c>
      <c r="Q404" s="712">
        <f t="shared" si="33"/>
        <v>6086.8863000000001</v>
      </c>
    </row>
    <row r="405" spans="1:17" ht="15.75" customHeight="1">
      <c r="A405" s="722" t="s">
        <v>2245</v>
      </c>
      <c r="B405" s="723">
        <v>45100</v>
      </c>
      <c r="C405" s="724" t="s">
        <v>1597</v>
      </c>
      <c r="D405" s="724" t="s">
        <v>1598</v>
      </c>
      <c r="E405" s="725">
        <v>7.1</v>
      </c>
      <c r="F405" s="722" t="s">
        <v>1599</v>
      </c>
      <c r="G405" s="722" t="s">
        <v>1600</v>
      </c>
      <c r="H405" s="722" t="s">
        <v>1798</v>
      </c>
      <c r="I405" s="727">
        <v>1931</v>
      </c>
      <c r="J405" s="726" t="s">
        <v>1599</v>
      </c>
      <c r="K405" s="728">
        <v>5271.2</v>
      </c>
      <c r="L405" s="743">
        <f t="shared" si="34"/>
        <v>954</v>
      </c>
      <c r="M405" s="730">
        <v>6225.2</v>
      </c>
      <c r="N405" s="841">
        <v>5271.2</v>
      </c>
      <c r="O405" s="710">
        <f t="shared" si="31"/>
        <v>37.425519999999999</v>
      </c>
      <c r="P405" s="711">
        <f t="shared" si="32"/>
        <v>1.1695475</v>
      </c>
      <c r="Q405" s="712">
        <f t="shared" si="33"/>
        <v>10178.687199999998</v>
      </c>
    </row>
    <row r="406" spans="1:17" ht="15.75" customHeight="1">
      <c r="A406" s="731" t="s">
        <v>2246</v>
      </c>
      <c r="B406" s="732">
        <v>45103</v>
      </c>
      <c r="C406" s="733" t="s">
        <v>1597</v>
      </c>
      <c r="D406" s="733" t="s">
        <v>1598</v>
      </c>
      <c r="E406" s="734">
        <v>5.3</v>
      </c>
      <c r="F406" s="731" t="s">
        <v>1599</v>
      </c>
      <c r="G406" s="731" t="s">
        <v>1600</v>
      </c>
      <c r="H406" s="731" t="s">
        <v>1807</v>
      </c>
      <c r="I406" s="736">
        <v>1734</v>
      </c>
      <c r="J406" s="735" t="s">
        <v>1599</v>
      </c>
      <c r="K406" s="734">
        <v>3650</v>
      </c>
      <c r="L406" s="744">
        <f t="shared" si="34"/>
        <v>13227</v>
      </c>
      <c r="M406" s="739">
        <v>16877</v>
      </c>
      <c r="N406" s="895">
        <v>10554.2</v>
      </c>
      <c r="O406" s="710">
        <f t="shared" si="31"/>
        <v>55.937260000000002</v>
      </c>
      <c r="P406" s="711">
        <f t="shared" si="32"/>
        <v>1.7480393750000001</v>
      </c>
      <c r="Q406" s="712">
        <f t="shared" si="33"/>
        <v>18300.982800000002</v>
      </c>
    </row>
    <row r="407" spans="1:17" ht="15.75" customHeight="1">
      <c r="A407" s="722" t="s">
        <v>2247</v>
      </c>
      <c r="B407" s="723">
        <v>45474</v>
      </c>
      <c r="C407" s="724" t="s">
        <v>1597</v>
      </c>
      <c r="D407" s="724" t="s">
        <v>1598</v>
      </c>
      <c r="E407" s="725">
        <v>7.1</v>
      </c>
      <c r="F407" s="722" t="s">
        <v>1599</v>
      </c>
      <c r="G407" s="722" t="s">
        <v>1600</v>
      </c>
      <c r="H407" s="722" t="s">
        <v>1844</v>
      </c>
      <c r="I407" s="727">
        <v>5727</v>
      </c>
      <c r="J407" s="726" t="s">
        <v>1599</v>
      </c>
      <c r="K407" s="728">
        <v>2215</v>
      </c>
      <c r="L407" s="743">
        <v>6764.73</v>
      </c>
      <c r="M407" s="741">
        <v>8979.73</v>
      </c>
      <c r="N407" s="841">
        <v>5729.89</v>
      </c>
      <c r="O407" s="710">
        <f t="shared" si="31"/>
        <v>40.682218999999996</v>
      </c>
      <c r="P407" s="711">
        <f t="shared" si="32"/>
        <v>1.2713193437499999</v>
      </c>
      <c r="Q407" s="712">
        <f t="shared" si="33"/>
        <v>32815.080030000005</v>
      </c>
    </row>
    <row r="408" spans="1:17" ht="15.75" customHeight="1">
      <c r="A408" s="731" t="s">
        <v>2248</v>
      </c>
      <c r="B408" s="732">
        <v>45474</v>
      </c>
      <c r="C408" s="733" t="s">
        <v>1597</v>
      </c>
      <c r="D408" s="733" t="s">
        <v>1598</v>
      </c>
      <c r="E408" s="734">
        <v>7.1</v>
      </c>
      <c r="F408" s="731" t="s">
        <v>1599</v>
      </c>
      <c r="G408" s="731" t="s">
        <v>1600</v>
      </c>
      <c r="H408" s="731" t="s">
        <v>1846</v>
      </c>
      <c r="I408" s="736">
        <v>5317</v>
      </c>
      <c r="J408" s="735" t="s">
        <v>1599</v>
      </c>
      <c r="K408" s="737">
        <v>2220</v>
      </c>
      <c r="L408" s="744">
        <v>6689.2999999999993</v>
      </c>
      <c r="M408" s="742">
        <v>8909.2999999999993</v>
      </c>
      <c r="N408" s="895">
        <v>5473.02</v>
      </c>
      <c r="O408" s="710">
        <f t="shared" si="31"/>
        <v>38.858442000000004</v>
      </c>
      <c r="P408" s="711">
        <f t="shared" si="32"/>
        <v>1.2143263125000001</v>
      </c>
      <c r="Q408" s="712">
        <f t="shared" si="33"/>
        <v>29100.047340000005</v>
      </c>
    </row>
    <row r="409" spans="1:17" ht="15.75" customHeight="1">
      <c r="A409" s="722" t="s">
        <v>2249</v>
      </c>
      <c r="B409" s="723">
        <v>45474</v>
      </c>
      <c r="C409" s="724" t="s">
        <v>1597</v>
      </c>
      <c r="D409" s="724" t="s">
        <v>1598</v>
      </c>
      <c r="E409" s="725">
        <v>7.1</v>
      </c>
      <c r="F409" s="722" t="s">
        <v>1599</v>
      </c>
      <c r="G409" s="722" t="s">
        <v>1600</v>
      </c>
      <c r="H409" s="722" t="s">
        <v>1838</v>
      </c>
      <c r="I409" s="727">
        <v>4972</v>
      </c>
      <c r="J409" s="726" t="s">
        <v>1599</v>
      </c>
      <c r="K409" s="728">
        <v>2100</v>
      </c>
      <c r="L409" s="743">
        <v>6061.3</v>
      </c>
      <c r="M409" s="741">
        <v>8161.3</v>
      </c>
      <c r="N409" s="841">
        <v>4901.7</v>
      </c>
      <c r="O409" s="710">
        <f t="shared" si="31"/>
        <v>34.802070000000001</v>
      </c>
      <c r="P409" s="711">
        <f t="shared" si="32"/>
        <v>1.0875646875</v>
      </c>
      <c r="Q409" s="712">
        <f t="shared" si="33"/>
        <v>24371.252399999998</v>
      </c>
    </row>
    <row r="410" spans="1:17" ht="15.75" customHeight="1">
      <c r="A410" s="731" t="s">
        <v>2250</v>
      </c>
      <c r="B410" s="732">
        <v>45104</v>
      </c>
      <c r="C410" s="733" t="s">
        <v>1597</v>
      </c>
      <c r="D410" s="733" t="s">
        <v>1598</v>
      </c>
      <c r="E410" s="734">
        <v>6.2</v>
      </c>
      <c r="F410" s="731" t="s">
        <v>1599</v>
      </c>
      <c r="G410" s="731" t="s">
        <v>1600</v>
      </c>
      <c r="H410" s="731" t="s">
        <v>1828</v>
      </c>
      <c r="I410" s="736">
        <v>7448</v>
      </c>
      <c r="J410" s="735" t="s">
        <v>1599</v>
      </c>
      <c r="K410" s="734">
        <v>3870</v>
      </c>
      <c r="L410" s="744">
        <f t="shared" ref="L410:L420" si="35">M410-K410</f>
        <v>20702</v>
      </c>
      <c r="M410" s="739">
        <v>24572</v>
      </c>
      <c r="N410" s="895">
        <v>16560</v>
      </c>
      <c r="O410" s="710">
        <f t="shared" si="31"/>
        <v>102.672</v>
      </c>
      <c r="P410" s="711">
        <f t="shared" si="32"/>
        <v>3.2084999999999999</v>
      </c>
      <c r="Q410" s="712">
        <f t="shared" si="33"/>
        <v>123338.88</v>
      </c>
    </row>
    <row r="411" spans="1:17" ht="15.75" customHeight="1">
      <c r="A411" s="722" t="s">
        <v>2251</v>
      </c>
      <c r="B411" s="723">
        <v>45104</v>
      </c>
      <c r="C411" s="724" t="s">
        <v>1597</v>
      </c>
      <c r="D411" s="724" t="s">
        <v>1598</v>
      </c>
      <c r="E411" s="725">
        <v>6.2</v>
      </c>
      <c r="F411" s="722" t="s">
        <v>1599</v>
      </c>
      <c r="G411" s="722" t="s">
        <v>1600</v>
      </c>
      <c r="H411" s="722" t="s">
        <v>1828</v>
      </c>
      <c r="I411" s="727">
        <v>7448</v>
      </c>
      <c r="J411" s="726" t="s">
        <v>1599</v>
      </c>
      <c r="K411" s="725">
        <v>3910</v>
      </c>
      <c r="L411" s="743">
        <f t="shared" si="35"/>
        <v>17952</v>
      </c>
      <c r="M411" s="730">
        <v>21862</v>
      </c>
      <c r="N411" s="841">
        <v>8572</v>
      </c>
      <c r="O411" s="710">
        <f t="shared" si="31"/>
        <v>53.1464</v>
      </c>
      <c r="P411" s="711">
        <f t="shared" si="32"/>
        <v>1.660825</v>
      </c>
      <c r="Q411" s="712">
        <f t="shared" si="33"/>
        <v>63844.256000000001</v>
      </c>
    </row>
    <row r="412" spans="1:17" ht="15.75" customHeight="1">
      <c r="A412" s="731" t="s">
        <v>2252</v>
      </c>
      <c r="B412" s="732">
        <v>45104</v>
      </c>
      <c r="C412" s="733" t="s">
        <v>1597</v>
      </c>
      <c r="D412" s="733" t="s">
        <v>1598</v>
      </c>
      <c r="E412" s="734">
        <v>6.2</v>
      </c>
      <c r="F412" s="731" t="s">
        <v>1599</v>
      </c>
      <c r="G412" s="731" t="s">
        <v>1600</v>
      </c>
      <c r="H412" s="731" t="s">
        <v>1828</v>
      </c>
      <c r="I412" s="736">
        <v>7448</v>
      </c>
      <c r="J412" s="735" t="s">
        <v>1599</v>
      </c>
      <c r="K412" s="734">
        <v>3700</v>
      </c>
      <c r="L412" s="744">
        <f t="shared" si="35"/>
        <v>10057</v>
      </c>
      <c r="M412" s="739">
        <v>13757</v>
      </c>
      <c r="N412" s="895">
        <v>5400</v>
      </c>
      <c r="O412" s="710">
        <f t="shared" si="31"/>
        <v>33.479999999999997</v>
      </c>
      <c r="P412" s="711">
        <f t="shared" si="32"/>
        <v>1.0462499999999999</v>
      </c>
      <c r="Q412" s="712">
        <f t="shared" si="33"/>
        <v>40219.199999999997</v>
      </c>
    </row>
    <row r="413" spans="1:17" ht="15.75" customHeight="1">
      <c r="A413" s="722" t="s">
        <v>2253</v>
      </c>
      <c r="B413" s="723">
        <v>45104</v>
      </c>
      <c r="C413" s="724" t="s">
        <v>1597</v>
      </c>
      <c r="D413" s="724" t="s">
        <v>1598</v>
      </c>
      <c r="E413" s="725">
        <v>6.2</v>
      </c>
      <c r="F413" s="722" t="s">
        <v>1599</v>
      </c>
      <c r="G413" s="722" t="s">
        <v>1600</v>
      </c>
      <c r="H413" s="722" t="s">
        <v>1831</v>
      </c>
      <c r="I413" s="727">
        <v>7283</v>
      </c>
      <c r="J413" s="726" t="s">
        <v>1599</v>
      </c>
      <c r="K413" s="725">
        <v>3720</v>
      </c>
      <c r="L413" s="743">
        <f t="shared" si="35"/>
        <v>23917</v>
      </c>
      <c r="M413" s="725">
        <v>27637</v>
      </c>
      <c r="N413" s="841">
        <v>21103</v>
      </c>
      <c r="O413" s="710">
        <f t="shared" si="31"/>
        <v>130.83860000000001</v>
      </c>
      <c r="P413" s="711">
        <f t="shared" si="32"/>
        <v>4.0887062500000004</v>
      </c>
      <c r="Q413" s="712">
        <f t="shared" si="33"/>
        <v>153693.149</v>
      </c>
    </row>
    <row r="414" spans="1:17" ht="15.75" customHeight="1">
      <c r="A414" s="731" t="s">
        <v>2254</v>
      </c>
      <c r="B414" s="732">
        <v>45104</v>
      </c>
      <c r="C414" s="733" t="s">
        <v>1597</v>
      </c>
      <c r="D414" s="733" t="s">
        <v>1598</v>
      </c>
      <c r="E414" s="734">
        <v>6.2</v>
      </c>
      <c r="F414" s="731" t="s">
        <v>1599</v>
      </c>
      <c r="G414" s="731" t="s">
        <v>1600</v>
      </c>
      <c r="H414" s="731" t="s">
        <v>1831</v>
      </c>
      <c r="I414" s="736">
        <v>7283</v>
      </c>
      <c r="J414" s="735" t="s">
        <v>1599</v>
      </c>
      <c r="K414" s="734">
        <v>3680</v>
      </c>
      <c r="L414" s="744">
        <f t="shared" si="35"/>
        <v>23952</v>
      </c>
      <c r="M414" s="734">
        <v>27632</v>
      </c>
      <c r="N414" s="895">
        <v>18541</v>
      </c>
      <c r="O414" s="710">
        <f t="shared" si="31"/>
        <v>114.9542</v>
      </c>
      <c r="P414" s="711">
        <f t="shared" si="32"/>
        <v>3.59231875</v>
      </c>
      <c r="Q414" s="712">
        <f t="shared" si="33"/>
        <v>135034.103</v>
      </c>
    </row>
    <row r="415" spans="1:17" ht="15.75" customHeight="1">
      <c r="A415" s="722" t="s">
        <v>2255</v>
      </c>
      <c r="B415" s="723">
        <v>45104</v>
      </c>
      <c r="C415" s="724" t="s">
        <v>1597</v>
      </c>
      <c r="D415" s="724" t="s">
        <v>1598</v>
      </c>
      <c r="E415" s="725">
        <v>6.2</v>
      </c>
      <c r="F415" s="722" t="s">
        <v>1599</v>
      </c>
      <c r="G415" s="722" t="s">
        <v>1600</v>
      </c>
      <c r="H415" s="722" t="s">
        <v>1831</v>
      </c>
      <c r="I415" s="727">
        <v>7283</v>
      </c>
      <c r="J415" s="726" t="s">
        <v>1599</v>
      </c>
      <c r="K415" s="725">
        <v>3680</v>
      </c>
      <c r="L415" s="743">
        <f t="shared" si="35"/>
        <v>20777</v>
      </c>
      <c r="M415" s="730">
        <v>24457</v>
      </c>
      <c r="N415" s="841">
        <v>16411</v>
      </c>
      <c r="O415" s="710">
        <f t="shared" si="31"/>
        <v>101.7482</v>
      </c>
      <c r="P415" s="711">
        <f t="shared" si="32"/>
        <v>3.1796312499999999</v>
      </c>
      <c r="Q415" s="712">
        <f t="shared" si="33"/>
        <v>119521.31299999999</v>
      </c>
    </row>
    <row r="416" spans="1:17" ht="15.75" customHeight="1">
      <c r="A416" s="731" t="s">
        <v>2256</v>
      </c>
      <c r="B416" s="732">
        <v>45103</v>
      </c>
      <c r="C416" s="733" t="s">
        <v>1597</v>
      </c>
      <c r="D416" s="733" t="s">
        <v>1598</v>
      </c>
      <c r="E416" s="734">
        <v>7.1</v>
      </c>
      <c r="F416" s="731" t="s">
        <v>1599</v>
      </c>
      <c r="G416" s="731" t="s">
        <v>1600</v>
      </c>
      <c r="H416" s="731" t="s">
        <v>1836</v>
      </c>
      <c r="I416" s="736">
        <v>14544</v>
      </c>
      <c r="J416" s="735" t="s">
        <v>1599</v>
      </c>
      <c r="K416" s="734">
        <v>3830</v>
      </c>
      <c r="L416" s="744">
        <f t="shared" si="35"/>
        <v>14839</v>
      </c>
      <c r="M416" s="739">
        <v>18669</v>
      </c>
      <c r="N416" s="895">
        <v>12511.2</v>
      </c>
      <c r="O416" s="710">
        <f t="shared" si="31"/>
        <v>88.829520000000002</v>
      </c>
      <c r="P416" s="711">
        <f t="shared" si="32"/>
        <v>2.7759225000000001</v>
      </c>
      <c r="Q416" s="712">
        <f t="shared" si="33"/>
        <v>181962.8928</v>
      </c>
    </row>
    <row r="417" spans="1:17" ht="15.75" customHeight="1">
      <c r="A417" s="722" t="s">
        <v>2257</v>
      </c>
      <c r="B417" s="723">
        <v>45103</v>
      </c>
      <c r="C417" s="724" t="s">
        <v>1597</v>
      </c>
      <c r="D417" s="724" t="s">
        <v>1598</v>
      </c>
      <c r="E417" s="725">
        <v>7.1</v>
      </c>
      <c r="F417" s="722" t="s">
        <v>1599</v>
      </c>
      <c r="G417" s="722" t="s">
        <v>1600</v>
      </c>
      <c r="H417" s="722" t="s">
        <v>1836</v>
      </c>
      <c r="I417" s="727">
        <v>14544</v>
      </c>
      <c r="J417" s="726" t="s">
        <v>1599</v>
      </c>
      <c r="K417" s="725">
        <v>3700</v>
      </c>
      <c r="L417" s="743">
        <f t="shared" si="35"/>
        <v>14839</v>
      </c>
      <c r="M417" s="730">
        <v>18539</v>
      </c>
      <c r="N417" s="841">
        <v>12511.2</v>
      </c>
      <c r="O417" s="710">
        <f t="shared" si="31"/>
        <v>88.829520000000002</v>
      </c>
      <c r="P417" s="711">
        <f t="shared" si="32"/>
        <v>2.7759225000000001</v>
      </c>
      <c r="Q417" s="712">
        <f t="shared" si="33"/>
        <v>181962.8928</v>
      </c>
    </row>
    <row r="418" spans="1:17" ht="15.75" customHeight="1">
      <c r="A418" s="731" t="s">
        <v>2258</v>
      </c>
      <c r="B418" s="732">
        <v>45106</v>
      </c>
      <c r="C418" s="733" t="s">
        <v>1597</v>
      </c>
      <c r="D418" s="733" t="s">
        <v>1598</v>
      </c>
      <c r="E418" s="734">
        <v>6</v>
      </c>
      <c r="F418" s="731" t="s">
        <v>1599</v>
      </c>
      <c r="G418" s="731" t="s">
        <v>1600</v>
      </c>
      <c r="H418" s="731" t="s">
        <v>1971</v>
      </c>
      <c r="I418" s="736">
        <v>4358</v>
      </c>
      <c r="J418" s="735" t="s">
        <v>1599</v>
      </c>
      <c r="K418" s="734">
        <v>3750</v>
      </c>
      <c r="L418" s="744">
        <f t="shared" si="35"/>
        <v>12033.86</v>
      </c>
      <c r="M418" s="734">
        <v>15783.86</v>
      </c>
      <c r="N418" s="895">
        <v>9977.44</v>
      </c>
      <c r="O418" s="710">
        <f t="shared" si="31"/>
        <v>59.864640000000001</v>
      </c>
      <c r="P418" s="711">
        <f t="shared" si="32"/>
        <v>1.87077</v>
      </c>
      <c r="Q418" s="712">
        <f t="shared" si="33"/>
        <v>43481.683520000006</v>
      </c>
    </row>
    <row r="419" spans="1:17" ht="15.75" customHeight="1">
      <c r="A419" s="722" t="s">
        <v>2259</v>
      </c>
      <c r="B419" s="723">
        <v>45105</v>
      </c>
      <c r="C419" s="724" t="s">
        <v>1597</v>
      </c>
      <c r="D419" s="724" t="s">
        <v>1598</v>
      </c>
      <c r="E419" s="725">
        <v>5.2</v>
      </c>
      <c r="F419" s="722" t="s">
        <v>1599</v>
      </c>
      <c r="G419" s="722" t="s">
        <v>1600</v>
      </c>
      <c r="H419" s="722" t="s">
        <v>1818</v>
      </c>
      <c r="I419" s="727">
        <v>14000</v>
      </c>
      <c r="J419" s="726" t="s">
        <v>1599</v>
      </c>
      <c r="K419" s="725">
        <v>3800</v>
      </c>
      <c r="L419" s="743">
        <f t="shared" si="35"/>
        <v>18419.189999999999</v>
      </c>
      <c r="M419" s="725">
        <v>22219.19</v>
      </c>
      <c r="N419" s="841">
        <v>16103.95</v>
      </c>
      <c r="O419" s="710">
        <f t="shared" si="31"/>
        <v>83.74054000000001</v>
      </c>
      <c r="P419" s="711">
        <f t="shared" si="32"/>
        <v>2.6168918750000003</v>
      </c>
      <c r="Q419" s="712">
        <f t="shared" si="33"/>
        <v>225455.3</v>
      </c>
    </row>
    <row r="420" spans="1:17" ht="15.75" customHeight="1">
      <c r="A420" s="731" t="s">
        <v>2260</v>
      </c>
      <c r="B420" s="732">
        <v>45105</v>
      </c>
      <c r="C420" s="733" t="s">
        <v>1597</v>
      </c>
      <c r="D420" s="733" t="s">
        <v>1598</v>
      </c>
      <c r="E420" s="734">
        <v>5.2</v>
      </c>
      <c r="F420" s="731" t="s">
        <v>1599</v>
      </c>
      <c r="G420" s="731" t="s">
        <v>1600</v>
      </c>
      <c r="H420" s="731" t="s">
        <v>1818</v>
      </c>
      <c r="I420" s="736">
        <v>14000</v>
      </c>
      <c r="J420" s="735" t="s">
        <v>1599</v>
      </c>
      <c r="K420" s="734">
        <v>3700</v>
      </c>
      <c r="L420" s="744">
        <f t="shared" si="35"/>
        <v>15822.919999999998</v>
      </c>
      <c r="M420" s="734">
        <v>19522.919999999998</v>
      </c>
      <c r="N420" s="895">
        <v>13740.3</v>
      </c>
      <c r="O420" s="710">
        <f t="shared" si="31"/>
        <v>71.449559999999991</v>
      </c>
      <c r="P420" s="711">
        <f t="shared" si="32"/>
        <v>2.2327987499999997</v>
      </c>
      <c r="Q420" s="712">
        <f t="shared" si="33"/>
        <v>192364.2</v>
      </c>
    </row>
    <row r="421" spans="1:17" ht="15.75" customHeight="1">
      <c r="A421" s="722" t="s">
        <v>2261</v>
      </c>
      <c r="B421" s="723">
        <v>45474</v>
      </c>
      <c r="C421" s="724" t="s">
        <v>1597</v>
      </c>
      <c r="D421" s="724" t="s">
        <v>1598</v>
      </c>
      <c r="E421" s="725">
        <v>7.1</v>
      </c>
      <c r="F421" s="722" t="s">
        <v>1599</v>
      </c>
      <c r="G421" s="722" t="s">
        <v>1600</v>
      </c>
      <c r="H421" s="722" t="s">
        <v>1912</v>
      </c>
      <c r="I421" s="727">
        <v>4929</v>
      </c>
      <c r="J421" s="726" t="s">
        <v>1599</v>
      </c>
      <c r="K421" s="728">
        <v>3640</v>
      </c>
      <c r="L421" s="743">
        <v>16270.419999999998</v>
      </c>
      <c r="M421" s="741">
        <v>19910.419999999998</v>
      </c>
      <c r="N421" s="841">
        <v>14643.43</v>
      </c>
      <c r="O421" s="710">
        <f t="shared" si="31"/>
        <v>103.96835300000001</v>
      </c>
      <c r="P421" s="711">
        <f t="shared" si="32"/>
        <v>3.2490110312500002</v>
      </c>
      <c r="Q421" s="712">
        <f t="shared" si="33"/>
        <v>72177.466469999999</v>
      </c>
    </row>
    <row r="422" spans="1:17" ht="15.75" customHeight="1">
      <c r="A422" s="731" t="s">
        <v>2262</v>
      </c>
      <c r="B422" s="732">
        <v>45474</v>
      </c>
      <c r="C422" s="733" t="s">
        <v>1597</v>
      </c>
      <c r="D422" s="733" t="s">
        <v>1598</v>
      </c>
      <c r="E422" s="734">
        <v>7.1</v>
      </c>
      <c r="F422" s="731" t="s">
        <v>1599</v>
      </c>
      <c r="G422" s="731" t="s">
        <v>1600</v>
      </c>
      <c r="H422" s="731" t="s">
        <v>1912</v>
      </c>
      <c r="I422" s="736">
        <v>4929</v>
      </c>
      <c r="J422" s="735" t="s">
        <v>1599</v>
      </c>
      <c r="K422" s="737">
        <v>3740</v>
      </c>
      <c r="L422" s="744">
        <v>13151.36</v>
      </c>
      <c r="M422" s="742">
        <v>16891.36</v>
      </c>
      <c r="N422" s="895">
        <v>10758.84</v>
      </c>
      <c r="O422" s="710">
        <f t="shared" si="31"/>
        <v>76.38776399999999</v>
      </c>
      <c r="P422" s="711">
        <f t="shared" si="32"/>
        <v>2.3871176249999997</v>
      </c>
      <c r="Q422" s="712">
        <f t="shared" si="33"/>
        <v>53030.322359999998</v>
      </c>
    </row>
    <row r="423" spans="1:17" ht="15.75" customHeight="1">
      <c r="A423" s="722" t="s">
        <v>2263</v>
      </c>
      <c r="B423" s="723">
        <v>45104</v>
      </c>
      <c r="C423" s="724" t="s">
        <v>1597</v>
      </c>
      <c r="D423" s="724" t="s">
        <v>1598</v>
      </c>
      <c r="E423" s="725">
        <v>7.1</v>
      </c>
      <c r="F423" s="722" t="s">
        <v>1599</v>
      </c>
      <c r="G423" s="722" t="s">
        <v>1600</v>
      </c>
      <c r="H423" s="722" t="s">
        <v>1893</v>
      </c>
      <c r="I423" s="727">
        <v>2167</v>
      </c>
      <c r="J423" s="726" t="s">
        <v>1599</v>
      </c>
      <c r="K423" s="725">
        <v>2180</v>
      </c>
      <c r="L423" s="743">
        <f t="shared" ref="L423:L439" si="36">M423-K423</f>
        <v>4483.8999999999996</v>
      </c>
      <c r="M423" s="730">
        <v>6663.9</v>
      </c>
      <c r="N423" s="841">
        <v>3363.45</v>
      </c>
      <c r="O423" s="710">
        <f t="shared" si="31"/>
        <v>23.880495</v>
      </c>
      <c r="P423" s="711">
        <f t="shared" si="32"/>
        <v>0.74626546874999999</v>
      </c>
      <c r="Q423" s="712">
        <f t="shared" si="33"/>
        <v>7288.5961499999994</v>
      </c>
    </row>
    <row r="424" spans="1:17" ht="15.75" customHeight="1">
      <c r="A424" s="731" t="s">
        <v>2264</v>
      </c>
      <c r="B424" s="732">
        <v>45104</v>
      </c>
      <c r="C424" s="733" t="s">
        <v>1597</v>
      </c>
      <c r="D424" s="733" t="s">
        <v>1598</v>
      </c>
      <c r="E424" s="734">
        <v>7.1</v>
      </c>
      <c r="F424" s="731" t="s">
        <v>1599</v>
      </c>
      <c r="G424" s="731" t="s">
        <v>1600</v>
      </c>
      <c r="H424" s="731" t="s">
        <v>1893</v>
      </c>
      <c r="I424" s="736">
        <v>2167</v>
      </c>
      <c r="J424" s="735" t="s">
        <v>1599</v>
      </c>
      <c r="K424" s="734">
        <v>2210</v>
      </c>
      <c r="L424" s="744">
        <f t="shared" si="36"/>
        <v>4483.8999999999996</v>
      </c>
      <c r="M424" s="739">
        <v>6693.9</v>
      </c>
      <c r="N424" s="895">
        <v>3363.45</v>
      </c>
      <c r="O424" s="710">
        <f t="shared" si="31"/>
        <v>23.880495</v>
      </c>
      <c r="P424" s="711">
        <f t="shared" si="32"/>
        <v>0.74626546874999999</v>
      </c>
      <c r="Q424" s="712">
        <f t="shared" si="33"/>
        <v>7288.5961499999994</v>
      </c>
    </row>
    <row r="425" spans="1:17" ht="15.75" customHeight="1">
      <c r="A425" s="722" t="s">
        <v>2265</v>
      </c>
      <c r="B425" s="723">
        <v>45106</v>
      </c>
      <c r="C425" s="724" t="s">
        <v>1597</v>
      </c>
      <c r="D425" s="724" t="s">
        <v>1598</v>
      </c>
      <c r="E425" s="725">
        <v>7.1</v>
      </c>
      <c r="F425" s="722" t="s">
        <v>1599</v>
      </c>
      <c r="G425" s="722" t="s">
        <v>1600</v>
      </c>
      <c r="H425" s="722" t="s">
        <v>1836</v>
      </c>
      <c r="I425" s="727">
        <v>14544</v>
      </c>
      <c r="J425" s="726" t="s">
        <v>1599</v>
      </c>
      <c r="K425" s="725">
        <v>3700</v>
      </c>
      <c r="L425" s="743">
        <f t="shared" si="36"/>
        <v>17889.099999999999</v>
      </c>
      <c r="M425" s="725">
        <v>21589.1</v>
      </c>
      <c r="N425" s="841">
        <v>14665.2</v>
      </c>
      <c r="O425" s="710">
        <f t="shared" si="31"/>
        <v>104.12291999999999</v>
      </c>
      <c r="P425" s="711">
        <f t="shared" si="32"/>
        <v>3.2538412499999998</v>
      </c>
      <c r="Q425" s="712">
        <f t="shared" si="33"/>
        <v>213290.66880000001</v>
      </c>
    </row>
    <row r="426" spans="1:17" ht="15.75" customHeight="1">
      <c r="A426" s="722" t="s">
        <v>2266</v>
      </c>
      <c r="B426" s="723">
        <v>45112</v>
      </c>
      <c r="C426" s="724" t="s">
        <v>1597</v>
      </c>
      <c r="D426" s="724" t="s">
        <v>1598</v>
      </c>
      <c r="E426" s="725">
        <v>4.5</v>
      </c>
      <c r="F426" s="722" t="s">
        <v>1599</v>
      </c>
      <c r="G426" s="722" t="s">
        <v>1600</v>
      </c>
      <c r="H426" s="722" t="s">
        <v>1828</v>
      </c>
      <c r="I426" s="727">
        <v>7448</v>
      </c>
      <c r="J426" s="726" t="s">
        <v>1599</v>
      </c>
      <c r="K426" s="728">
        <v>3840</v>
      </c>
      <c r="L426" s="743">
        <f t="shared" si="36"/>
        <v>22682</v>
      </c>
      <c r="M426" s="741">
        <v>26522</v>
      </c>
      <c r="N426" s="842">
        <v>18612</v>
      </c>
      <c r="O426" s="710">
        <f t="shared" si="31"/>
        <v>83.754000000000005</v>
      </c>
      <c r="P426" s="711">
        <f t="shared" si="32"/>
        <v>2.6173125000000002</v>
      </c>
      <c r="Q426" s="712">
        <f t="shared" si="33"/>
        <v>138622.17600000001</v>
      </c>
    </row>
    <row r="427" spans="1:17" ht="15.75" customHeight="1">
      <c r="A427" s="731" t="s">
        <v>2267</v>
      </c>
      <c r="B427" s="732">
        <v>45112</v>
      </c>
      <c r="C427" s="733" t="s">
        <v>1597</v>
      </c>
      <c r="D427" s="733" t="s">
        <v>1598</v>
      </c>
      <c r="E427" s="734">
        <v>4.5</v>
      </c>
      <c r="F427" s="731" t="s">
        <v>1599</v>
      </c>
      <c r="G427" s="731" t="s">
        <v>1600</v>
      </c>
      <c r="H427" s="731" t="s">
        <v>1828</v>
      </c>
      <c r="I427" s="736">
        <v>7448</v>
      </c>
      <c r="J427" s="735" t="s">
        <v>1599</v>
      </c>
      <c r="K427" s="737">
        <v>3640</v>
      </c>
      <c r="L427" s="744">
        <f t="shared" si="36"/>
        <v>23802</v>
      </c>
      <c r="M427" s="742">
        <v>27442</v>
      </c>
      <c r="N427" s="843">
        <v>20734</v>
      </c>
      <c r="O427" s="710">
        <f t="shared" si="31"/>
        <v>93.302999999999997</v>
      </c>
      <c r="P427" s="711">
        <f t="shared" si="32"/>
        <v>2.9157187499999999</v>
      </c>
      <c r="Q427" s="712">
        <f t="shared" si="33"/>
        <v>154426.83199999999</v>
      </c>
    </row>
    <row r="428" spans="1:17" ht="15.75" customHeight="1">
      <c r="A428" s="722" t="s">
        <v>2268</v>
      </c>
      <c r="B428" s="723">
        <v>45108</v>
      </c>
      <c r="C428" s="724" t="s">
        <v>1597</v>
      </c>
      <c r="D428" s="724" t="s">
        <v>1598</v>
      </c>
      <c r="E428" s="725">
        <v>2.8</v>
      </c>
      <c r="F428" s="722" t="s">
        <v>1599</v>
      </c>
      <c r="G428" s="722" t="s">
        <v>1600</v>
      </c>
      <c r="H428" s="722" t="s">
        <v>1836</v>
      </c>
      <c r="I428" s="727">
        <v>14544</v>
      </c>
      <c r="J428" s="726" t="s">
        <v>1599</v>
      </c>
      <c r="K428" s="728">
        <v>3820</v>
      </c>
      <c r="L428" s="743">
        <f t="shared" si="36"/>
        <v>14839</v>
      </c>
      <c r="M428" s="741">
        <v>18659</v>
      </c>
      <c r="N428" s="842">
        <v>12511.2</v>
      </c>
      <c r="O428" s="710">
        <f t="shared" si="31"/>
        <v>35.031359999999999</v>
      </c>
      <c r="P428" s="711">
        <f t="shared" si="32"/>
        <v>1.09473</v>
      </c>
      <c r="Q428" s="712">
        <f t="shared" si="33"/>
        <v>181962.8928</v>
      </c>
    </row>
    <row r="429" spans="1:17" ht="15.75" customHeight="1">
      <c r="A429" s="731" t="s">
        <v>2269</v>
      </c>
      <c r="B429" s="732">
        <v>45108</v>
      </c>
      <c r="C429" s="733" t="s">
        <v>1597</v>
      </c>
      <c r="D429" s="733" t="s">
        <v>1598</v>
      </c>
      <c r="E429" s="734">
        <v>2.8</v>
      </c>
      <c r="F429" s="731" t="s">
        <v>1599</v>
      </c>
      <c r="G429" s="731" t="s">
        <v>1600</v>
      </c>
      <c r="H429" s="731" t="s">
        <v>1836</v>
      </c>
      <c r="I429" s="736">
        <v>14544</v>
      </c>
      <c r="J429" s="735" t="s">
        <v>1599</v>
      </c>
      <c r="K429" s="737">
        <v>3750</v>
      </c>
      <c r="L429" s="744">
        <f t="shared" si="36"/>
        <v>187867</v>
      </c>
      <c r="M429" s="742">
        <v>191617</v>
      </c>
      <c r="N429" s="843">
        <v>12090</v>
      </c>
      <c r="O429" s="710">
        <f t="shared" si="31"/>
        <v>33.851999999999997</v>
      </c>
      <c r="P429" s="711">
        <f t="shared" si="32"/>
        <v>1.0578749999999999</v>
      </c>
      <c r="Q429" s="712">
        <f t="shared" si="33"/>
        <v>175836.96</v>
      </c>
    </row>
    <row r="430" spans="1:17" ht="15.75" customHeight="1">
      <c r="A430" s="722" t="s">
        <v>2270</v>
      </c>
      <c r="B430" s="723">
        <v>45112</v>
      </c>
      <c r="C430" s="724" t="s">
        <v>1597</v>
      </c>
      <c r="D430" s="724" t="s">
        <v>1598</v>
      </c>
      <c r="E430" s="725">
        <v>3.6</v>
      </c>
      <c r="F430" s="722" t="s">
        <v>1599</v>
      </c>
      <c r="G430" s="722" t="s">
        <v>1600</v>
      </c>
      <c r="H430" s="722" t="s">
        <v>1976</v>
      </c>
      <c r="I430" s="727">
        <v>4608</v>
      </c>
      <c r="J430" s="726" t="s">
        <v>1599</v>
      </c>
      <c r="K430" s="728">
        <v>2180</v>
      </c>
      <c r="L430" s="743">
        <f t="shared" si="36"/>
        <v>5500.1</v>
      </c>
      <c r="M430" s="730">
        <v>7680.1</v>
      </c>
      <c r="N430" s="842">
        <v>4312.4399999999996</v>
      </c>
      <c r="O430" s="710">
        <f t="shared" si="31"/>
        <v>15.524784</v>
      </c>
      <c r="P430" s="711">
        <f t="shared" si="32"/>
        <v>0.48514950000000001</v>
      </c>
      <c r="Q430" s="712">
        <f t="shared" si="33"/>
        <v>19871.72352</v>
      </c>
    </row>
    <row r="431" spans="1:17" ht="15.75" customHeight="1">
      <c r="A431" s="731" t="s">
        <v>2271</v>
      </c>
      <c r="B431" s="732">
        <v>45108</v>
      </c>
      <c r="C431" s="733" t="s">
        <v>1597</v>
      </c>
      <c r="D431" s="733" t="s">
        <v>1598</v>
      </c>
      <c r="E431" s="734">
        <v>2.8</v>
      </c>
      <c r="F431" s="731" t="s">
        <v>1599</v>
      </c>
      <c r="G431" s="731" t="s">
        <v>1600</v>
      </c>
      <c r="H431" s="731" t="s">
        <v>1880</v>
      </c>
      <c r="I431" s="736">
        <v>13558</v>
      </c>
      <c r="J431" s="735" t="s">
        <v>1599</v>
      </c>
      <c r="K431" s="737">
        <v>3670</v>
      </c>
      <c r="L431" s="744">
        <f t="shared" si="36"/>
        <v>9586.5</v>
      </c>
      <c r="M431" s="742">
        <v>13256.5</v>
      </c>
      <c r="N431" s="843">
        <v>6403.5</v>
      </c>
      <c r="O431" s="710">
        <f t="shared" si="31"/>
        <v>17.9298</v>
      </c>
      <c r="P431" s="711">
        <f t="shared" si="32"/>
        <v>0.56030625000000001</v>
      </c>
      <c r="Q431" s="712">
        <f t="shared" si="33"/>
        <v>86818.653000000006</v>
      </c>
    </row>
    <row r="432" spans="1:17" ht="15.75" customHeight="1">
      <c r="A432" s="722" t="s">
        <v>2272</v>
      </c>
      <c r="B432" s="723">
        <v>45110</v>
      </c>
      <c r="C432" s="724" t="s">
        <v>1597</v>
      </c>
      <c r="D432" s="724" t="s">
        <v>1598</v>
      </c>
      <c r="E432" s="725">
        <v>6.2</v>
      </c>
      <c r="F432" s="722" t="s">
        <v>1599</v>
      </c>
      <c r="G432" s="722" t="s">
        <v>1600</v>
      </c>
      <c r="H432" s="722" t="s">
        <v>1836</v>
      </c>
      <c r="I432" s="727">
        <v>14544</v>
      </c>
      <c r="J432" s="726" t="s">
        <v>1599</v>
      </c>
      <c r="K432" s="728">
        <v>3750</v>
      </c>
      <c r="L432" s="743">
        <f t="shared" si="36"/>
        <v>19071.599999999999</v>
      </c>
      <c r="M432" s="741">
        <v>22821.599999999999</v>
      </c>
      <c r="N432" s="842">
        <v>15602.4</v>
      </c>
      <c r="O432" s="710">
        <f t="shared" si="31"/>
        <v>96.734880000000004</v>
      </c>
      <c r="P432" s="711">
        <f t="shared" si="32"/>
        <v>3.0229650000000001</v>
      </c>
      <c r="Q432" s="712">
        <f t="shared" si="33"/>
        <v>226921.30559999999</v>
      </c>
    </row>
    <row r="433" spans="1:17" ht="15.75" customHeight="1">
      <c r="A433" s="731" t="s">
        <v>2273</v>
      </c>
      <c r="B433" s="732">
        <v>45112</v>
      </c>
      <c r="C433" s="733" t="s">
        <v>1597</v>
      </c>
      <c r="D433" s="733" t="s">
        <v>1598</v>
      </c>
      <c r="E433" s="734">
        <v>6.2</v>
      </c>
      <c r="F433" s="731" t="s">
        <v>1599</v>
      </c>
      <c r="G433" s="731" t="s">
        <v>1600</v>
      </c>
      <c r="H433" s="731" t="s">
        <v>1818</v>
      </c>
      <c r="I433" s="736">
        <v>14000</v>
      </c>
      <c r="J433" s="735" t="s">
        <v>1599</v>
      </c>
      <c r="K433" s="737">
        <v>3700</v>
      </c>
      <c r="L433" s="744">
        <f t="shared" si="36"/>
        <v>17339.98</v>
      </c>
      <c r="M433" s="739">
        <v>21039.98</v>
      </c>
      <c r="N433" s="843">
        <v>15098.76</v>
      </c>
      <c r="O433" s="710">
        <f t="shared" si="31"/>
        <v>93.612312000000003</v>
      </c>
      <c r="P433" s="711">
        <f t="shared" si="32"/>
        <v>2.9253847500000001</v>
      </c>
      <c r="Q433" s="712">
        <f t="shared" si="33"/>
        <v>211382.64</v>
      </c>
    </row>
    <row r="434" spans="1:17" ht="15.75" customHeight="1">
      <c r="A434" s="722" t="s">
        <v>2274</v>
      </c>
      <c r="B434" s="723">
        <v>45110</v>
      </c>
      <c r="C434" s="724" t="s">
        <v>1597</v>
      </c>
      <c r="D434" s="724" t="s">
        <v>1598</v>
      </c>
      <c r="E434" s="725">
        <v>7.1</v>
      </c>
      <c r="F434" s="722" t="s">
        <v>1599</v>
      </c>
      <c r="G434" s="722" t="s">
        <v>1600</v>
      </c>
      <c r="H434" s="722" t="s">
        <v>1825</v>
      </c>
      <c r="I434" s="727">
        <v>15486</v>
      </c>
      <c r="J434" s="726" t="s">
        <v>1599</v>
      </c>
      <c r="K434" s="728">
        <v>3800</v>
      </c>
      <c r="L434" s="743">
        <f t="shared" si="36"/>
        <v>10716.3</v>
      </c>
      <c r="M434" s="741">
        <v>14516.3</v>
      </c>
      <c r="N434" s="842">
        <v>8229.4</v>
      </c>
      <c r="O434" s="710">
        <f t="shared" si="31"/>
        <v>58.428739999999998</v>
      </c>
      <c r="P434" s="711">
        <f t="shared" si="32"/>
        <v>1.8258981249999999</v>
      </c>
      <c r="Q434" s="712">
        <f t="shared" si="33"/>
        <v>127440.48839999999</v>
      </c>
    </row>
    <row r="435" spans="1:17" ht="15.75" customHeight="1">
      <c r="A435" s="731" t="s">
        <v>2275</v>
      </c>
      <c r="B435" s="732">
        <v>45113</v>
      </c>
      <c r="C435" s="733" t="s">
        <v>1597</v>
      </c>
      <c r="D435" s="733" t="s">
        <v>1598</v>
      </c>
      <c r="E435" s="734">
        <v>6.2</v>
      </c>
      <c r="F435" s="731" t="s">
        <v>1599</v>
      </c>
      <c r="G435" s="731" t="s">
        <v>1600</v>
      </c>
      <c r="H435" s="731" t="s">
        <v>1815</v>
      </c>
      <c r="I435" s="736">
        <v>17387</v>
      </c>
      <c r="J435" s="735" t="s">
        <v>1599</v>
      </c>
      <c r="K435" s="737">
        <v>3860</v>
      </c>
      <c r="L435" s="744">
        <f t="shared" si="36"/>
        <v>18903.73</v>
      </c>
      <c r="M435" s="742">
        <v>22763.73</v>
      </c>
      <c r="N435" s="843">
        <v>16582.22</v>
      </c>
      <c r="O435" s="710">
        <f t="shared" si="31"/>
        <v>102.80976400000002</v>
      </c>
      <c r="P435" s="711">
        <f t="shared" si="32"/>
        <v>3.2128051250000005</v>
      </c>
      <c r="Q435" s="712">
        <f t="shared" si="33"/>
        <v>288315.05914000003</v>
      </c>
    </row>
    <row r="436" spans="1:17" ht="15.75" customHeight="1">
      <c r="A436" s="722" t="s">
        <v>2276</v>
      </c>
      <c r="B436" s="723">
        <v>45112</v>
      </c>
      <c r="C436" s="724" t="s">
        <v>1597</v>
      </c>
      <c r="D436" s="724" t="s">
        <v>1598</v>
      </c>
      <c r="E436" s="725">
        <v>6.2</v>
      </c>
      <c r="F436" s="722" t="s">
        <v>1599</v>
      </c>
      <c r="G436" s="722" t="s">
        <v>1600</v>
      </c>
      <c r="H436" s="722" t="s">
        <v>1880</v>
      </c>
      <c r="I436" s="727">
        <v>13558</v>
      </c>
      <c r="J436" s="726" t="s">
        <v>1599</v>
      </c>
      <c r="K436" s="728">
        <v>3890</v>
      </c>
      <c r="L436" s="743">
        <f t="shared" si="36"/>
        <v>13603</v>
      </c>
      <c r="M436" s="730">
        <v>17493</v>
      </c>
      <c r="N436" s="842">
        <v>10854.5</v>
      </c>
      <c r="O436" s="710">
        <f t="shared" si="31"/>
        <v>67.297900000000013</v>
      </c>
      <c r="P436" s="711">
        <f t="shared" si="32"/>
        <v>2.1030593750000004</v>
      </c>
      <c r="Q436" s="712">
        <f t="shared" si="33"/>
        <v>147165.31099999999</v>
      </c>
    </row>
    <row r="437" spans="1:17" ht="15.75" customHeight="1">
      <c r="A437" s="731" t="s">
        <v>2277</v>
      </c>
      <c r="B437" s="732">
        <v>45113</v>
      </c>
      <c r="C437" s="733" t="s">
        <v>1597</v>
      </c>
      <c r="D437" s="733" t="s">
        <v>1598</v>
      </c>
      <c r="E437" s="734">
        <v>6.2</v>
      </c>
      <c r="F437" s="731" t="s">
        <v>1599</v>
      </c>
      <c r="G437" s="731" t="s">
        <v>1600</v>
      </c>
      <c r="H437" s="731" t="s">
        <v>1880</v>
      </c>
      <c r="I437" s="736">
        <v>13558</v>
      </c>
      <c r="J437" s="735" t="s">
        <v>1599</v>
      </c>
      <c r="K437" s="737">
        <v>3900</v>
      </c>
      <c r="L437" s="744">
        <f t="shared" si="36"/>
        <v>9602</v>
      </c>
      <c r="M437" s="737">
        <v>13502</v>
      </c>
      <c r="N437" s="843">
        <v>5376</v>
      </c>
      <c r="O437" s="710">
        <f t="shared" si="31"/>
        <v>33.331200000000003</v>
      </c>
      <c r="P437" s="711">
        <f t="shared" si="32"/>
        <v>1.0416000000000001</v>
      </c>
      <c r="Q437" s="712">
        <f t="shared" si="33"/>
        <v>72887.808000000005</v>
      </c>
    </row>
    <row r="438" spans="1:17" ht="15.75" customHeight="1">
      <c r="A438" s="722" t="s">
        <v>2278</v>
      </c>
      <c r="B438" s="723">
        <v>45112</v>
      </c>
      <c r="C438" s="724" t="s">
        <v>1597</v>
      </c>
      <c r="D438" s="724" t="s">
        <v>1598</v>
      </c>
      <c r="E438" s="725">
        <v>6.2</v>
      </c>
      <c r="F438" s="722" t="s">
        <v>1599</v>
      </c>
      <c r="G438" s="722" t="s">
        <v>1600</v>
      </c>
      <c r="H438" s="722" t="s">
        <v>1836</v>
      </c>
      <c r="I438" s="727">
        <v>14544</v>
      </c>
      <c r="J438" s="726" t="s">
        <v>1599</v>
      </c>
      <c r="K438" s="728">
        <v>3700</v>
      </c>
      <c r="L438" s="743">
        <f t="shared" si="36"/>
        <v>10704</v>
      </c>
      <c r="M438" s="730">
        <v>14404</v>
      </c>
      <c r="N438" s="842">
        <v>7525.6</v>
      </c>
      <c r="O438" s="710">
        <f t="shared" si="31"/>
        <v>46.658720000000002</v>
      </c>
      <c r="P438" s="711">
        <f t="shared" si="32"/>
        <v>1.4580850000000001</v>
      </c>
      <c r="Q438" s="712">
        <f t="shared" si="33"/>
        <v>109452.32640000001</v>
      </c>
    </row>
    <row r="439" spans="1:17" ht="15.75" customHeight="1">
      <c r="A439" s="731" t="s">
        <v>2279</v>
      </c>
      <c r="B439" s="732">
        <v>45113</v>
      </c>
      <c r="C439" s="733" t="s">
        <v>1597</v>
      </c>
      <c r="D439" s="733" t="s">
        <v>1598</v>
      </c>
      <c r="E439" s="734">
        <v>6.2</v>
      </c>
      <c r="F439" s="731" t="s">
        <v>1599</v>
      </c>
      <c r="G439" s="731" t="s">
        <v>1600</v>
      </c>
      <c r="H439" s="731" t="s">
        <v>1850</v>
      </c>
      <c r="I439" s="736">
        <v>9687</v>
      </c>
      <c r="J439" s="735" t="s">
        <v>1599</v>
      </c>
      <c r="K439" s="737">
        <v>3570</v>
      </c>
      <c r="L439" s="744">
        <f t="shared" si="36"/>
        <v>19512.3</v>
      </c>
      <c r="M439" s="742">
        <v>23082.3</v>
      </c>
      <c r="N439" s="843">
        <v>18161.7</v>
      </c>
      <c r="O439" s="710">
        <f t="shared" si="31"/>
        <v>112.60254</v>
      </c>
      <c r="P439" s="711">
        <f t="shared" si="32"/>
        <v>3.5188293750000001</v>
      </c>
      <c r="Q439" s="712">
        <f t="shared" si="33"/>
        <v>175932.3879</v>
      </c>
    </row>
    <row r="440" spans="1:17" ht="15.75" customHeight="1">
      <c r="A440" s="722" t="s">
        <v>2280</v>
      </c>
      <c r="B440" s="723">
        <v>45121</v>
      </c>
      <c r="C440" s="701" t="s">
        <v>1597</v>
      </c>
      <c r="D440" s="701" t="s">
        <v>1598</v>
      </c>
      <c r="E440" s="703">
        <v>6</v>
      </c>
      <c r="F440" s="701" t="s">
        <v>1599</v>
      </c>
      <c r="G440" s="701" t="s">
        <v>1600</v>
      </c>
      <c r="H440" s="722" t="s">
        <v>1798</v>
      </c>
      <c r="I440" s="727">
        <v>1931</v>
      </c>
      <c r="J440" s="706" t="s">
        <v>1599</v>
      </c>
      <c r="K440" s="707">
        <v>2343</v>
      </c>
      <c r="L440" s="747">
        <v>1183.8</v>
      </c>
      <c r="M440" s="754">
        <v>3526.8</v>
      </c>
      <c r="N440" s="842">
        <v>2343</v>
      </c>
      <c r="O440" s="710">
        <f t="shared" si="31"/>
        <v>14.058</v>
      </c>
      <c r="P440" s="711">
        <f t="shared" si="32"/>
        <v>0.43931249999999999</v>
      </c>
      <c r="Q440" s="712">
        <f t="shared" si="33"/>
        <v>4524.3329999999996</v>
      </c>
    </row>
    <row r="441" spans="1:17" ht="15.75" customHeight="1">
      <c r="A441" s="731" t="s">
        <v>2281</v>
      </c>
      <c r="B441" s="732">
        <v>45117</v>
      </c>
      <c r="C441" s="733" t="s">
        <v>1597</v>
      </c>
      <c r="D441" s="733" t="s">
        <v>1598</v>
      </c>
      <c r="E441" s="734">
        <v>4.0999999999999996</v>
      </c>
      <c r="F441" s="731" t="s">
        <v>1599</v>
      </c>
      <c r="G441" s="731" t="s">
        <v>1600</v>
      </c>
      <c r="H441" s="731" t="s">
        <v>1850</v>
      </c>
      <c r="I441" s="736">
        <v>9687</v>
      </c>
      <c r="J441" s="735" t="s">
        <v>1599</v>
      </c>
      <c r="K441" s="737">
        <v>2210</v>
      </c>
      <c r="L441" s="744">
        <f t="shared" ref="L441:L504" si="37">M441-K441</f>
        <v>5777</v>
      </c>
      <c r="M441" s="742">
        <v>7987</v>
      </c>
      <c r="N441" s="843">
        <v>4550</v>
      </c>
      <c r="O441" s="710">
        <f t="shared" si="31"/>
        <v>18.655000000000001</v>
      </c>
      <c r="P441" s="711">
        <f t="shared" si="32"/>
        <v>0.58296875000000004</v>
      </c>
      <c r="Q441" s="712">
        <f t="shared" si="33"/>
        <v>44075.85</v>
      </c>
    </row>
    <row r="442" spans="1:17" ht="15.75" customHeight="1">
      <c r="A442" s="722" t="s">
        <v>2282</v>
      </c>
      <c r="B442" s="723">
        <v>45113</v>
      </c>
      <c r="C442" s="724" t="s">
        <v>1597</v>
      </c>
      <c r="D442" s="724" t="s">
        <v>1598</v>
      </c>
      <c r="E442" s="725">
        <v>6.2</v>
      </c>
      <c r="F442" s="722" t="s">
        <v>1599</v>
      </c>
      <c r="G442" s="722" t="s">
        <v>1600</v>
      </c>
      <c r="H442" s="722" t="s">
        <v>1884</v>
      </c>
      <c r="I442" s="727">
        <v>13413</v>
      </c>
      <c r="J442" s="726" t="s">
        <v>1599</v>
      </c>
      <c r="K442" s="728">
        <v>3700</v>
      </c>
      <c r="L442" s="743">
        <f t="shared" si="37"/>
        <v>15261</v>
      </c>
      <c r="M442" s="741">
        <v>18961</v>
      </c>
      <c r="N442" s="842">
        <v>11366</v>
      </c>
      <c r="O442" s="710">
        <f t="shared" si="31"/>
        <v>70.469200000000001</v>
      </c>
      <c r="P442" s="711">
        <f t="shared" si="32"/>
        <v>2.2021625</v>
      </c>
      <c r="Q442" s="712">
        <f t="shared" si="33"/>
        <v>152452.158</v>
      </c>
    </row>
    <row r="443" spans="1:17" ht="15.75" customHeight="1">
      <c r="A443" s="731" t="s">
        <v>2283</v>
      </c>
      <c r="B443" s="732">
        <v>45121</v>
      </c>
      <c r="C443" s="733" t="s">
        <v>1597</v>
      </c>
      <c r="D443" s="733" t="s">
        <v>1598</v>
      </c>
      <c r="E443" s="734">
        <v>4.5</v>
      </c>
      <c r="F443" s="731" t="s">
        <v>1599</v>
      </c>
      <c r="G443" s="731" t="s">
        <v>1600</v>
      </c>
      <c r="H443" s="731" t="s">
        <v>1828</v>
      </c>
      <c r="I443" s="736">
        <v>7448</v>
      </c>
      <c r="J443" s="735" t="s">
        <v>1599</v>
      </c>
      <c r="K443" s="737">
        <v>3840</v>
      </c>
      <c r="L443" s="744">
        <f t="shared" si="37"/>
        <v>17802</v>
      </c>
      <c r="M443" s="739">
        <v>21642</v>
      </c>
      <c r="N443" s="843">
        <v>11393.25</v>
      </c>
      <c r="O443" s="710">
        <f t="shared" si="31"/>
        <v>51.269624999999998</v>
      </c>
      <c r="P443" s="711">
        <f t="shared" si="32"/>
        <v>1.6021757812499999</v>
      </c>
      <c r="Q443" s="712">
        <f t="shared" si="33"/>
        <v>84856.926000000007</v>
      </c>
    </row>
    <row r="444" spans="1:17" ht="15.75" customHeight="1">
      <c r="A444" s="722" t="s">
        <v>2284</v>
      </c>
      <c r="B444" s="723">
        <v>45121</v>
      </c>
      <c r="C444" s="724" t="s">
        <v>1597</v>
      </c>
      <c r="D444" s="724" t="s">
        <v>1598</v>
      </c>
      <c r="E444" s="725">
        <v>4.5</v>
      </c>
      <c r="F444" s="722" t="s">
        <v>1599</v>
      </c>
      <c r="G444" s="722" t="s">
        <v>1600</v>
      </c>
      <c r="H444" s="722" t="s">
        <v>1828</v>
      </c>
      <c r="I444" s="727">
        <v>7448</v>
      </c>
      <c r="J444" s="726" t="s">
        <v>1599</v>
      </c>
      <c r="K444" s="728">
        <v>3620</v>
      </c>
      <c r="L444" s="743">
        <f t="shared" si="37"/>
        <v>20702</v>
      </c>
      <c r="M444" s="741">
        <v>24322</v>
      </c>
      <c r="N444" s="842">
        <v>16560</v>
      </c>
      <c r="O444" s="710">
        <f t="shared" si="31"/>
        <v>74.52</v>
      </c>
      <c r="P444" s="711">
        <f t="shared" si="32"/>
        <v>2.3287499999999999</v>
      </c>
      <c r="Q444" s="712">
        <f t="shared" si="33"/>
        <v>123338.88</v>
      </c>
    </row>
    <row r="445" spans="1:17" ht="15.75" customHeight="1">
      <c r="A445" s="731" t="s">
        <v>2285</v>
      </c>
      <c r="B445" s="732">
        <v>45121</v>
      </c>
      <c r="C445" s="733" t="s">
        <v>1597</v>
      </c>
      <c r="D445" s="733" t="s">
        <v>1598</v>
      </c>
      <c r="E445" s="734">
        <v>4.5</v>
      </c>
      <c r="F445" s="731" t="s">
        <v>1599</v>
      </c>
      <c r="G445" s="731" t="s">
        <v>1600</v>
      </c>
      <c r="H445" s="731" t="s">
        <v>1828</v>
      </c>
      <c r="I445" s="736">
        <v>7448</v>
      </c>
      <c r="J445" s="735" t="s">
        <v>1599</v>
      </c>
      <c r="K445" s="737">
        <v>3840</v>
      </c>
      <c r="L445" s="744">
        <f t="shared" si="37"/>
        <v>23952</v>
      </c>
      <c r="M445" s="742">
        <v>27792</v>
      </c>
      <c r="N445" s="843">
        <v>20048</v>
      </c>
      <c r="O445" s="710">
        <f t="shared" si="31"/>
        <v>90.215999999999994</v>
      </c>
      <c r="P445" s="711">
        <f t="shared" si="32"/>
        <v>2.8192499999999998</v>
      </c>
      <c r="Q445" s="712">
        <f t="shared" si="33"/>
        <v>149317.50399999999</v>
      </c>
    </row>
    <row r="446" spans="1:17" ht="15.75" customHeight="1">
      <c r="A446" s="722" t="s">
        <v>2286</v>
      </c>
      <c r="B446" s="723">
        <v>45121</v>
      </c>
      <c r="C446" s="724" t="s">
        <v>1597</v>
      </c>
      <c r="D446" s="724" t="s">
        <v>1598</v>
      </c>
      <c r="E446" s="725">
        <v>4.5</v>
      </c>
      <c r="F446" s="722" t="s">
        <v>1599</v>
      </c>
      <c r="G446" s="722" t="s">
        <v>1600</v>
      </c>
      <c r="H446" s="722" t="s">
        <v>1828</v>
      </c>
      <c r="I446" s="727">
        <v>7448</v>
      </c>
      <c r="J446" s="726" t="s">
        <v>1599</v>
      </c>
      <c r="K446" s="728">
        <v>3640</v>
      </c>
      <c r="L446" s="743">
        <f t="shared" si="37"/>
        <v>23952</v>
      </c>
      <c r="M446" s="741">
        <v>27592</v>
      </c>
      <c r="N446" s="842">
        <v>21261</v>
      </c>
      <c r="O446" s="710">
        <f t="shared" si="31"/>
        <v>95.674499999999995</v>
      </c>
      <c r="P446" s="711">
        <f t="shared" si="32"/>
        <v>2.9898281249999998</v>
      </c>
      <c r="Q446" s="712">
        <f t="shared" si="33"/>
        <v>158351.92800000001</v>
      </c>
    </row>
    <row r="447" spans="1:17" ht="15.75" customHeight="1">
      <c r="A447" s="731" t="s">
        <v>2287</v>
      </c>
      <c r="B447" s="732">
        <v>45121</v>
      </c>
      <c r="C447" s="733" t="s">
        <v>1597</v>
      </c>
      <c r="D447" s="733" t="s">
        <v>1598</v>
      </c>
      <c r="E447" s="734">
        <v>6.5</v>
      </c>
      <c r="F447" s="731" t="s">
        <v>1599</v>
      </c>
      <c r="G447" s="731" t="s">
        <v>1600</v>
      </c>
      <c r="H447" s="731" t="s">
        <v>1850</v>
      </c>
      <c r="I447" s="736">
        <v>9687</v>
      </c>
      <c r="J447" s="735" t="s">
        <v>1599</v>
      </c>
      <c r="K447" s="737">
        <v>2180</v>
      </c>
      <c r="L447" s="744">
        <f t="shared" si="37"/>
        <v>4152</v>
      </c>
      <c r="M447" s="742">
        <v>6332</v>
      </c>
      <c r="N447" s="843">
        <v>3280</v>
      </c>
      <c r="O447" s="710">
        <f t="shared" si="31"/>
        <v>21.32</v>
      </c>
      <c r="P447" s="711">
        <f t="shared" si="32"/>
        <v>0.66625000000000001</v>
      </c>
      <c r="Q447" s="712">
        <f t="shared" si="33"/>
        <v>31773.360000000001</v>
      </c>
    </row>
    <row r="448" spans="1:17" ht="15.75" customHeight="1">
      <c r="A448" s="722" t="s">
        <v>2288</v>
      </c>
      <c r="B448" s="723">
        <v>45117</v>
      </c>
      <c r="C448" s="724" t="s">
        <v>1597</v>
      </c>
      <c r="D448" s="724" t="s">
        <v>1598</v>
      </c>
      <c r="E448" s="725">
        <v>7.1</v>
      </c>
      <c r="F448" s="722" t="s">
        <v>1599</v>
      </c>
      <c r="G448" s="722" t="s">
        <v>1600</v>
      </c>
      <c r="H448" s="722" t="s">
        <v>1836</v>
      </c>
      <c r="I448" s="727">
        <v>14544</v>
      </c>
      <c r="J448" s="726" t="s">
        <v>1599</v>
      </c>
      <c r="K448" s="728">
        <v>3880</v>
      </c>
      <c r="L448" s="743">
        <f t="shared" si="37"/>
        <v>19071.599999999999</v>
      </c>
      <c r="M448" s="741">
        <v>22951.599999999999</v>
      </c>
      <c r="N448" s="842">
        <v>15602.4</v>
      </c>
      <c r="O448" s="710">
        <f t="shared" si="31"/>
        <v>110.77704</v>
      </c>
      <c r="P448" s="711">
        <f t="shared" si="32"/>
        <v>3.4617825</v>
      </c>
      <c r="Q448" s="712">
        <f t="shared" si="33"/>
        <v>226921.30559999999</v>
      </c>
    </row>
    <row r="449" spans="1:17" ht="15.75" customHeight="1">
      <c r="A449" s="731" t="s">
        <v>2289</v>
      </c>
      <c r="B449" s="732">
        <v>45115</v>
      </c>
      <c r="C449" s="733" t="s">
        <v>1597</v>
      </c>
      <c r="D449" s="733" t="s">
        <v>1598</v>
      </c>
      <c r="E449" s="734">
        <v>6.5</v>
      </c>
      <c r="F449" s="731" t="s">
        <v>1599</v>
      </c>
      <c r="G449" s="731" t="s">
        <v>1600</v>
      </c>
      <c r="H449" s="731" t="s">
        <v>1884</v>
      </c>
      <c r="I449" s="736">
        <v>13413</v>
      </c>
      <c r="J449" s="735" t="s">
        <v>1599</v>
      </c>
      <c r="K449" s="737">
        <v>3830</v>
      </c>
      <c r="L449" s="744">
        <f t="shared" si="37"/>
        <v>14839</v>
      </c>
      <c r="M449" s="742">
        <v>18669</v>
      </c>
      <c r="N449" s="843">
        <v>12511.2</v>
      </c>
      <c r="O449" s="710">
        <f t="shared" si="31"/>
        <v>81.322800000000001</v>
      </c>
      <c r="P449" s="711">
        <f t="shared" si="32"/>
        <v>2.5413375</v>
      </c>
      <c r="Q449" s="712">
        <f t="shared" si="33"/>
        <v>167812.72560000003</v>
      </c>
    </row>
    <row r="450" spans="1:17" ht="15.75" customHeight="1">
      <c r="A450" s="722" t="s">
        <v>2290</v>
      </c>
      <c r="B450" s="723">
        <v>45115</v>
      </c>
      <c r="C450" s="724" t="s">
        <v>1597</v>
      </c>
      <c r="D450" s="724" t="s">
        <v>1598</v>
      </c>
      <c r="E450" s="725">
        <v>6</v>
      </c>
      <c r="F450" s="722" t="s">
        <v>1599</v>
      </c>
      <c r="G450" s="722" t="s">
        <v>1600</v>
      </c>
      <c r="H450" s="722" t="s">
        <v>1822</v>
      </c>
      <c r="I450" s="727">
        <v>13787</v>
      </c>
      <c r="J450" s="726" t="s">
        <v>1599</v>
      </c>
      <c r="K450" s="728">
        <v>3670</v>
      </c>
      <c r="L450" s="743">
        <f t="shared" si="37"/>
        <v>13274</v>
      </c>
      <c r="M450" s="741">
        <v>16944</v>
      </c>
      <c r="N450" s="842">
        <v>9196</v>
      </c>
      <c r="O450" s="710">
        <f t="shared" si="31"/>
        <v>55.176000000000002</v>
      </c>
      <c r="P450" s="711">
        <f t="shared" si="32"/>
        <v>1.7242500000000001</v>
      </c>
      <c r="Q450" s="712">
        <f t="shared" si="33"/>
        <v>126785.25199999999</v>
      </c>
    </row>
    <row r="451" spans="1:17" ht="15.75" customHeight="1">
      <c r="A451" s="731" t="s">
        <v>2291</v>
      </c>
      <c r="B451" s="732">
        <v>45117</v>
      </c>
      <c r="C451" s="733" t="s">
        <v>1597</v>
      </c>
      <c r="D451" s="733" t="s">
        <v>1598</v>
      </c>
      <c r="E451" s="734">
        <v>11.7</v>
      </c>
      <c r="F451" s="731" t="s">
        <v>1599</v>
      </c>
      <c r="G451" s="731" t="s">
        <v>1600</v>
      </c>
      <c r="H451" s="731" t="s">
        <v>1973</v>
      </c>
      <c r="I451" s="736">
        <v>4482</v>
      </c>
      <c r="J451" s="735" t="s">
        <v>1599</v>
      </c>
      <c r="K451" s="737">
        <v>3700</v>
      </c>
      <c r="L451" s="744">
        <f t="shared" si="37"/>
        <v>11846.8</v>
      </c>
      <c r="M451" s="742">
        <v>15546.8</v>
      </c>
      <c r="N451" s="843">
        <v>9826.34</v>
      </c>
      <c r="O451" s="710">
        <f t="shared" si="31"/>
        <v>114.96817799999999</v>
      </c>
      <c r="P451" s="711">
        <f t="shared" si="32"/>
        <v>3.5927555624999998</v>
      </c>
      <c r="Q451" s="712">
        <f t="shared" si="33"/>
        <v>44041.655880000006</v>
      </c>
    </row>
    <row r="452" spans="1:17" ht="15.75" customHeight="1">
      <c r="A452" s="722" t="s">
        <v>2292</v>
      </c>
      <c r="B452" s="723">
        <v>45118</v>
      </c>
      <c r="C452" s="724" t="s">
        <v>1597</v>
      </c>
      <c r="D452" s="724" t="s">
        <v>1598</v>
      </c>
      <c r="E452" s="725">
        <v>6.2</v>
      </c>
      <c r="F452" s="722" t="s">
        <v>1599</v>
      </c>
      <c r="G452" s="722" t="s">
        <v>1600</v>
      </c>
      <c r="H452" s="722" t="s">
        <v>1932</v>
      </c>
      <c r="I452" s="727">
        <v>4823</v>
      </c>
      <c r="J452" s="726" t="s">
        <v>1599</v>
      </c>
      <c r="K452" s="728">
        <v>3760</v>
      </c>
      <c r="L452" s="743">
        <f t="shared" si="37"/>
        <v>13721.68</v>
      </c>
      <c r="M452" s="741">
        <v>17481.68</v>
      </c>
      <c r="N452" s="842">
        <v>11706.8</v>
      </c>
      <c r="O452" s="710">
        <f t="shared" si="31"/>
        <v>72.582160000000002</v>
      </c>
      <c r="P452" s="711">
        <f t="shared" si="32"/>
        <v>2.2681925000000001</v>
      </c>
      <c r="Q452" s="712">
        <f t="shared" si="33"/>
        <v>56461.896399999998</v>
      </c>
    </row>
    <row r="453" spans="1:17" ht="15.75" customHeight="1">
      <c r="A453" s="731" t="s">
        <v>2293</v>
      </c>
      <c r="B453" s="732">
        <v>45119</v>
      </c>
      <c r="C453" s="733" t="s">
        <v>1597</v>
      </c>
      <c r="D453" s="733" t="s">
        <v>1598</v>
      </c>
      <c r="E453" s="734">
        <v>7.1</v>
      </c>
      <c r="F453" s="731" t="s">
        <v>1599</v>
      </c>
      <c r="G453" s="731" t="s">
        <v>1600</v>
      </c>
      <c r="H453" s="731" t="s">
        <v>1818</v>
      </c>
      <c r="I453" s="736">
        <v>14000</v>
      </c>
      <c r="J453" s="735" t="s">
        <v>1599</v>
      </c>
      <c r="K453" s="737">
        <v>3800</v>
      </c>
      <c r="L453" s="744">
        <f t="shared" si="37"/>
        <v>17694.580000000002</v>
      </c>
      <c r="M453" s="742">
        <v>21494.58</v>
      </c>
      <c r="N453" s="843">
        <v>15506.08</v>
      </c>
      <c r="O453" s="710">
        <f t="shared" si="31"/>
        <v>110.09316799999999</v>
      </c>
      <c r="P453" s="711">
        <f t="shared" si="32"/>
        <v>3.4404114999999997</v>
      </c>
      <c r="Q453" s="712">
        <f t="shared" si="33"/>
        <v>217085.12</v>
      </c>
    </row>
    <row r="454" spans="1:17" ht="15.75" customHeight="1">
      <c r="A454" s="722" t="s">
        <v>2294</v>
      </c>
      <c r="B454" s="723">
        <v>45119</v>
      </c>
      <c r="C454" s="724" t="s">
        <v>1597</v>
      </c>
      <c r="D454" s="724" t="s">
        <v>1598</v>
      </c>
      <c r="E454" s="725">
        <v>6.2</v>
      </c>
      <c r="F454" s="722" t="s">
        <v>1599</v>
      </c>
      <c r="G454" s="722" t="s">
        <v>1600</v>
      </c>
      <c r="H454" s="722" t="s">
        <v>1815</v>
      </c>
      <c r="I454" s="727">
        <v>17387</v>
      </c>
      <c r="J454" s="726" t="s">
        <v>1599</v>
      </c>
      <c r="K454" s="728">
        <v>3860</v>
      </c>
      <c r="L454" s="743">
        <f t="shared" si="37"/>
        <v>19083.490000000002</v>
      </c>
      <c r="M454" s="741">
        <v>22943.49</v>
      </c>
      <c r="N454" s="842">
        <v>16416.8</v>
      </c>
      <c r="O454" s="710">
        <f t="shared" ref="O454:O517" si="38">N454*E454/1000</f>
        <v>101.78416</v>
      </c>
      <c r="P454" s="711">
        <f t="shared" ref="P454:P517" si="39">O454/32</f>
        <v>3.180755</v>
      </c>
      <c r="Q454" s="712">
        <f t="shared" ref="Q454:Q517" si="40">N454*I454/1000</f>
        <v>285438.90159999998</v>
      </c>
    </row>
    <row r="455" spans="1:17" ht="15.75" customHeight="1">
      <c r="A455" s="731" t="s">
        <v>2295</v>
      </c>
      <c r="B455" s="732">
        <v>45119</v>
      </c>
      <c r="C455" s="733" t="s">
        <v>1597</v>
      </c>
      <c r="D455" s="733" t="s">
        <v>1598</v>
      </c>
      <c r="E455" s="734">
        <v>6.2</v>
      </c>
      <c r="F455" s="731" t="s">
        <v>1599</v>
      </c>
      <c r="G455" s="731" t="s">
        <v>1600</v>
      </c>
      <c r="H455" s="731" t="s">
        <v>1815</v>
      </c>
      <c r="I455" s="736">
        <v>17387</v>
      </c>
      <c r="J455" s="735" t="s">
        <v>1599</v>
      </c>
      <c r="K455" s="737">
        <v>3860</v>
      </c>
      <c r="L455" s="744">
        <f t="shared" si="37"/>
        <v>17271.259999999998</v>
      </c>
      <c r="M455" s="742">
        <v>21131.26</v>
      </c>
      <c r="N455" s="843">
        <v>14968.04</v>
      </c>
      <c r="O455" s="710">
        <f t="shared" si="38"/>
        <v>92.801848000000007</v>
      </c>
      <c r="P455" s="711">
        <f t="shared" si="39"/>
        <v>2.9000577500000002</v>
      </c>
      <c r="Q455" s="712">
        <f t="shared" si="40"/>
        <v>260249.31148000003</v>
      </c>
    </row>
    <row r="456" spans="1:17" ht="15.75" customHeight="1">
      <c r="A456" s="722" t="s">
        <v>2296</v>
      </c>
      <c r="B456" s="723">
        <v>45120</v>
      </c>
      <c r="C456" s="724" t="s">
        <v>1597</v>
      </c>
      <c r="D456" s="724" t="s">
        <v>1598</v>
      </c>
      <c r="E456" s="725">
        <v>7.1</v>
      </c>
      <c r="F456" s="722" t="s">
        <v>1599</v>
      </c>
      <c r="G456" s="722" t="s">
        <v>1600</v>
      </c>
      <c r="H456" s="722" t="s">
        <v>1846</v>
      </c>
      <c r="I456" s="727">
        <v>5317</v>
      </c>
      <c r="J456" s="726" t="s">
        <v>1599</v>
      </c>
      <c r="K456" s="728">
        <v>2260</v>
      </c>
      <c r="L456" s="743">
        <f t="shared" si="37"/>
        <v>3126.29</v>
      </c>
      <c r="M456" s="741">
        <v>5386.29</v>
      </c>
      <c r="N456" s="842">
        <v>2152.17</v>
      </c>
      <c r="O456" s="710">
        <f t="shared" si="38"/>
        <v>15.280406999999999</v>
      </c>
      <c r="P456" s="711">
        <f t="shared" si="39"/>
        <v>0.47751271874999995</v>
      </c>
      <c r="Q456" s="712">
        <f t="shared" si="40"/>
        <v>11443.087890000001</v>
      </c>
    </row>
    <row r="457" spans="1:17" ht="15.75" customHeight="1">
      <c r="A457" s="731" t="s">
        <v>2297</v>
      </c>
      <c r="B457" s="732">
        <v>45120</v>
      </c>
      <c r="C457" s="733" t="s">
        <v>1597</v>
      </c>
      <c r="D457" s="733" t="s">
        <v>1598</v>
      </c>
      <c r="E457" s="734">
        <v>6.2</v>
      </c>
      <c r="F457" s="731" t="s">
        <v>1599</v>
      </c>
      <c r="G457" s="731" t="s">
        <v>1600</v>
      </c>
      <c r="H457" s="731" t="s">
        <v>1880</v>
      </c>
      <c r="I457" s="736">
        <v>13558</v>
      </c>
      <c r="J457" s="735" t="s">
        <v>1599</v>
      </c>
      <c r="K457" s="737">
        <v>3860</v>
      </c>
      <c r="L457" s="744">
        <f t="shared" si="37"/>
        <v>14268.5</v>
      </c>
      <c r="M457" s="742">
        <v>18128.5</v>
      </c>
      <c r="N457" s="843">
        <v>11401.1</v>
      </c>
      <c r="O457" s="710">
        <f t="shared" si="38"/>
        <v>70.686820000000012</v>
      </c>
      <c r="P457" s="711">
        <f t="shared" si="39"/>
        <v>2.2089631250000004</v>
      </c>
      <c r="Q457" s="712">
        <f t="shared" si="40"/>
        <v>154576.11380000002</v>
      </c>
    </row>
    <row r="458" spans="1:17" ht="15.75" customHeight="1">
      <c r="A458" s="722" t="s">
        <v>2298</v>
      </c>
      <c r="B458" s="723">
        <v>45126</v>
      </c>
      <c r="C458" s="724" t="s">
        <v>1597</v>
      </c>
      <c r="D458" s="724" t="s">
        <v>1598</v>
      </c>
      <c r="E458" s="725">
        <v>6.2</v>
      </c>
      <c r="F458" s="722" t="s">
        <v>1599</v>
      </c>
      <c r="G458" s="722" t="s">
        <v>1600</v>
      </c>
      <c r="H458" s="722" t="s">
        <v>1880</v>
      </c>
      <c r="I458" s="727">
        <v>13558</v>
      </c>
      <c r="J458" s="726" t="s">
        <v>1599</v>
      </c>
      <c r="K458" s="728">
        <v>3620</v>
      </c>
      <c r="L458" s="743">
        <f t="shared" si="37"/>
        <v>12253.5</v>
      </c>
      <c r="M458" s="730">
        <v>15873.5</v>
      </c>
      <c r="N458" s="842">
        <v>9776.9</v>
      </c>
      <c r="O458" s="710">
        <f t="shared" si="38"/>
        <v>60.616779999999999</v>
      </c>
      <c r="P458" s="711">
        <f t="shared" si="39"/>
        <v>1.894274375</v>
      </c>
      <c r="Q458" s="712">
        <f t="shared" si="40"/>
        <v>132555.2102</v>
      </c>
    </row>
    <row r="459" spans="1:17" ht="15.75" customHeight="1">
      <c r="A459" s="731" t="s">
        <v>2299</v>
      </c>
      <c r="B459" s="732">
        <v>45121</v>
      </c>
      <c r="C459" s="733" t="s">
        <v>1597</v>
      </c>
      <c r="D459" s="733" t="s">
        <v>1598</v>
      </c>
      <c r="E459" s="734">
        <v>6</v>
      </c>
      <c r="F459" s="731" t="s">
        <v>1599</v>
      </c>
      <c r="G459" s="731" t="s">
        <v>1600</v>
      </c>
      <c r="H459" s="731" t="s">
        <v>1822</v>
      </c>
      <c r="I459" s="736">
        <v>13787</v>
      </c>
      <c r="J459" s="735" t="s">
        <v>1599</v>
      </c>
      <c r="K459" s="737">
        <v>3860</v>
      </c>
      <c r="L459" s="744">
        <f t="shared" si="37"/>
        <v>14630</v>
      </c>
      <c r="M459" s="739">
        <v>18490</v>
      </c>
      <c r="N459" s="843">
        <v>11855.58</v>
      </c>
      <c r="O459" s="710">
        <f t="shared" si="38"/>
        <v>71.133479999999992</v>
      </c>
      <c r="P459" s="711">
        <f t="shared" si="39"/>
        <v>2.2229212499999997</v>
      </c>
      <c r="Q459" s="712">
        <f t="shared" si="40"/>
        <v>163452.88146</v>
      </c>
    </row>
    <row r="460" spans="1:17" ht="15.75" customHeight="1">
      <c r="A460" s="722" t="s">
        <v>2300</v>
      </c>
      <c r="B460" s="723">
        <v>45117</v>
      </c>
      <c r="C460" s="724" t="s">
        <v>1597</v>
      </c>
      <c r="D460" s="724" t="s">
        <v>1598</v>
      </c>
      <c r="E460" s="725">
        <v>7.1</v>
      </c>
      <c r="F460" s="722" t="s">
        <v>1599</v>
      </c>
      <c r="G460" s="722" t="s">
        <v>1600</v>
      </c>
      <c r="H460" s="722" t="s">
        <v>1886</v>
      </c>
      <c r="I460" s="727">
        <v>13877</v>
      </c>
      <c r="J460" s="726" t="s">
        <v>1599</v>
      </c>
      <c r="K460" s="728">
        <v>3770</v>
      </c>
      <c r="L460" s="743">
        <f t="shared" si="37"/>
        <v>10189.799999999999</v>
      </c>
      <c r="M460" s="741">
        <v>13959.8</v>
      </c>
      <c r="N460" s="842">
        <v>7660</v>
      </c>
      <c r="O460" s="710">
        <f t="shared" si="38"/>
        <v>54.386000000000003</v>
      </c>
      <c r="P460" s="711">
        <f t="shared" si="39"/>
        <v>1.6995625000000001</v>
      </c>
      <c r="Q460" s="712">
        <f t="shared" si="40"/>
        <v>106297.82</v>
      </c>
    </row>
    <row r="461" spans="1:17" ht="15.75" customHeight="1">
      <c r="A461" s="731" t="s">
        <v>2301</v>
      </c>
      <c r="B461" s="732">
        <v>45117</v>
      </c>
      <c r="C461" s="733" t="s">
        <v>1597</v>
      </c>
      <c r="D461" s="733" t="s">
        <v>1598</v>
      </c>
      <c r="E461" s="734">
        <v>7.1</v>
      </c>
      <c r="F461" s="731" t="s">
        <v>1599</v>
      </c>
      <c r="G461" s="731" t="s">
        <v>1600</v>
      </c>
      <c r="H461" s="731" t="s">
        <v>1886</v>
      </c>
      <c r="I461" s="736">
        <v>13877</v>
      </c>
      <c r="J461" s="735" t="s">
        <v>1599</v>
      </c>
      <c r="K461" s="737">
        <v>3830</v>
      </c>
      <c r="L461" s="744">
        <f t="shared" si="37"/>
        <v>12014</v>
      </c>
      <c r="M461" s="742">
        <v>15844</v>
      </c>
      <c r="N461" s="843">
        <v>8988</v>
      </c>
      <c r="O461" s="710">
        <f t="shared" si="38"/>
        <v>63.814799999999998</v>
      </c>
      <c r="P461" s="711">
        <f t="shared" si="39"/>
        <v>1.9942124999999999</v>
      </c>
      <c r="Q461" s="712">
        <f t="shared" si="40"/>
        <v>124726.476</v>
      </c>
    </row>
    <row r="462" spans="1:17" ht="15.75" customHeight="1">
      <c r="A462" s="722" t="s">
        <v>2302</v>
      </c>
      <c r="B462" s="723">
        <v>45117</v>
      </c>
      <c r="C462" s="724" t="s">
        <v>1597</v>
      </c>
      <c r="D462" s="724" t="s">
        <v>1598</v>
      </c>
      <c r="E462" s="725">
        <v>7.1</v>
      </c>
      <c r="F462" s="722" t="s">
        <v>1599</v>
      </c>
      <c r="G462" s="722" t="s">
        <v>1600</v>
      </c>
      <c r="H462" s="722" t="s">
        <v>1886</v>
      </c>
      <c r="I462" s="727">
        <v>13877</v>
      </c>
      <c r="J462" s="726" t="s">
        <v>1599</v>
      </c>
      <c r="K462" s="728">
        <v>3840</v>
      </c>
      <c r="L462" s="743">
        <f t="shared" si="37"/>
        <v>10726</v>
      </c>
      <c r="M462" s="741">
        <v>14566</v>
      </c>
      <c r="N462" s="842">
        <v>8196.2000000000007</v>
      </c>
      <c r="O462" s="710">
        <f t="shared" si="38"/>
        <v>58.193020000000004</v>
      </c>
      <c r="P462" s="711">
        <f t="shared" si="39"/>
        <v>1.8185318750000001</v>
      </c>
      <c r="Q462" s="712">
        <f t="shared" si="40"/>
        <v>113738.66740000001</v>
      </c>
    </row>
    <row r="463" spans="1:17" ht="15.75" customHeight="1">
      <c r="A463" s="731" t="s">
        <v>2303</v>
      </c>
      <c r="B463" s="732">
        <v>45117</v>
      </c>
      <c r="C463" s="733" t="s">
        <v>1597</v>
      </c>
      <c r="D463" s="733" t="s">
        <v>1598</v>
      </c>
      <c r="E463" s="734">
        <v>6.5</v>
      </c>
      <c r="F463" s="731" t="s">
        <v>1599</v>
      </c>
      <c r="G463" s="731" t="s">
        <v>1600</v>
      </c>
      <c r="H463" s="731" t="s">
        <v>1809</v>
      </c>
      <c r="I463" s="736">
        <v>15168</v>
      </c>
      <c r="J463" s="735" t="s">
        <v>1599</v>
      </c>
      <c r="K463" s="737">
        <v>3700</v>
      </c>
      <c r="L463" s="744">
        <f t="shared" si="37"/>
        <v>19859.599999999999</v>
      </c>
      <c r="M463" s="742">
        <v>23559.599999999999</v>
      </c>
      <c r="N463" s="843">
        <v>16464</v>
      </c>
      <c r="O463" s="710">
        <f t="shared" si="38"/>
        <v>107.01600000000001</v>
      </c>
      <c r="P463" s="711">
        <f t="shared" si="39"/>
        <v>3.3442500000000002</v>
      </c>
      <c r="Q463" s="712">
        <f t="shared" si="40"/>
        <v>249725.95199999999</v>
      </c>
    </row>
    <row r="464" spans="1:17" ht="15.75" customHeight="1">
      <c r="A464" s="722" t="s">
        <v>2304</v>
      </c>
      <c r="B464" s="723">
        <v>45115</v>
      </c>
      <c r="C464" s="724" t="s">
        <v>1597</v>
      </c>
      <c r="D464" s="724" t="s">
        <v>1598</v>
      </c>
      <c r="E464" s="725">
        <v>6.5</v>
      </c>
      <c r="F464" s="722" t="s">
        <v>1599</v>
      </c>
      <c r="G464" s="722" t="s">
        <v>1600</v>
      </c>
      <c r="H464" s="722" t="s">
        <v>1809</v>
      </c>
      <c r="I464" s="727">
        <v>15168</v>
      </c>
      <c r="J464" s="726" t="s">
        <v>1599</v>
      </c>
      <c r="K464" s="728">
        <v>3840</v>
      </c>
      <c r="L464" s="743">
        <f t="shared" si="37"/>
        <v>19859</v>
      </c>
      <c r="M464" s="741">
        <v>23699</v>
      </c>
      <c r="N464" s="842">
        <v>16464</v>
      </c>
      <c r="O464" s="710">
        <f t="shared" si="38"/>
        <v>107.01600000000001</v>
      </c>
      <c r="P464" s="711">
        <f t="shared" si="39"/>
        <v>3.3442500000000002</v>
      </c>
      <c r="Q464" s="712">
        <f t="shared" si="40"/>
        <v>249725.95199999999</v>
      </c>
    </row>
    <row r="465" spans="1:17" ht="15.75" customHeight="1">
      <c r="A465" s="731" t="s">
        <v>2305</v>
      </c>
      <c r="B465" s="732">
        <v>45115</v>
      </c>
      <c r="C465" s="733" t="s">
        <v>1597</v>
      </c>
      <c r="D465" s="733" t="s">
        <v>1598</v>
      </c>
      <c r="E465" s="734">
        <v>6.5</v>
      </c>
      <c r="F465" s="731" t="s">
        <v>1599</v>
      </c>
      <c r="G465" s="731" t="s">
        <v>1600</v>
      </c>
      <c r="H465" s="731" t="s">
        <v>1809</v>
      </c>
      <c r="I465" s="736">
        <v>15168</v>
      </c>
      <c r="J465" s="735" t="s">
        <v>1599</v>
      </c>
      <c r="K465" s="737">
        <v>3700</v>
      </c>
      <c r="L465" s="744">
        <f t="shared" si="37"/>
        <v>19859.599999999999</v>
      </c>
      <c r="M465" s="742">
        <v>23559.599999999999</v>
      </c>
      <c r="N465" s="843">
        <v>16464</v>
      </c>
      <c r="O465" s="710">
        <f t="shared" si="38"/>
        <v>107.01600000000001</v>
      </c>
      <c r="P465" s="711">
        <f t="shared" si="39"/>
        <v>3.3442500000000002</v>
      </c>
      <c r="Q465" s="712">
        <f t="shared" si="40"/>
        <v>249725.95199999999</v>
      </c>
    </row>
    <row r="466" spans="1:17" ht="15.75" customHeight="1">
      <c r="A466" s="722" t="s">
        <v>2306</v>
      </c>
      <c r="B466" s="723">
        <v>45125</v>
      </c>
      <c r="C466" s="724" t="s">
        <v>1597</v>
      </c>
      <c r="D466" s="724" t="s">
        <v>1598</v>
      </c>
      <c r="E466" s="725">
        <v>4.5</v>
      </c>
      <c r="F466" s="722" t="s">
        <v>1599</v>
      </c>
      <c r="G466" s="722" t="s">
        <v>1600</v>
      </c>
      <c r="H466" s="722" t="s">
        <v>1828</v>
      </c>
      <c r="I466" s="727">
        <v>7448</v>
      </c>
      <c r="J466" s="726" t="s">
        <v>1599</v>
      </c>
      <c r="K466" s="728">
        <v>3740</v>
      </c>
      <c r="L466" s="743">
        <f t="shared" si="37"/>
        <v>23627</v>
      </c>
      <c r="M466" s="730">
        <v>27367</v>
      </c>
      <c r="N466" s="842">
        <v>21681</v>
      </c>
      <c r="O466" s="710">
        <f t="shared" si="38"/>
        <v>97.564499999999995</v>
      </c>
      <c r="P466" s="711">
        <f t="shared" si="39"/>
        <v>3.0488906249999999</v>
      </c>
      <c r="Q466" s="712">
        <f t="shared" si="40"/>
        <v>161480.08799999999</v>
      </c>
    </row>
    <row r="467" spans="1:17" ht="15.75" customHeight="1">
      <c r="A467" s="731" t="s">
        <v>2307</v>
      </c>
      <c r="B467" s="732">
        <v>45126</v>
      </c>
      <c r="C467" s="733" t="s">
        <v>1597</v>
      </c>
      <c r="D467" s="733" t="s">
        <v>1598</v>
      </c>
      <c r="E467" s="734">
        <v>4.5</v>
      </c>
      <c r="F467" s="731" t="s">
        <v>1599</v>
      </c>
      <c r="G467" s="731" t="s">
        <v>1600</v>
      </c>
      <c r="H467" s="731" t="s">
        <v>1828</v>
      </c>
      <c r="I467" s="736">
        <v>7448</v>
      </c>
      <c r="J467" s="735" t="s">
        <v>1599</v>
      </c>
      <c r="K467" s="737">
        <v>3830</v>
      </c>
      <c r="L467" s="744">
        <f t="shared" si="37"/>
        <v>23902</v>
      </c>
      <c r="M467" s="739">
        <v>27732</v>
      </c>
      <c r="N467" s="843">
        <v>17054</v>
      </c>
      <c r="O467" s="710">
        <f t="shared" si="38"/>
        <v>76.742999999999995</v>
      </c>
      <c r="P467" s="711">
        <f t="shared" si="39"/>
        <v>2.3982187499999998</v>
      </c>
      <c r="Q467" s="712">
        <f t="shared" si="40"/>
        <v>127018.192</v>
      </c>
    </row>
    <row r="468" spans="1:17" s="862" customFormat="1" ht="15.75" customHeight="1">
      <c r="A468" s="850" t="s">
        <v>2308</v>
      </c>
      <c r="B468" s="851">
        <v>45121</v>
      </c>
      <c r="C468" s="852" t="s">
        <v>1597</v>
      </c>
      <c r="D468" s="852" t="s">
        <v>1598</v>
      </c>
      <c r="E468" s="853">
        <v>6.5</v>
      </c>
      <c r="F468" s="850" t="s">
        <v>1599</v>
      </c>
      <c r="G468" s="850" t="s">
        <v>1600</v>
      </c>
      <c r="H468" s="850" t="s">
        <v>2309</v>
      </c>
      <c r="I468" s="855">
        <v>16332</v>
      </c>
      <c r="J468" s="854" t="s">
        <v>1599</v>
      </c>
      <c r="K468" s="856">
        <v>3700</v>
      </c>
      <c r="L468" s="857">
        <f t="shared" si="37"/>
        <v>10752.6</v>
      </c>
      <c r="M468" s="858">
        <v>14452.6</v>
      </c>
      <c r="N468" s="896">
        <v>8043.28</v>
      </c>
      <c r="O468" s="859">
        <f t="shared" si="38"/>
        <v>52.281320000000001</v>
      </c>
      <c r="P468" s="860">
        <f t="shared" si="39"/>
        <v>1.63379125</v>
      </c>
      <c r="Q468" s="861">
        <f t="shared" si="40"/>
        <v>131362.84896</v>
      </c>
    </row>
    <row r="469" spans="1:17" ht="15.75" customHeight="1">
      <c r="A469" s="731" t="s">
        <v>2310</v>
      </c>
      <c r="B469" s="732">
        <v>45131</v>
      </c>
      <c r="C469" s="733" t="s">
        <v>1597</v>
      </c>
      <c r="D469" s="733" t="s">
        <v>1598</v>
      </c>
      <c r="E469" s="734">
        <v>6.5</v>
      </c>
      <c r="F469" s="731" t="s">
        <v>1599</v>
      </c>
      <c r="G469" s="731" t="s">
        <v>1600</v>
      </c>
      <c r="H469" s="731" t="s">
        <v>1805</v>
      </c>
      <c r="I469" s="736">
        <v>8894</v>
      </c>
      <c r="J469" s="735" t="s">
        <v>1599</v>
      </c>
      <c r="K469" s="737">
        <v>2360</v>
      </c>
      <c r="L469" s="744">
        <f t="shared" si="37"/>
        <v>13722.9</v>
      </c>
      <c r="M469" s="742">
        <v>16082.9</v>
      </c>
      <c r="N469" s="843">
        <v>13095.72</v>
      </c>
      <c r="O469" s="710">
        <f t="shared" si="38"/>
        <v>85.122179999999986</v>
      </c>
      <c r="P469" s="711">
        <f t="shared" si="39"/>
        <v>2.6600681249999996</v>
      </c>
      <c r="Q469" s="712">
        <f t="shared" si="40"/>
        <v>116473.33368</v>
      </c>
    </row>
    <row r="470" spans="1:17" ht="15.75" customHeight="1">
      <c r="A470" s="722" t="s">
        <v>2311</v>
      </c>
      <c r="B470" s="723">
        <v>45131</v>
      </c>
      <c r="C470" s="724" t="s">
        <v>1597</v>
      </c>
      <c r="D470" s="724" t="s">
        <v>1598</v>
      </c>
      <c r="E470" s="725">
        <v>6.5</v>
      </c>
      <c r="F470" s="722" t="s">
        <v>1599</v>
      </c>
      <c r="G470" s="722" t="s">
        <v>1600</v>
      </c>
      <c r="H470" s="722" t="s">
        <v>1801</v>
      </c>
      <c r="I470" s="727">
        <v>9292</v>
      </c>
      <c r="J470" s="726" t="s">
        <v>1599</v>
      </c>
      <c r="K470" s="728">
        <v>2250</v>
      </c>
      <c r="L470" s="743">
        <f t="shared" si="37"/>
        <v>14805</v>
      </c>
      <c r="M470" s="741">
        <v>17055</v>
      </c>
      <c r="N470" s="842">
        <v>14226.6</v>
      </c>
      <c r="O470" s="710">
        <f t="shared" si="38"/>
        <v>92.47290000000001</v>
      </c>
      <c r="P470" s="711">
        <f t="shared" si="39"/>
        <v>2.8897781250000003</v>
      </c>
      <c r="Q470" s="712">
        <f t="shared" si="40"/>
        <v>132193.56719999999</v>
      </c>
    </row>
    <row r="471" spans="1:17" ht="15.75" customHeight="1">
      <c r="A471" s="731" t="s">
        <v>2312</v>
      </c>
      <c r="B471" s="732">
        <v>45126</v>
      </c>
      <c r="C471" s="733" t="s">
        <v>1597</v>
      </c>
      <c r="D471" s="733" t="s">
        <v>1598</v>
      </c>
      <c r="E471" s="734">
        <v>6.2</v>
      </c>
      <c r="F471" s="731" t="s">
        <v>1599</v>
      </c>
      <c r="G471" s="731" t="s">
        <v>1600</v>
      </c>
      <c r="H471" s="731" t="s">
        <v>1818</v>
      </c>
      <c r="I471" s="736">
        <v>14000</v>
      </c>
      <c r="J471" s="735" t="s">
        <v>1599</v>
      </c>
      <c r="K471" s="737">
        <v>3700</v>
      </c>
      <c r="L471" s="744">
        <f t="shared" si="37"/>
        <v>18485.8</v>
      </c>
      <c r="M471" s="739">
        <v>22185.8</v>
      </c>
      <c r="N471" s="843">
        <v>15889.04</v>
      </c>
      <c r="O471" s="710">
        <f t="shared" si="38"/>
        <v>98.512048000000007</v>
      </c>
      <c r="P471" s="711">
        <f t="shared" si="39"/>
        <v>3.0785015000000002</v>
      </c>
      <c r="Q471" s="712">
        <f t="shared" si="40"/>
        <v>222446.56</v>
      </c>
    </row>
    <row r="472" spans="1:17" ht="15.75" customHeight="1">
      <c r="A472" s="722" t="s">
        <v>2313</v>
      </c>
      <c r="B472" s="723">
        <v>45127</v>
      </c>
      <c r="C472" s="724" t="s">
        <v>1597</v>
      </c>
      <c r="D472" s="724" t="s">
        <v>1598</v>
      </c>
      <c r="E472" s="725">
        <v>6.5</v>
      </c>
      <c r="F472" s="722" t="s">
        <v>1599</v>
      </c>
      <c r="G472" s="722" t="s">
        <v>1600</v>
      </c>
      <c r="H472" s="722" t="s">
        <v>1854</v>
      </c>
      <c r="I472" s="727">
        <v>8865</v>
      </c>
      <c r="J472" s="726" t="s">
        <v>1599</v>
      </c>
      <c r="K472" s="728">
        <v>2220</v>
      </c>
      <c r="L472" s="743">
        <f t="shared" si="37"/>
        <v>10418</v>
      </c>
      <c r="M472" s="741">
        <v>12638</v>
      </c>
      <c r="N472" s="842">
        <v>10416</v>
      </c>
      <c r="O472" s="710">
        <f t="shared" si="38"/>
        <v>67.703999999999994</v>
      </c>
      <c r="P472" s="711">
        <f t="shared" si="39"/>
        <v>2.1157499999999998</v>
      </c>
      <c r="Q472" s="712">
        <f t="shared" si="40"/>
        <v>92337.84</v>
      </c>
    </row>
    <row r="473" spans="1:17" ht="15.75" customHeight="1">
      <c r="A473" s="731" t="s">
        <v>2314</v>
      </c>
      <c r="B473" s="732">
        <v>45127</v>
      </c>
      <c r="C473" s="733" t="s">
        <v>1597</v>
      </c>
      <c r="D473" s="733" t="s">
        <v>1598</v>
      </c>
      <c r="E473" s="734">
        <v>3.6</v>
      </c>
      <c r="F473" s="731" t="s">
        <v>1599</v>
      </c>
      <c r="G473" s="731" t="s">
        <v>1600</v>
      </c>
      <c r="H473" s="731" t="s">
        <v>1965</v>
      </c>
      <c r="I473" s="736">
        <v>5092</v>
      </c>
      <c r="J473" s="735" t="s">
        <v>1599</v>
      </c>
      <c r="K473" s="737">
        <v>2200</v>
      </c>
      <c r="L473" s="744">
        <f t="shared" si="37"/>
        <v>6229.08</v>
      </c>
      <c r="M473" s="742">
        <v>8429.08</v>
      </c>
      <c r="N473" s="843">
        <v>5304.04</v>
      </c>
      <c r="O473" s="710">
        <f t="shared" si="38"/>
        <v>19.094544000000003</v>
      </c>
      <c r="P473" s="711">
        <f t="shared" si="39"/>
        <v>0.59670450000000008</v>
      </c>
      <c r="Q473" s="712">
        <f t="shared" si="40"/>
        <v>27008.171679999999</v>
      </c>
    </row>
    <row r="474" spans="1:17" ht="15.75" customHeight="1">
      <c r="A474" s="722" t="s">
        <v>2315</v>
      </c>
      <c r="B474" s="723">
        <v>45126</v>
      </c>
      <c r="C474" s="724" t="s">
        <v>1597</v>
      </c>
      <c r="D474" s="724" t="s">
        <v>1598</v>
      </c>
      <c r="E474" s="725">
        <v>7.1</v>
      </c>
      <c r="F474" s="722" t="s">
        <v>1599</v>
      </c>
      <c r="G474" s="722" t="s">
        <v>1600</v>
      </c>
      <c r="H474" s="722" t="s">
        <v>1941</v>
      </c>
      <c r="I474" s="727">
        <v>1588</v>
      </c>
      <c r="J474" s="726" t="s">
        <v>1599</v>
      </c>
      <c r="K474" s="728">
        <v>2180</v>
      </c>
      <c r="L474" s="743">
        <f t="shared" si="37"/>
        <v>4462.16</v>
      </c>
      <c r="M474" s="730">
        <v>6642.16</v>
      </c>
      <c r="N474" s="842">
        <v>3329.92</v>
      </c>
      <c r="O474" s="710">
        <f t="shared" si="38"/>
        <v>23.642431999999999</v>
      </c>
      <c r="P474" s="711">
        <f t="shared" si="39"/>
        <v>0.73882599999999998</v>
      </c>
      <c r="Q474" s="712">
        <f t="shared" si="40"/>
        <v>5287.9129599999997</v>
      </c>
    </row>
    <row r="475" spans="1:17" ht="15.75" customHeight="1">
      <c r="A475" s="731" t="s">
        <v>2316</v>
      </c>
      <c r="B475" s="732">
        <v>45127</v>
      </c>
      <c r="C475" s="733" t="s">
        <v>1597</v>
      </c>
      <c r="D475" s="733" t="s">
        <v>1598</v>
      </c>
      <c r="E475" s="734">
        <v>6.2</v>
      </c>
      <c r="F475" s="731" t="s">
        <v>1599</v>
      </c>
      <c r="G475" s="731" t="s">
        <v>1600</v>
      </c>
      <c r="H475" s="731" t="s">
        <v>1809</v>
      </c>
      <c r="I475" s="736">
        <v>15168</v>
      </c>
      <c r="J475" s="735" t="s">
        <v>1599</v>
      </c>
      <c r="K475" s="737">
        <v>3700</v>
      </c>
      <c r="L475" s="744">
        <f t="shared" si="37"/>
        <v>19859.599999999999</v>
      </c>
      <c r="M475" s="742">
        <v>23559.599999999999</v>
      </c>
      <c r="N475" s="843">
        <v>16464</v>
      </c>
      <c r="O475" s="710">
        <f t="shared" si="38"/>
        <v>102.07680000000001</v>
      </c>
      <c r="P475" s="711">
        <f t="shared" si="39"/>
        <v>3.1899000000000002</v>
      </c>
      <c r="Q475" s="712">
        <f t="shared" si="40"/>
        <v>249725.95199999999</v>
      </c>
    </row>
    <row r="476" spans="1:17" ht="15.75" customHeight="1">
      <c r="A476" s="722" t="s">
        <v>2317</v>
      </c>
      <c r="B476" s="723">
        <v>45126</v>
      </c>
      <c r="C476" s="724" t="s">
        <v>1597</v>
      </c>
      <c r="D476" s="724" t="s">
        <v>1598</v>
      </c>
      <c r="E476" s="725">
        <v>7.1</v>
      </c>
      <c r="F476" s="722" t="s">
        <v>1599</v>
      </c>
      <c r="G476" s="722" t="s">
        <v>1600</v>
      </c>
      <c r="H476" s="722" t="s">
        <v>1866</v>
      </c>
      <c r="I476" s="727">
        <v>2597</v>
      </c>
      <c r="J476" s="726" t="s">
        <v>1599</v>
      </c>
      <c r="K476" s="728">
        <v>2220</v>
      </c>
      <c r="L476" s="743">
        <f t="shared" si="37"/>
        <v>5956</v>
      </c>
      <c r="M476" s="730">
        <v>8176</v>
      </c>
      <c r="N476" s="842">
        <v>4815</v>
      </c>
      <c r="O476" s="710">
        <f t="shared" si="38"/>
        <v>34.186500000000002</v>
      </c>
      <c r="P476" s="711">
        <f t="shared" si="39"/>
        <v>1.0683281250000001</v>
      </c>
      <c r="Q476" s="712">
        <f t="shared" si="40"/>
        <v>12504.555</v>
      </c>
    </row>
    <row r="477" spans="1:17" ht="15.75" customHeight="1">
      <c r="A477" s="731" t="s">
        <v>2318</v>
      </c>
      <c r="B477" s="732">
        <v>45131</v>
      </c>
      <c r="C477" s="733" t="s">
        <v>1597</v>
      </c>
      <c r="D477" s="733" t="s">
        <v>1598</v>
      </c>
      <c r="E477" s="734">
        <v>5.3</v>
      </c>
      <c r="F477" s="731" t="s">
        <v>1599</v>
      </c>
      <c r="G477" s="731" t="s">
        <v>1600</v>
      </c>
      <c r="H477" s="731" t="s">
        <v>1807</v>
      </c>
      <c r="I477" s="736">
        <v>1734</v>
      </c>
      <c r="J477" s="735" t="s">
        <v>1599</v>
      </c>
      <c r="K477" s="737">
        <v>2160</v>
      </c>
      <c r="L477" s="744">
        <f t="shared" si="37"/>
        <v>6616.6</v>
      </c>
      <c r="M477" s="742">
        <v>8776.6</v>
      </c>
      <c r="N477" s="843">
        <v>5341.6</v>
      </c>
      <c r="O477" s="710">
        <f t="shared" si="38"/>
        <v>28.310479999999998</v>
      </c>
      <c r="P477" s="711">
        <f t="shared" si="39"/>
        <v>0.88470249999999995</v>
      </c>
      <c r="Q477" s="712">
        <f t="shared" si="40"/>
        <v>9262.3343999999997</v>
      </c>
    </row>
    <row r="478" spans="1:17" ht="15.75" customHeight="1">
      <c r="A478" s="722" t="s">
        <v>2319</v>
      </c>
      <c r="B478" s="723">
        <v>45126</v>
      </c>
      <c r="C478" s="724" t="s">
        <v>1597</v>
      </c>
      <c r="D478" s="724" t="s">
        <v>1598</v>
      </c>
      <c r="E478" s="725">
        <v>7.1</v>
      </c>
      <c r="F478" s="722" t="s">
        <v>1599</v>
      </c>
      <c r="G478" s="722" t="s">
        <v>1600</v>
      </c>
      <c r="H478" s="722" t="s">
        <v>1886</v>
      </c>
      <c r="I478" s="727">
        <v>13877</v>
      </c>
      <c r="J478" s="726" t="s">
        <v>1599</v>
      </c>
      <c r="K478" s="728">
        <v>3700</v>
      </c>
      <c r="L478" s="743">
        <f t="shared" si="37"/>
        <v>10189.799999999999</v>
      </c>
      <c r="M478" s="730">
        <v>13889.8</v>
      </c>
      <c r="N478" s="842">
        <v>7660</v>
      </c>
      <c r="O478" s="710">
        <f t="shared" si="38"/>
        <v>54.386000000000003</v>
      </c>
      <c r="P478" s="711">
        <f t="shared" si="39"/>
        <v>1.6995625000000001</v>
      </c>
      <c r="Q478" s="712">
        <f t="shared" si="40"/>
        <v>106297.82</v>
      </c>
    </row>
    <row r="479" spans="1:17" ht="15.75" customHeight="1">
      <c r="A479" s="731" t="s">
        <v>2320</v>
      </c>
      <c r="B479" s="732">
        <v>45127</v>
      </c>
      <c r="C479" s="733" t="s">
        <v>1597</v>
      </c>
      <c r="D479" s="733" t="s">
        <v>1598</v>
      </c>
      <c r="E479" s="734">
        <v>7.1</v>
      </c>
      <c r="F479" s="731" t="s">
        <v>1599</v>
      </c>
      <c r="G479" s="731" t="s">
        <v>1600</v>
      </c>
      <c r="H479" s="731" t="s">
        <v>1886</v>
      </c>
      <c r="I479" s="736">
        <v>13877</v>
      </c>
      <c r="J479" s="735" t="s">
        <v>1599</v>
      </c>
      <c r="K479" s="737">
        <v>3840</v>
      </c>
      <c r="L479" s="744">
        <f t="shared" si="37"/>
        <v>12014</v>
      </c>
      <c r="M479" s="739">
        <v>15854</v>
      </c>
      <c r="N479" s="843">
        <v>8988</v>
      </c>
      <c r="O479" s="710">
        <f t="shared" si="38"/>
        <v>63.814799999999998</v>
      </c>
      <c r="P479" s="711">
        <f t="shared" si="39"/>
        <v>1.9942124999999999</v>
      </c>
      <c r="Q479" s="712">
        <f t="shared" si="40"/>
        <v>124726.476</v>
      </c>
    </row>
    <row r="480" spans="1:17" ht="15.75" customHeight="1">
      <c r="A480" s="722" t="s">
        <v>2321</v>
      </c>
      <c r="B480" s="723">
        <v>45128</v>
      </c>
      <c r="C480" s="724" t="s">
        <v>1597</v>
      </c>
      <c r="D480" s="724" t="s">
        <v>1598</v>
      </c>
      <c r="E480" s="725">
        <v>7.1</v>
      </c>
      <c r="F480" s="722" t="s">
        <v>1599</v>
      </c>
      <c r="G480" s="722" t="s">
        <v>1600</v>
      </c>
      <c r="H480" s="722" t="s">
        <v>1886</v>
      </c>
      <c r="I480" s="727">
        <v>13877</v>
      </c>
      <c r="J480" s="726" t="s">
        <v>1599</v>
      </c>
      <c r="K480" s="728">
        <v>3840</v>
      </c>
      <c r="L480" s="743">
        <f t="shared" si="37"/>
        <v>10726</v>
      </c>
      <c r="M480" s="741">
        <v>14566</v>
      </c>
      <c r="N480" s="842">
        <v>8196.2000000000007</v>
      </c>
      <c r="O480" s="710">
        <f t="shared" si="38"/>
        <v>58.193020000000004</v>
      </c>
      <c r="P480" s="711">
        <f t="shared" si="39"/>
        <v>1.8185318750000001</v>
      </c>
      <c r="Q480" s="712">
        <f t="shared" si="40"/>
        <v>113738.66740000001</v>
      </c>
    </row>
    <row r="481" spans="1:17" ht="15.75" customHeight="1">
      <c r="A481" s="731" t="s">
        <v>2322</v>
      </c>
      <c r="B481" s="732">
        <v>45134</v>
      </c>
      <c r="C481" s="733" t="s">
        <v>1597</v>
      </c>
      <c r="D481" s="733" t="s">
        <v>1598</v>
      </c>
      <c r="E481" s="734">
        <v>3.6</v>
      </c>
      <c r="F481" s="731" t="s">
        <v>1599</v>
      </c>
      <c r="G481" s="731" t="s">
        <v>1600</v>
      </c>
      <c r="H481" s="731" t="s">
        <v>1976</v>
      </c>
      <c r="I481" s="736">
        <v>4608</v>
      </c>
      <c r="J481" s="735" t="s">
        <v>1599</v>
      </c>
      <c r="K481" s="737">
        <v>2180</v>
      </c>
      <c r="L481" s="744">
        <f t="shared" si="37"/>
        <v>6176.66</v>
      </c>
      <c r="M481" s="742">
        <v>8356.66</v>
      </c>
      <c r="N481" s="843">
        <v>5257.23</v>
      </c>
      <c r="O481" s="710">
        <f t="shared" si="38"/>
        <v>18.926027999999999</v>
      </c>
      <c r="P481" s="711">
        <f t="shared" si="39"/>
        <v>0.59143837499999996</v>
      </c>
      <c r="Q481" s="712">
        <f t="shared" si="40"/>
        <v>24225.315839999996</v>
      </c>
    </row>
    <row r="482" spans="1:17" ht="15.75" customHeight="1">
      <c r="A482" s="722" t="s">
        <v>2323</v>
      </c>
      <c r="B482" s="723">
        <v>45134</v>
      </c>
      <c r="C482" s="724" t="s">
        <v>1597</v>
      </c>
      <c r="D482" s="724" t="s">
        <v>1598</v>
      </c>
      <c r="E482" s="725">
        <v>2.8</v>
      </c>
      <c r="F482" s="722" t="s">
        <v>1599</v>
      </c>
      <c r="G482" s="722" t="s">
        <v>1600</v>
      </c>
      <c r="H482" s="722" t="s">
        <v>1971</v>
      </c>
      <c r="I482" s="727">
        <v>4358</v>
      </c>
      <c r="J482" s="726" t="s">
        <v>1599</v>
      </c>
      <c r="K482" s="728">
        <v>3900</v>
      </c>
      <c r="L482" s="743">
        <f t="shared" si="37"/>
        <v>12086.41</v>
      </c>
      <c r="M482" s="741">
        <v>15986.41</v>
      </c>
      <c r="N482" s="842">
        <v>10096.49</v>
      </c>
      <c r="O482" s="710">
        <f t="shared" si="38"/>
        <v>28.270171999999999</v>
      </c>
      <c r="P482" s="711">
        <f t="shared" si="39"/>
        <v>0.88344287499999996</v>
      </c>
      <c r="Q482" s="712">
        <f t="shared" si="40"/>
        <v>44000.503420000001</v>
      </c>
    </row>
    <row r="483" spans="1:17" ht="15.75" customHeight="1">
      <c r="A483" s="731" t="s">
        <v>2324</v>
      </c>
      <c r="B483" s="732">
        <v>45138</v>
      </c>
      <c r="C483" s="733" t="s">
        <v>1597</v>
      </c>
      <c r="D483" s="733" t="s">
        <v>1598</v>
      </c>
      <c r="E483" s="734">
        <v>7.1</v>
      </c>
      <c r="F483" s="731" t="s">
        <v>1599</v>
      </c>
      <c r="G483" s="731" t="s">
        <v>1600</v>
      </c>
      <c r="H483" s="731" t="s">
        <v>1807</v>
      </c>
      <c r="I483" s="736">
        <v>1734</v>
      </c>
      <c r="J483" s="735" t="s">
        <v>1599</v>
      </c>
      <c r="K483" s="734">
        <v>2100</v>
      </c>
      <c r="L483" s="744">
        <f t="shared" si="37"/>
        <v>6022</v>
      </c>
      <c r="M483" s="734">
        <v>8122</v>
      </c>
      <c r="N483" s="895">
        <v>4800</v>
      </c>
      <c r="O483" s="710">
        <f t="shared" si="38"/>
        <v>34.08</v>
      </c>
      <c r="P483" s="711">
        <f t="shared" si="39"/>
        <v>1.0649999999999999</v>
      </c>
      <c r="Q483" s="712">
        <f t="shared" si="40"/>
        <v>8323.2000000000007</v>
      </c>
    </row>
    <row r="484" spans="1:17" ht="15.75" customHeight="1">
      <c r="A484" s="722" t="s">
        <v>2325</v>
      </c>
      <c r="B484" s="723">
        <v>45138</v>
      </c>
      <c r="C484" s="724" t="s">
        <v>1597</v>
      </c>
      <c r="D484" s="724" t="s">
        <v>1598</v>
      </c>
      <c r="E484" s="725">
        <v>7.1</v>
      </c>
      <c r="F484" s="722" t="s">
        <v>1599</v>
      </c>
      <c r="G484" s="722" t="s">
        <v>1600</v>
      </c>
      <c r="H484" s="722" t="s">
        <v>1807</v>
      </c>
      <c r="I484" s="727">
        <v>1734</v>
      </c>
      <c r="J484" s="726" t="s">
        <v>1599</v>
      </c>
      <c r="K484" s="725">
        <v>3700</v>
      </c>
      <c r="L484" s="743">
        <f t="shared" si="37"/>
        <v>10995.5</v>
      </c>
      <c r="M484" s="725">
        <v>14695.5</v>
      </c>
      <c r="N484" s="841">
        <v>8161.5</v>
      </c>
      <c r="O484" s="710">
        <f t="shared" si="38"/>
        <v>57.946649999999991</v>
      </c>
      <c r="P484" s="711">
        <f t="shared" si="39"/>
        <v>1.8108328124999997</v>
      </c>
      <c r="Q484" s="712">
        <f t="shared" si="40"/>
        <v>14152.040999999999</v>
      </c>
    </row>
    <row r="485" spans="1:17" ht="15.75" customHeight="1">
      <c r="A485" s="731" t="s">
        <v>2326</v>
      </c>
      <c r="B485" s="732">
        <v>45133</v>
      </c>
      <c r="C485" s="733" t="s">
        <v>1597</v>
      </c>
      <c r="D485" s="733" t="s">
        <v>1598</v>
      </c>
      <c r="E485" s="734">
        <v>7.1</v>
      </c>
      <c r="F485" s="731" t="s">
        <v>1599</v>
      </c>
      <c r="G485" s="731" t="s">
        <v>1600</v>
      </c>
      <c r="H485" s="731" t="s">
        <v>1828</v>
      </c>
      <c r="I485" s="736">
        <v>7448</v>
      </c>
      <c r="J485" s="735" t="s">
        <v>1599</v>
      </c>
      <c r="K485" s="737">
        <v>3840</v>
      </c>
      <c r="L485" s="744">
        <f t="shared" si="37"/>
        <v>20802</v>
      </c>
      <c r="M485" s="742">
        <v>24642</v>
      </c>
      <c r="N485" s="843">
        <v>16608</v>
      </c>
      <c r="O485" s="710">
        <f t="shared" si="38"/>
        <v>117.91679999999999</v>
      </c>
      <c r="P485" s="711">
        <f t="shared" si="39"/>
        <v>3.6848999999999998</v>
      </c>
      <c r="Q485" s="712">
        <f t="shared" si="40"/>
        <v>123696.38400000001</v>
      </c>
    </row>
    <row r="486" spans="1:17" ht="15.75" customHeight="1">
      <c r="A486" s="722" t="s">
        <v>2327</v>
      </c>
      <c r="B486" s="723">
        <v>45134</v>
      </c>
      <c r="C486" s="724" t="s">
        <v>1597</v>
      </c>
      <c r="D486" s="724" t="s">
        <v>1598</v>
      </c>
      <c r="E486" s="725">
        <v>3.6</v>
      </c>
      <c r="F486" s="722" t="s">
        <v>1599</v>
      </c>
      <c r="G486" s="722" t="s">
        <v>1600</v>
      </c>
      <c r="H486" s="722" t="s">
        <v>2043</v>
      </c>
      <c r="I486" s="727">
        <v>4220</v>
      </c>
      <c r="J486" s="726" t="s">
        <v>1599</v>
      </c>
      <c r="K486" s="728">
        <v>3830</v>
      </c>
      <c r="L486" s="743">
        <f t="shared" si="37"/>
        <v>11691.31</v>
      </c>
      <c r="M486" s="741">
        <v>15521.31</v>
      </c>
      <c r="N486" s="842">
        <v>953.32</v>
      </c>
      <c r="O486" s="710">
        <f t="shared" si="38"/>
        <v>3.4319520000000003</v>
      </c>
      <c r="P486" s="711">
        <f t="shared" si="39"/>
        <v>0.10724850000000001</v>
      </c>
      <c r="Q486" s="712">
        <f t="shared" si="40"/>
        <v>4023.0104000000006</v>
      </c>
    </row>
    <row r="487" spans="1:17" ht="15.75" customHeight="1">
      <c r="A487" s="731" t="s">
        <v>2328</v>
      </c>
      <c r="B487" s="732">
        <v>45132</v>
      </c>
      <c r="C487" s="733" t="s">
        <v>1597</v>
      </c>
      <c r="D487" s="733" t="s">
        <v>1598</v>
      </c>
      <c r="E487" s="734">
        <v>7.1</v>
      </c>
      <c r="F487" s="731" t="s">
        <v>1599</v>
      </c>
      <c r="G487" s="731" t="s">
        <v>1600</v>
      </c>
      <c r="H487" s="731" t="s">
        <v>1809</v>
      </c>
      <c r="I487" s="736">
        <v>15168</v>
      </c>
      <c r="J487" s="735" t="s">
        <v>1599</v>
      </c>
      <c r="K487" s="737">
        <v>3880</v>
      </c>
      <c r="L487" s="744">
        <f t="shared" si="37"/>
        <v>19859.599999999999</v>
      </c>
      <c r="M487" s="742">
        <v>23739.599999999999</v>
      </c>
      <c r="N487" s="843">
        <v>16464</v>
      </c>
      <c r="O487" s="710">
        <f t="shared" si="38"/>
        <v>116.89439999999999</v>
      </c>
      <c r="P487" s="711">
        <f t="shared" si="39"/>
        <v>3.6529499999999997</v>
      </c>
      <c r="Q487" s="712">
        <f t="shared" si="40"/>
        <v>249725.95199999999</v>
      </c>
    </row>
    <row r="488" spans="1:17" ht="15.75" customHeight="1">
      <c r="A488" s="722" t="s">
        <v>2329</v>
      </c>
      <c r="B488" s="723">
        <v>45138</v>
      </c>
      <c r="C488" s="724" t="s">
        <v>1597</v>
      </c>
      <c r="D488" s="724" t="s">
        <v>1598</v>
      </c>
      <c r="E488" s="725">
        <v>7.1</v>
      </c>
      <c r="F488" s="722" t="s">
        <v>1599</v>
      </c>
      <c r="G488" s="722" t="s">
        <v>1600</v>
      </c>
      <c r="H488" s="722" t="s">
        <v>1809</v>
      </c>
      <c r="I488" s="727">
        <v>15168</v>
      </c>
      <c r="J488" s="726" t="s">
        <v>1599</v>
      </c>
      <c r="K488" s="725">
        <v>3840</v>
      </c>
      <c r="L488" s="743">
        <f t="shared" si="37"/>
        <v>19859.599999999999</v>
      </c>
      <c r="M488" s="725">
        <v>23699.599999999999</v>
      </c>
      <c r="N488" s="841">
        <v>16464</v>
      </c>
      <c r="O488" s="710">
        <f t="shared" si="38"/>
        <v>116.89439999999999</v>
      </c>
      <c r="P488" s="711">
        <f t="shared" si="39"/>
        <v>3.6529499999999997</v>
      </c>
      <c r="Q488" s="712">
        <f t="shared" si="40"/>
        <v>249725.95199999999</v>
      </c>
    </row>
    <row r="489" spans="1:17" ht="15.75" customHeight="1">
      <c r="A489" s="731" t="s">
        <v>2330</v>
      </c>
      <c r="B489" s="732">
        <v>45134</v>
      </c>
      <c r="C489" s="733" t="s">
        <v>1597</v>
      </c>
      <c r="D489" s="733" t="s">
        <v>1598</v>
      </c>
      <c r="E489" s="734">
        <v>7.1</v>
      </c>
      <c r="F489" s="731" t="s">
        <v>1599</v>
      </c>
      <c r="G489" s="731" t="s">
        <v>1600</v>
      </c>
      <c r="H489" s="731" t="s">
        <v>1809</v>
      </c>
      <c r="I489" s="736">
        <v>15168</v>
      </c>
      <c r="J489" s="735" t="s">
        <v>1599</v>
      </c>
      <c r="K489" s="737">
        <v>3700</v>
      </c>
      <c r="L489" s="744">
        <f t="shared" si="37"/>
        <v>19859.599999999999</v>
      </c>
      <c r="M489" s="742">
        <v>23559.599999999999</v>
      </c>
      <c r="N489" s="843">
        <v>16464</v>
      </c>
      <c r="O489" s="710">
        <f t="shared" si="38"/>
        <v>116.89439999999999</v>
      </c>
      <c r="P489" s="711">
        <f t="shared" si="39"/>
        <v>3.6529499999999997</v>
      </c>
      <c r="Q489" s="712">
        <f t="shared" si="40"/>
        <v>249725.95199999999</v>
      </c>
    </row>
    <row r="490" spans="1:17" ht="15.75" customHeight="1">
      <c r="A490" s="722" t="s">
        <v>2331</v>
      </c>
      <c r="B490" s="723">
        <v>45138</v>
      </c>
      <c r="C490" s="724" t="s">
        <v>1597</v>
      </c>
      <c r="D490" s="724" t="s">
        <v>1598</v>
      </c>
      <c r="E490" s="725">
        <v>7.1</v>
      </c>
      <c r="F490" s="722" t="s">
        <v>1599</v>
      </c>
      <c r="G490" s="722" t="s">
        <v>1600</v>
      </c>
      <c r="H490" s="722" t="s">
        <v>1831</v>
      </c>
      <c r="I490" s="727">
        <v>7283</v>
      </c>
      <c r="J490" s="726" t="s">
        <v>1599</v>
      </c>
      <c r="K490" s="725">
        <v>3560</v>
      </c>
      <c r="L490" s="743">
        <f t="shared" si="37"/>
        <v>22882</v>
      </c>
      <c r="M490" s="725">
        <v>26442</v>
      </c>
      <c r="N490" s="841">
        <v>19426</v>
      </c>
      <c r="O490" s="710">
        <f t="shared" si="38"/>
        <v>137.9246</v>
      </c>
      <c r="P490" s="711">
        <f t="shared" si="39"/>
        <v>4.3101437499999999</v>
      </c>
      <c r="Q490" s="712">
        <f t="shared" si="40"/>
        <v>141479.55799999999</v>
      </c>
    </row>
    <row r="491" spans="1:17" ht="15.75" customHeight="1">
      <c r="A491" s="731" t="s">
        <v>2332</v>
      </c>
      <c r="B491" s="732">
        <v>45138</v>
      </c>
      <c r="C491" s="733" t="s">
        <v>1597</v>
      </c>
      <c r="D491" s="733" t="s">
        <v>1598</v>
      </c>
      <c r="E491" s="734">
        <v>7.1</v>
      </c>
      <c r="F491" s="731" t="s">
        <v>1599</v>
      </c>
      <c r="G491" s="731" t="s">
        <v>1600</v>
      </c>
      <c r="H491" s="731" t="s">
        <v>1831</v>
      </c>
      <c r="I491" s="736">
        <v>7283</v>
      </c>
      <c r="J491" s="735" t="s">
        <v>1599</v>
      </c>
      <c r="K491" s="734">
        <v>3570</v>
      </c>
      <c r="L491" s="744">
        <f t="shared" si="37"/>
        <v>23977</v>
      </c>
      <c r="M491" s="734">
        <v>27547</v>
      </c>
      <c r="N491" s="895">
        <v>21069</v>
      </c>
      <c r="O491" s="710">
        <f t="shared" si="38"/>
        <v>149.5899</v>
      </c>
      <c r="P491" s="711">
        <f t="shared" si="39"/>
        <v>4.674684375</v>
      </c>
      <c r="Q491" s="712">
        <f t="shared" si="40"/>
        <v>153445.527</v>
      </c>
    </row>
    <row r="492" spans="1:17" ht="15.75" customHeight="1">
      <c r="A492" s="722" t="s">
        <v>2333</v>
      </c>
      <c r="B492" s="723">
        <v>45138</v>
      </c>
      <c r="C492" s="724" t="s">
        <v>1597</v>
      </c>
      <c r="D492" s="724" t="s">
        <v>1598</v>
      </c>
      <c r="E492" s="725">
        <v>7.1</v>
      </c>
      <c r="F492" s="722" t="s">
        <v>1599</v>
      </c>
      <c r="G492" s="722" t="s">
        <v>1600</v>
      </c>
      <c r="H492" s="722" t="s">
        <v>1831</v>
      </c>
      <c r="I492" s="727">
        <v>7283</v>
      </c>
      <c r="J492" s="726" t="s">
        <v>1599</v>
      </c>
      <c r="K492" s="725">
        <v>3720</v>
      </c>
      <c r="L492" s="743">
        <f t="shared" si="37"/>
        <v>21452</v>
      </c>
      <c r="M492" s="725">
        <v>25172</v>
      </c>
      <c r="N492" s="841">
        <v>12216</v>
      </c>
      <c r="O492" s="710">
        <f t="shared" si="38"/>
        <v>86.733599999999996</v>
      </c>
      <c r="P492" s="711">
        <f t="shared" si="39"/>
        <v>2.7104249999999999</v>
      </c>
      <c r="Q492" s="712">
        <f t="shared" si="40"/>
        <v>88969.127999999997</v>
      </c>
    </row>
    <row r="493" spans="1:17" ht="15.75" customHeight="1">
      <c r="A493" s="731" t="s">
        <v>2334</v>
      </c>
      <c r="B493" s="732">
        <v>45138</v>
      </c>
      <c r="C493" s="733" t="s">
        <v>1597</v>
      </c>
      <c r="D493" s="733" t="s">
        <v>1598</v>
      </c>
      <c r="E493" s="734">
        <v>5.2</v>
      </c>
      <c r="F493" s="731" t="s">
        <v>1599</v>
      </c>
      <c r="G493" s="731" t="s">
        <v>1600</v>
      </c>
      <c r="H493" s="731" t="s">
        <v>1893</v>
      </c>
      <c r="I493" s="736">
        <v>2167</v>
      </c>
      <c r="J493" s="735" t="s">
        <v>1599</v>
      </c>
      <c r="K493" s="737">
        <v>2200</v>
      </c>
      <c r="L493" s="744">
        <f t="shared" si="37"/>
        <v>4420.7</v>
      </c>
      <c r="M493" s="742">
        <v>6620.7</v>
      </c>
      <c r="N493" s="843">
        <v>3087.3</v>
      </c>
      <c r="O493" s="710">
        <f t="shared" si="38"/>
        <v>16.05396</v>
      </c>
      <c r="P493" s="711">
        <f t="shared" si="39"/>
        <v>0.50168625</v>
      </c>
      <c r="Q493" s="712">
        <f t="shared" si="40"/>
        <v>6690.1791000000003</v>
      </c>
    </row>
    <row r="494" spans="1:17" ht="15.75" customHeight="1">
      <c r="A494" s="722" t="s">
        <v>2335</v>
      </c>
      <c r="B494" s="723">
        <v>45138</v>
      </c>
      <c r="C494" s="724" t="s">
        <v>1597</v>
      </c>
      <c r="D494" s="724" t="s">
        <v>1598</v>
      </c>
      <c r="E494" s="725">
        <v>5.3</v>
      </c>
      <c r="F494" s="722" t="s">
        <v>1599</v>
      </c>
      <c r="G494" s="722" t="s">
        <v>1600</v>
      </c>
      <c r="H494" s="722" t="s">
        <v>1873</v>
      </c>
      <c r="I494" s="727">
        <v>3824</v>
      </c>
      <c r="J494" s="726" t="s">
        <v>1599</v>
      </c>
      <c r="K494" s="728">
        <v>3640</v>
      </c>
      <c r="L494" s="743">
        <f t="shared" si="37"/>
        <v>9667.19</v>
      </c>
      <c r="M494" s="741">
        <v>13307.19</v>
      </c>
      <c r="N494" s="842">
        <v>7317.36</v>
      </c>
      <c r="O494" s="710">
        <f t="shared" si="38"/>
        <v>38.782007999999998</v>
      </c>
      <c r="P494" s="711">
        <f t="shared" si="39"/>
        <v>1.2119377499999999</v>
      </c>
      <c r="Q494" s="712">
        <f t="shared" si="40"/>
        <v>27981.584640000001</v>
      </c>
    </row>
    <row r="495" spans="1:17" ht="15.75" customHeight="1">
      <c r="A495" s="731" t="s">
        <v>2336</v>
      </c>
      <c r="B495" s="732">
        <v>45133</v>
      </c>
      <c r="C495" s="733" t="s">
        <v>1597</v>
      </c>
      <c r="D495" s="733" t="s">
        <v>1598</v>
      </c>
      <c r="E495" s="734">
        <v>7.1</v>
      </c>
      <c r="F495" s="731" t="s">
        <v>1599</v>
      </c>
      <c r="G495" s="731" t="s">
        <v>1600</v>
      </c>
      <c r="H495" s="731" t="s">
        <v>1886</v>
      </c>
      <c r="I495" s="736">
        <v>13877</v>
      </c>
      <c r="J495" s="735" t="s">
        <v>1599</v>
      </c>
      <c r="K495" s="737">
        <v>3770</v>
      </c>
      <c r="L495" s="744">
        <f t="shared" si="37"/>
        <v>10189.799999999999</v>
      </c>
      <c r="M495" s="742">
        <v>13959.8</v>
      </c>
      <c r="N495" s="843">
        <v>7660</v>
      </c>
      <c r="O495" s="710">
        <f t="shared" si="38"/>
        <v>54.386000000000003</v>
      </c>
      <c r="P495" s="711">
        <f t="shared" si="39"/>
        <v>1.6995625000000001</v>
      </c>
      <c r="Q495" s="712">
        <f t="shared" si="40"/>
        <v>106297.82</v>
      </c>
    </row>
    <row r="496" spans="1:17" ht="15.75" customHeight="1">
      <c r="A496" s="722" t="s">
        <v>2337</v>
      </c>
      <c r="B496" s="723">
        <v>45133</v>
      </c>
      <c r="C496" s="724" t="s">
        <v>1597</v>
      </c>
      <c r="D496" s="724" t="s">
        <v>1598</v>
      </c>
      <c r="E496" s="725">
        <v>7.1</v>
      </c>
      <c r="F496" s="722" t="s">
        <v>1599</v>
      </c>
      <c r="G496" s="722" t="s">
        <v>1600</v>
      </c>
      <c r="H496" s="722" t="s">
        <v>1886</v>
      </c>
      <c r="I496" s="727">
        <v>13877</v>
      </c>
      <c r="J496" s="726" t="s">
        <v>1599</v>
      </c>
      <c r="K496" s="728">
        <v>3700</v>
      </c>
      <c r="L496" s="743">
        <f t="shared" si="37"/>
        <v>12014</v>
      </c>
      <c r="M496" s="741">
        <v>15714</v>
      </c>
      <c r="N496" s="842">
        <v>8988</v>
      </c>
      <c r="O496" s="710">
        <f t="shared" si="38"/>
        <v>63.814799999999998</v>
      </c>
      <c r="P496" s="711">
        <f t="shared" si="39"/>
        <v>1.9942124999999999</v>
      </c>
      <c r="Q496" s="712">
        <f t="shared" si="40"/>
        <v>124726.476</v>
      </c>
    </row>
    <row r="497" spans="1:17" ht="15.75" customHeight="1">
      <c r="A497" s="731" t="s">
        <v>2338</v>
      </c>
      <c r="B497" s="732">
        <v>45133</v>
      </c>
      <c r="C497" s="733" t="s">
        <v>1597</v>
      </c>
      <c r="D497" s="733" t="s">
        <v>1598</v>
      </c>
      <c r="E497" s="734">
        <v>7.1</v>
      </c>
      <c r="F497" s="731" t="s">
        <v>1599</v>
      </c>
      <c r="G497" s="731" t="s">
        <v>1600</v>
      </c>
      <c r="H497" s="731" t="s">
        <v>1886</v>
      </c>
      <c r="I497" s="736">
        <v>13877</v>
      </c>
      <c r="J497" s="735" t="s">
        <v>1599</v>
      </c>
      <c r="K497" s="737">
        <v>3770</v>
      </c>
      <c r="L497" s="744">
        <f t="shared" si="37"/>
        <v>10726</v>
      </c>
      <c r="M497" s="742">
        <v>14496</v>
      </c>
      <c r="N497" s="843">
        <v>8196.2000000000007</v>
      </c>
      <c r="O497" s="710">
        <f t="shared" si="38"/>
        <v>58.193020000000004</v>
      </c>
      <c r="P497" s="711">
        <f t="shared" si="39"/>
        <v>1.8185318750000001</v>
      </c>
      <c r="Q497" s="712">
        <f t="shared" si="40"/>
        <v>113738.66740000001</v>
      </c>
    </row>
    <row r="498" spans="1:17" ht="15.75" customHeight="1">
      <c r="A498" s="722" t="s">
        <v>2339</v>
      </c>
      <c r="B498" s="723">
        <v>45133</v>
      </c>
      <c r="C498" s="724" t="s">
        <v>1597</v>
      </c>
      <c r="D498" s="724" t="s">
        <v>1598</v>
      </c>
      <c r="E498" s="725">
        <v>7.1</v>
      </c>
      <c r="F498" s="722" t="s">
        <v>1599</v>
      </c>
      <c r="G498" s="722" t="s">
        <v>1600</v>
      </c>
      <c r="H498" s="722" t="s">
        <v>1886</v>
      </c>
      <c r="I498" s="727">
        <v>13877</v>
      </c>
      <c r="J498" s="726" t="s">
        <v>1599</v>
      </c>
      <c r="K498" s="728">
        <v>3700</v>
      </c>
      <c r="L498" s="743">
        <f t="shared" si="37"/>
        <v>10189.799999999999</v>
      </c>
      <c r="M498" s="741">
        <v>13889.8</v>
      </c>
      <c r="N498" s="842">
        <v>7660</v>
      </c>
      <c r="O498" s="710">
        <f t="shared" si="38"/>
        <v>54.386000000000003</v>
      </c>
      <c r="P498" s="711">
        <f t="shared" si="39"/>
        <v>1.6995625000000001</v>
      </c>
      <c r="Q498" s="712">
        <f t="shared" si="40"/>
        <v>106297.82</v>
      </c>
    </row>
    <row r="499" spans="1:17" ht="15.75" customHeight="1">
      <c r="A499" s="731" t="s">
        <v>2340</v>
      </c>
      <c r="B499" s="732">
        <v>45136</v>
      </c>
      <c r="C499" s="733" t="s">
        <v>1597</v>
      </c>
      <c r="D499" s="733" t="s">
        <v>1598</v>
      </c>
      <c r="E499" s="734">
        <v>7.5</v>
      </c>
      <c r="F499" s="731" t="s">
        <v>1599</v>
      </c>
      <c r="G499" s="731" t="s">
        <v>1600</v>
      </c>
      <c r="H499" s="731" t="s">
        <v>1798</v>
      </c>
      <c r="I499" s="736">
        <v>1931</v>
      </c>
      <c r="J499" s="735" t="s">
        <v>1599</v>
      </c>
      <c r="K499" s="737">
        <v>4542.6000000000004</v>
      </c>
      <c r="L499" s="744">
        <f t="shared" si="37"/>
        <v>996.39999999999964</v>
      </c>
      <c r="M499" s="742">
        <v>5539</v>
      </c>
      <c r="N499" s="843">
        <v>4542.6000000000004</v>
      </c>
      <c r="O499" s="710">
        <f t="shared" si="38"/>
        <v>34.069499999999998</v>
      </c>
      <c r="P499" s="711">
        <f t="shared" si="39"/>
        <v>1.0646718749999999</v>
      </c>
      <c r="Q499" s="712">
        <f t="shared" si="40"/>
        <v>8771.7606000000014</v>
      </c>
    </row>
    <row r="500" spans="1:17" ht="15.75" customHeight="1">
      <c r="A500" s="722" t="s">
        <v>2341</v>
      </c>
      <c r="B500" s="723">
        <v>45147</v>
      </c>
      <c r="C500" s="724" t="s">
        <v>1597</v>
      </c>
      <c r="D500" s="724" t="s">
        <v>1598</v>
      </c>
      <c r="E500" s="725">
        <v>7.1</v>
      </c>
      <c r="F500" s="722" t="s">
        <v>1599</v>
      </c>
      <c r="G500" s="722" t="s">
        <v>1600</v>
      </c>
      <c r="H500" s="722" t="s">
        <v>1841</v>
      </c>
      <c r="I500" s="727">
        <v>9486</v>
      </c>
      <c r="J500" s="726" t="s">
        <v>1599</v>
      </c>
      <c r="K500" s="728">
        <v>3770</v>
      </c>
      <c r="L500" s="743">
        <f t="shared" si="37"/>
        <v>17526.45</v>
      </c>
      <c r="M500" s="741">
        <v>21296.45</v>
      </c>
      <c r="N500" s="842">
        <v>14137.8</v>
      </c>
      <c r="O500" s="710">
        <f t="shared" si="38"/>
        <v>100.37837999999999</v>
      </c>
      <c r="P500" s="711">
        <f t="shared" si="39"/>
        <v>3.1368243749999998</v>
      </c>
      <c r="Q500" s="712">
        <f t="shared" si="40"/>
        <v>134111.17079999999</v>
      </c>
    </row>
    <row r="501" spans="1:17" ht="15.75" customHeight="1">
      <c r="A501" s="731" t="s">
        <v>2342</v>
      </c>
      <c r="B501" s="732">
        <v>45147</v>
      </c>
      <c r="C501" s="733" t="s">
        <v>1597</v>
      </c>
      <c r="D501" s="733" t="s">
        <v>1598</v>
      </c>
      <c r="E501" s="734">
        <v>7.1</v>
      </c>
      <c r="F501" s="731" t="s">
        <v>1599</v>
      </c>
      <c r="G501" s="731" t="s">
        <v>1600</v>
      </c>
      <c r="H501" s="731" t="s">
        <v>1841</v>
      </c>
      <c r="I501" s="736">
        <v>9486</v>
      </c>
      <c r="J501" s="735" t="s">
        <v>1599</v>
      </c>
      <c r="K501" s="737">
        <v>3840</v>
      </c>
      <c r="L501" s="744">
        <f t="shared" si="37"/>
        <v>15427.849999999999</v>
      </c>
      <c r="M501" s="742">
        <v>19267.849999999999</v>
      </c>
      <c r="N501" s="843">
        <v>10317.65</v>
      </c>
      <c r="O501" s="710">
        <f t="shared" si="38"/>
        <v>73.255314999999982</v>
      </c>
      <c r="P501" s="711">
        <f t="shared" si="39"/>
        <v>2.2892285937499994</v>
      </c>
      <c r="Q501" s="712">
        <f t="shared" si="40"/>
        <v>97873.227899999998</v>
      </c>
    </row>
    <row r="502" spans="1:17" ht="15.75" customHeight="1">
      <c r="A502" s="722" t="s">
        <v>2343</v>
      </c>
      <c r="B502" s="723">
        <v>45147</v>
      </c>
      <c r="C502" s="724" t="s">
        <v>1597</v>
      </c>
      <c r="D502" s="724" t="s">
        <v>1598</v>
      </c>
      <c r="E502" s="725">
        <v>7.1</v>
      </c>
      <c r="F502" s="722" t="s">
        <v>1599</v>
      </c>
      <c r="G502" s="722" t="s">
        <v>1600</v>
      </c>
      <c r="H502" s="722" t="s">
        <v>1841</v>
      </c>
      <c r="I502" s="727">
        <v>9486</v>
      </c>
      <c r="J502" s="726" t="s">
        <v>1599</v>
      </c>
      <c r="K502" s="728">
        <v>3900</v>
      </c>
      <c r="L502" s="743">
        <f t="shared" si="37"/>
        <v>16371.2</v>
      </c>
      <c r="M502" s="741">
        <v>20271.2</v>
      </c>
      <c r="N502" s="842">
        <v>12349.95</v>
      </c>
      <c r="O502" s="710">
        <f t="shared" si="38"/>
        <v>87.684645000000003</v>
      </c>
      <c r="P502" s="711">
        <f t="shared" si="39"/>
        <v>2.7401451562500001</v>
      </c>
      <c r="Q502" s="712">
        <f t="shared" si="40"/>
        <v>117151.6257</v>
      </c>
    </row>
    <row r="503" spans="1:17" ht="15.75" customHeight="1">
      <c r="A503" s="731" t="s">
        <v>2344</v>
      </c>
      <c r="B503" s="732">
        <v>45141</v>
      </c>
      <c r="C503" s="733" t="s">
        <v>1597</v>
      </c>
      <c r="D503" s="733" t="s">
        <v>1598</v>
      </c>
      <c r="E503" s="734">
        <v>6</v>
      </c>
      <c r="F503" s="731" t="s">
        <v>1599</v>
      </c>
      <c r="G503" s="731" t="s">
        <v>1600</v>
      </c>
      <c r="H503" s="731" t="s">
        <v>1941</v>
      </c>
      <c r="I503" s="736">
        <v>1588</v>
      </c>
      <c r="J503" s="735" t="s">
        <v>1599</v>
      </c>
      <c r="K503" s="737">
        <v>2100</v>
      </c>
      <c r="L503" s="744">
        <f t="shared" si="37"/>
        <v>4300.8</v>
      </c>
      <c r="M503" s="742">
        <v>6400.8</v>
      </c>
      <c r="N503" s="843">
        <v>2998.8</v>
      </c>
      <c r="O503" s="710">
        <f t="shared" si="38"/>
        <v>17.992800000000003</v>
      </c>
      <c r="P503" s="711">
        <f t="shared" si="39"/>
        <v>0.56227500000000008</v>
      </c>
      <c r="Q503" s="712">
        <f t="shared" si="40"/>
        <v>4762.0944</v>
      </c>
    </row>
    <row r="504" spans="1:17" ht="15.75" customHeight="1">
      <c r="A504" s="722" t="s">
        <v>2345</v>
      </c>
      <c r="B504" s="723">
        <v>45140</v>
      </c>
      <c r="C504" s="724" t="s">
        <v>1597</v>
      </c>
      <c r="D504" s="724" t="s">
        <v>1598</v>
      </c>
      <c r="E504" s="725">
        <v>6.2</v>
      </c>
      <c r="F504" s="724" t="s">
        <v>1599</v>
      </c>
      <c r="G504" s="724" t="s">
        <v>1600</v>
      </c>
      <c r="H504" s="722" t="s">
        <v>1963</v>
      </c>
      <c r="I504" s="727">
        <v>14253</v>
      </c>
      <c r="J504" s="753" t="s">
        <v>1599</v>
      </c>
      <c r="K504" s="728">
        <v>3850</v>
      </c>
      <c r="L504" s="743">
        <f t="shared" si="37"/>
        <v>11107.99</v>
      </c>
      <c r="M504" s="741">
        <v>14957.99</v>
      </c>
      <c r="N504" s="842">
        <v>8287.44</v>
      </c>
      <c r="O504" s="710">
        <f t="shared" si="38"/>
        <v>51.382128000000002</v>
      </c>
      <c r="P504" s="711">
        <f t="shared" si="39"/>
        <v>1.6056915</v>
      </c>
      <c r="Q504" s="712">
        <f t="shared" si="40"/>
        <v>118120.88232</v>
      </c>
    </row>
    <row r="505" spans="1:17" ht="15.75" customHeight="1">
      <c r="A505" s="731" t="s">
        <v>2346</v>
      </c>
      <c r="B505" s="732">
        <v>45147</v>
      </c>
      <c r="C505" s="733" t="s">
        <v>1597</v>
      </c>
      <c r="D505" s="733" t="s">
        <v>1598</v>
      </c>
      <c r="E505" s="734">
        <v>5.3</v>
      </c>
      <c r="F505" s="731" t="s">
        <v>1599</v>
      </c>
      <c r="G505" s="731" t="s">
        <v>1600</v>
      </c>
      <c r="H505" s="731" t="s">
        <v>1807</v>
      </c>
      <c r="I505" s="736">
        <v>1734</v>
      </c>
      <c r="J505" s="735" t="s">
        <v>1599</v>
      </c>
      <c r="K505" s="737">
        <v>3640</v>
      </c>
      <c r="L505" s="744">
        <f t="shared" ref="L505:L522" si="41">M505-K505</f>
        <v>11897.5</v>
      </c>
      <c r="M505" s="742">
        <v>15537.5</v>
      </c>
      <c r="N505" s="843">
        <v>9099.5</v>
      </c>
      <c r="O505" s="710">
        <f t="shared" si="38"/>
        <v>48.227350000000001</v>
      </c>
      <c r="P505" s="711">
        <f t="shared" si="39"/>
        <v>1.5071046875</v>
      </c>
      <c r="Q505" s="712">
        <f t="shared" si="40"/>
        <v>15778.532999999999</v>
      </c>
    </row>
    <row r="506" spans="1:17" ht="15.75" customHeight="1">
      <c r="A506" s="722" t="s">
        <v>2347</v>
      </c>
      <c r="B506" s="723">
        <v>45146</v>
      </c>
      <c r="C506" s="724" t="s">
        <v>1597</v>
      </c>
      <c r="D506" s="724" t="s">
        <v>1598</v>
      </c>
      <c r="E506" s="725">
        <v>5.9</v>
      </c>
      <c r="F506" s="722" t="s">
        <v>1599</v>
      </c>
      <c r="G506" s="722" t="s">
        <v>1600</v>
      </c>
      <c r="H506" s="722" t="s">
        <v>1844</v>
      </c>
      <c r="I506" s="727">
        <v>5727</v>
      </c>
      <c r="J506" s="726" t="s">
        <v>1599</v>
      </c>
      <c r="K506" s="728">
        <v>2100</v>
      </c>
      <c r="L506" s="743">
        <f t="shared" si="41"/>
        <v>4049.0200000000004</v>
      </c>
      <c r="M506" s="741">
        <v>6149.02</v>
      </c>
      <c r="N506" s="842">
        <v>2975.58</v>
      </c>
      <c r="O506" s="710">
        <f t="shared" si="38"/>
        <v>17.555922000000002</v>
      </c>
      <c r="P506" s="711">
        <f t="shared" si="39"/>
        <v>0.54862256250000008</v>
      </c>
      <c r="Q506" s="712">
        <f t="shared" si="40"/>
        <v>17041.146659999999</v>
      </c>
    </row>
    <row r="507" spans="1:17" ht="15.75" customHeight="1">
      <c r="A507" s="731" t="s">
        <v>2348</v>
      </c>
      <c r="B507" s="732">
        <v>45141</v>
      </c>
      <c r="C507" s="733" t="s">
        <v>1597</v>
      </c>
      <c r="D507" s="733" t="s">
        <v>1598</v>
      </c>
      <c r="E507" s="734">
        <v>7.1</v>
      </c>
      <c r="F507" s="731" t="s">
        <v>1599</v>
      </c>
      <c r="G507" s="731" t="s">
        <v>1600</v>
      </c>
      <c r="H507" s="731" t="s">
        <v>1850</v>
      </c>
      <c r="I507" s="736">
        <v>9687</v>
      </c>
      <c r="J507" s="735" t="s">
        <v>1599</v>
      </c>
      <c r="K507" s="737">
        <v>3700</v>
      </c>
      <c r="L507" s="744">
        <f t="shared" si="41"/>
        <v>19877.3</v>
      </c>
      <c r="M507" s="742">
        <v>23577.3</v>
      </c>
      <c r="N507" s="843">
        <v>18582.3</v>
      </c>
      <c r="O507" s="710">
        <f t="shared" si="38"/>
        <v>131.93432999999999</v>
      </c>
      <c r="P507" s="711">
        <f t="shared" si="39"/>
        <v>4.1229478124999996</v>
      </c>
      <c r="Q507" s="712">
        <f t="shared" si="40"/>
        <v>180006.7401</v>
      </c>
    </row>
    <row r="508" spans="1:17" ht="15.75" customHeight="1">
      <c r="A508" s="722" t="s">
        <v>2349</v>
      </c>
      <c r="B508" s="723">
        <v>45145</v>
      </c>
      <c r="C508" s="724" t="s">
        <v>1597</v>
      </c>
      <c r="D508" s="724" t="s">
        <v>1598</v>
      </c>
      <c r="E508" s="725">
        <v>11.7</v>
      </c>
      <c r="F508" s="722" t="s">
        <v>1599</v>
      </c>
      <c r="G508" s="722" t="s">
        <v>1600</v>
      </c>
      <c r="H508" s="722" t="s">
        <v>1798</v>
      </c>
      <c r="I508" s="727">
        <v>1931</v>
      </c>
      <c r="J508" s="726" t="s">
        <v>1599</v>
      </c>
      <c r="K508" s="728">
        <v>5473</v>
      </c>
      <c r="L508" s="743">
        <f t="shared" si="41"/>
        <v>1009</v>
      </c>
      <c r="M508" s="741">
        <v>6482</v>
      </c>
      <c r="N508" s="842">
        <v>5473</v>
      </c>
      <c r="O508" s="710">
        <f t="shared" si="38"/>
        <v>64.034099999999995</v>
      </c>
      <c r="P508" s="711">
        <f t="shared" si="39"/>
        <v>2.0010656249999998</v>
      </c>
      <c r="Q508" s="712">
        <f t="shared" si="40"/>
        <v>10568.362999999999</v>
      </c>
    </row>
    <row r="509" spans="1:17" ht="15.75" customHeight="1">
      <c r="A509" s="731" t="s">
        <v>2350</v>
      </c>
      <c r="B509" s="732">
        <v>45141</v>
      </c>
      <c r="C509" s="733" t="s">
        <v>1597</v>
      </c>
      <c r="D509" s="733" t="s">
        <v>1598</v>
      </c>
      <c r="E509" s="734">
        <v>7.1</v>
      </c>
      <c r="F509" s="731" t="s">
        <v>1599</v>
      </c>
      <c r="G509" s="731" t="s">
        <v>1600</v>
      </c>
      <c r="H509" s="731" t="s">
        <v>1886</v>
      </c>
      <c r="I509" s="736">
        <v>13877</v>
      </c>
      <c r="J509" s="735" t="s">
        <v>1599</v>
      </c>
      <c r="K509" s="737">
        <v>3840</v>
      </c>
      <c r="L509" s="744">
        <f t="shared" si="41"/>
        <v>19599.5</v>
      </c>
      <c r="M509" s="742">
        <v>23439.5</v>
      </c>
      <c r="N509" s="843">
        <v>15795</v>
      </c>
      <c r="O509" s="710">
        <f t="shared" si="38"/>
        <v>112.14449999999999</v>
      </c>
      <c r="P509" s="711">
        <f t="shared" si="39"/>
        <v>3.5045156249999998</v>
      </c>
      <c r="Q509" s="712">
        <f t="shared" si="40"/>
        <v>219187.215</v>
      </c>
    </row>
    <row r="510" spans="1:17" ht="15.75" customHeight="1">
      <c r="A510" s="722" t="s">
        <v>2351</v>
      </c>
      <c r="B510" s="723">
        <v>45141</v>
      </c>
      <c r="C510" s="724" t="s">
        <v>1597</v>
      </c>
      <c r="D510" s="724" t="s">
        <v>1598</v>
      </c>
      <c r="E510" s="725">
        <v>7.1</v>
      </c>
      <c r="F510" s="722" t="s">
        <v>1599</v>
      </c>
      <c r="G510" s="722" t="s">
        <v>1600</v>
      </c>
      <c r="H510" s="722" t="s">
        <v>1886</v>
      </c>
      <c r="I510" s="727">
        <v>13877</v>
      </c>
      <c r="J510" s="726" t="s">
        <v>1599</v>
      </c>
      <c r="K510" s="728">
        <v>3840</v>
      </c>
      <c r="L510" s="743">
        <f t="shared" si="41"/>
        <v>10189.799999999999</v>
      </c>
      <c r="M510" s="741">
        <v>14029.8</v>
      </c>
      <c r="N510" s="842">
        <v>7660</v>
      </c>
      <c r="O510" s="710">
        <f t="shared" si="38"/>
        <v>54.386000000000003</v>
      </c>
      <c r="P510" s="711">
        <f t="shared" si="39"/>
        <v>1.6995625000000001</v>
      </c>
      <c r="Q510" s="712">
        <f t="shared" si="40"/>
        <v>106297.82</v>
      </c>
    </row>
    <row r="511" spans="1:17" ht="15.75" customHeight="1">
      <c r="A511" s="731" t="s">
        <v>2352</v>
      </c>
      <c r="B511" s="732">
        <v>45145</v>
      </c>
      <c r="C511" s="733" t="s">
        <v>1597</v>
      </c>
      <c r="D511" s="733" t="s">
        <v>1598</v>
      </c>
      <c r="E511" s="734">
        <v>7.1</v>
      </c>
      <c r="F511" s="731" t="s">
        <v>1599</v>
      </c>
      <c r="G511" s="731" t="s">
        <v>1600</v>
      </c>
      <c r="H511" s="731" t="s">
        <v>1886</v>
      </c>
      <c r="I511" s="736">
        <v>13877</v>
      </c>
      <c r="J511" s="735" t="s">
        <v>1599</v>
      </c>
      <c r="K511" s="737">
        <v>3840</v>
      </c>
      <c r="L511" s="744">
        <f t="shared" si="41"/>
        <v>12014</v>
      </c>
      <c r="M511" s="742">
        <v>15854</v>
      </c>
      <c r="N511" s="843">
        <v>8988</v>
      </c>
      <c r="O511" s="710">
        <f t="shared" si="38"/>
        <v>63.814799999999998</v>
      </c>
      <c r="P511" s="711">
        <f t="shared" si="39"/>
        <v>1.9942124999999999</v>
      </c>
      <c r="Q511" s="712">
        <f t="shared" si="40"/>
        <v>124726.476</v>
      </c>
    </row>
    <row r="512" spans="1:17" ht="15.75" customHeight="1">
      <c r="A512" s="722" t="s">
        <v>2353</v>
      </c>
      <c r="B512" s="723">
        <v>45141</v>
      </c>
      <c r="C512" s="724" t="s">
        <v>1597</v>
      </c>
      <c r="D512" s="724" t="s">
        <v>1598</v>
      </c>
      <c r="E512" s="725">
        <v>7.1</v>
      </c>
      <c r="F512" s="722" t="s">
        <v>1599</v>
      </c>
      <c r="G512" s="722" t="s">
        <v>1600</v>
      </c>
      <c r="H512" s="722" t="s">
        <v>1886</v>
      </c>
      <c r="I512" s="727">
        <v>13877</v>
      </c>
      <c r="J512" s="726" t="s">
        <v>1599</v>
      </c>
      <c r="K512" s="728">
        <v>3700</v>
      </c>
      <c r="L512" s="743">
        <f t="shared" si="41"/>
        <v>10726</v>
      </c>
      <c r="M512" s="741">
        <v>14426</v>
      </c>
      <c r="N512" s="842">
        <v>8196.2000000000007</v>
      </c>
      <c r="O512" s="710">
        <f t="shared" si="38"/>
        <v>58.193020000000004</v>
      </c>
      <c r="P512" s="711">
        <f t="shared" si="39"/>
        <v>1.8185318750000001</v>
      </c>
      <c r="Q512" s="712">
        <f t="shared" si="40"/>
        <v>113738.66740000001</v>
      </c>
    </row>
    <row r="513" spans="1:17" ht="15.75" customHeight="1">
      <c r="A513" s="731" t="s">
        <v>2354</v>
      </c>
      <c r="B513" s="732">
        <v>45148</v>
      </c>
      <c r="C513" s="733" t="s">
        <v>1597</v>
      </c>
      <c r="D513" s="733" t="s">
        <v>1598</v>
      </c>
      <c r="E513" s="734">
        <v>6.2</v>
      </c>
      <c r="F513" s="731" t="s">
        <v>1599</v>
      </c>
      <c r="G513" s="731" t="s">
        <v>1600</v>
      </c>
      <c r="H513" s="731" t="s">
        <v>1815</v>
      </c>
      <c r="I513" s="736">
        <v>17387</v>
      </c>
      <c r="J513" s="735" t="s">
        <v>1599</v>
      </c>
      <c r="K513" s="737">
        <v>3900</v>
      </c>
      <c r="L513" s="744">
        <f t="shared" si="41"/>
        <v>18010</v>
      </c>
      <c r="M513" s="742">
        <v>21910</v>
      </c>
      <c r="N513" s="843">
        <v>15567.88</v>
      </c>
      <c r="O513" s="710">
        <f t="shared" si="38"/>
        <v>96.520855999999995</v>
      </c>
      <c r="P513" s="711">
        <f t="shared" si="39"/>
        <v>3.0162767499999998</v>
      </c>
      <c r="Q513" s="712">
        <f t="shared" si="40"/>
        <v>270678.72956000001</v>
      </c>
    </row>
    <row r="514" spans="1:17" ht="15.75" customHeight="1">
      <c r="A514" s="722" t="s">
        <v>2355</v>
      </c>
      <c r="B514" s="723">
        <v>45148</v>
      </c>
      <c r="C514" s="724" t="s">
        <v>1597</v>
      </c>
      <c r="D514" s="724" t="s">
        <v>1598</v>
      </c>
      <c r="E514" s="725">
        <v>6.2</v>
      </c>
      <c r="F514" s="722" t="s">
        <v>1599</v>
      </c>
      <c r="G514" s="722" t="s">
        <v>1600</v>
      </c>
      <c r="H514" s="722" t="s">
        <v>1815</v>
      </c>
      <c r="I514" s="727">
        <v>17387</v>
      </c>
      <c r="J514" s="726" t="s">
        <v>1599</v>
      </c>
      <c r="K514" s="728">
        <v>3820</v>
      </c>
      <c r="L514" s="743">
        <f t="shared" si="41"/>
        <v>17754.88</v>
      </c>
      <c r="M514" s="741">
        <v>21574.880000000001</v>
      </c>
      <c r="N514" s="842">
        <v>15307.66</v>
      </c>
      <c r="O514" s="710">
        <f t="shared" si="38"/>
        <v>94.907492000000005</v>
      </c>
      <c r="P514" s="711">
        <f t="shared" si="39"/>
        <v>2.9658591250000002</v>
      </c>
      <c r="Q514" s="712">
        <f t="shared" si="40"/>
        <v>266154.28441999998</v>
      </c>
    </row>
    <row r="515" spans="1:17" ht="15.75" customHeight="1">
      <c r="A515" s="731" t="s">
        <v>2356</v>
      </c>
      <c r="B515" s="732">
        <v>45145</v>
      </c>
      <c r="C515" s="733" t="s">
        <v>1597</v>
      </c>
      <c r="D515" s="733" t="s">
        <v>1598</v>
      </c>
      <c r="E515" s="734">
        <v>6.5</v>
      </c>
      <c r="F515" s="731" t="s">
        <v>1599</v>
      </c>
      <c r="G515" s="731" t="s">
        <v>1600</v>
      </c>
      <c r="H515" s="731" t="s">
        <v>1825</v>
      </c>
      <c r="I515" s="736">
        <v>15486</v>
      </c>
      <c r="J515" s="735" t="s">
        <v>1599</v>
      </c>
      <c r="K515" s="737">
        <v>3630</v>
      </c>
      <c r="L515" s="744">
        <f t="shared" si="41"/>
        <v>8258.2000000000007</v>
      </c>
      <c r="M515" s="742">
        <v>11888.2</v>
      </c>
      <c r="N515" s="843">
        <v>6024.78</v>
      </c>
      <c r="O515" s="710">
        <f t="shared" si="38"/>
        <v>39.161070000000002</v>
      </c>
      <c r="P515" s="711">
        <f t="shared" si="39"/>
        <v>1.2237834375000001</v>
      </c>
      <c r="Q515" s="712">
        <f t="shared" si="40"/>
        <v>93299.74308</v>
      </c>
    </row>
    <row r="516" spans="1:17" ht="15.75" customHeight="1">
      <c r="A516" s="722" t="s">
        <v>2357</v>
      </c>
      <c r="B516" s="723">
        <v>45142</v>
      </c>
      <c r="C516" s="724" t="s">
        <v>1597</v>
      </c>
      <c r="D516" s="724" t="s">
        <v>1598</v>
      </c>
      <c r="E516" s="725">
        <v>7.1</v>
      </c>
      <c r="F516" s="722" t="s">
        <v>1599</v>
      </c>
      <c r="G516" s="722" t="s">
        <v>1600</v>
      </c>
      <c r="H516" s="722" t="s">
        <v>1844</v>
      </c>
      <c r="I516" s="727">
        <v>5727</v>
      </c>
      <c r="J516" s="726" t="s">
        <v>1599</v>
      </c>
      <c r="K516" s="728">
        <v>3740</v>
      </c>
      <c r="L516" s="743">
        <f t="shared" si="41"/>
        <v>14401.900000000001</v>
      </c>
      <c r="M516" s="741">
        <v>18141.900000000001</v>
      </c>
      <c r="N516" s="842">
        <v>12243.14</v>
      </c>
      <c r="O516" s="710">
        <f t="shared" si="38"/>
        <v>86.926293999999999</v>
      </c>
      <c r="P516" s="711">
        <f t="shared" si="39"/>
        <v>2.7164466875</v>
      </c>
      <c r="Q516" s="712">
        <f t="shared" si="40"/>
        <v>70116.462780000002</v>
      </c>
    </row>
    <row r="517" spans="1:17" ht="15.75" customHeight="1">
      <c r="A517" s="731" t="s">
        <v>2358</v>
      </c>
      <c r="B517" s="732">
        <v>45142</v>
      </c>
      <c r="C517" s="733" t="s">
        <v>1597</v>
      </c>
      <c r="D517" s="733" t="s">
        <v>1598</v>
      </c>
      <c r="E517" s="734">
        <v>7.1</v>
      </c>
      <c r="F517" s="731" t="s">
        <v>1599</v>
      </c>
      <c r="G517" s="731" t="s">
        <v>1600</v>
      </c>
      <c r="H517" s="731" t="s">
        <v>1846</v>
      </c>
      <c r="I517" s="736">
        <v>5317</v>
      </c>
      <c r="J517" s="735" t="s">
        <v>1599</v>
      </c>
      <c r="K517" s="737">
        <v>2100</v>
      </c>
      <c r="L517" s="744">
        <f t="shared" si="41"/>
        <v>7020.25</v>
      </c>
      <c r="M517" s="742">
        <v>9120.25</v>
      </c>
      <c r="N517" s="843">
        <v>5987.81</v>
      </c>
      <c r="O517" s="710">
        <f t="shared" si="38"/>
        <v>42.513451000000003</v>
      </c>
      <c r="P517" s="711">
        <f t="shared" si="39"/>
        <v>1.3285453437500001</v>
      </c>
      <c r="Q517" s="712">
        <f t="shared" si="40"/>
        <v>31837.185770000004</v>
      </c>
    </row>
    <row r="518" spans="1:17" ht="15.75" customHeight="1">
      <c r="A518" s="722" t="s">
        <v>2359</v>
      </c>
      <c r="B518" s="723">
        <v>45142</v>
      </c>
      <c r="C518" s="724" t="s">
        <v>1597</v>
      </c>
      <c r="D518" s="724" t="s">
        <v>1598</v>
      </c>
      <c r="E518" s="725">
        <v>7.1</v>
      </c>
      <c r="F518" s="722" t="s">
        <v>1599</v>
      </c>
      <c r="G518" s="722" t="s">
        <v>1600</v>
      </c>
      <c r="H518" s="722" t="s">
        <v>1912</v>
      </c>
      <c r="I518" s="727">
        <v>4929</v>
      </c>
      <c r="J518" s="726" t="s">
        <v>1599</v>
      </c>
      <c r="K518" s="728">
        <v>2220</v>
      </c>
      <c r="L518" s="743">
        <f t="shared" si="41"/>
        <v>7920.85</v>
      </c>
      <c r="M518" s="741">
        <v>10140.85</v>
      </c>
      <c r="N518" s="842">
        <v>6749.28</v>
      </c>
      <c r="O518" s="710">
        <f t="shared" ref="O518:O581" si="42">N518*E518/1000</f>
        <v>47.919888</v>
      </c>
      <c r="P518" s="711">
        <f t="shared" ref="P518:P581" si="43">O518/32</f>
        <v>1.4974965</v>
      </c>
      <c r="Q518" s="712">
        <f t="shared" ref="Q518:Q581" si="44">N518*I518/1000</f>
        <v>33267.201119999998</v>
      </c>
    </row>
    <row r="519" spans="1:17" ht="15.75" customHeight="1">
      <c r="A519" s="731" t="s">
        <v>2360</v>
      </c>
      <c r="B519" s="732">
        <v>45142</v>
      </c>
      <c r="C519" s="733" t="s">
        <v>1597</v>
      </c>
      <c r="D519" s="733" t="s">
        <v>1598</v>
      </c>
      <c r="E519" s="734">
        <v>7.1</v>
      </c>
      <c r="F519" s="731" t="s">
        <v>1599</v>
      </c>
      <c r="G519" s="731" t="s">
        <v>1600</v>
      </c>
      <c r="H519" s="731" t="s">
        <v>1912</v>
      </c>
      <c r="I519" s="736">
        <v>4929</v>
      </c>
      <c r="J519" s="735" t="s">
        <v>1599</v>
      </c>
      <c r="K519" s="737">
        <v>3640</v>
      </c>
      <c r="L519" s="744">
        <f t="shared" si="41"/>
        <v>14923.18</v>
      </c>
      <c r="M519" s="742">
        <v>18563.18</v>
      </c>
      <c r="N519" s="843">
        <v>13453.58</v>
      </c>
      <c r="O519" s="710">
        <f t="shared" si="42"/>
        <v>95.520417999999992</v>
      </c>
      <c r="P519" s="711">
        <f t="shared" si="43"/>
        <v>2.9850130624999998</v>
      </c>
      <c r="Q519" s="712">
        <f t="shared" si="44"/>
        <v>66312.695819999994</v>
      </c>
    </row>
    <row r="520" spans="1:17" ht="15.75" customHeight="1">
      <c r="A520" s="722" t="s">
        <v>2361</v>
      </c>
      <c r="B520" s="723">
        <v>45142</v>
      </c>
      <c r="C520" s="724" t="s">
        <v>1597</v>
      </c>
      <c r="D520" s="724" t="s">
        <v>1598</v>
      </c>
      <c r="E520" s="725">
        <v>7.1</v>
      </c>
      <c r="F520" s="722" t="s">
        <v>1599</v>
      </c>
      <c r="G520" s="722" t="s">
        <v>1600</v>
      </c>
      <c r="H520" s="722" t="s">
        <v>1912</v>
      </c>
      <c r="I520" s="727">
        <v>4929</v>
      </c>
      <c r="J520" s="726" t="s">
        <v>1599</v>
      </c>
      <c r="K520" s="728">
        <v>3620</v>
      </c>
      <c r="L520" s="743">
        <f t="shared" si="41"/>
        <v>12753.2</v>
      </c>
      <c r="M520" s="741">
        <v>16373.2</v>
      </c>
      <c r="N520" s="842">
        <v>10199.4</v>
      </c>
      <c r="O520" s="710">
        <f t="shared" si="42"/>
        <v>72.415739999999985</v>
      </c>
      <c r="P520" s="711">
        <f t="shared" si="43"/>
        <v>2.2629918749999995</v>
      </c>
      <c r="Q520" s="712">
        <f t="shared" si="44"/>
        <v>50272.842600000004</v>
      </c>
    </row>
    <row r="521" spans="1:17" ht="15.75" customHeight="1">
      <c r="A521" s="731" t="s">
        <v>2362</v>
      </c>
      <c r="B521" s="732">
        <v>45148</v>
      </c>
      <c r="C521" s="733" t="s">
        <v>1597</v>
      </c>
      <c r="D521" s="733" t="s">
        <v>1598</v>
      </c>
      <c r="E521" s="734">
        <v>6.2</v>
      </c>
      <c r="F521" s="731" t="s">
        <v>1599</v>
      </c>
      <c r="G521" s="731" t="s">
        <v>1600</v>
      </c>
      <c r="H521" s="731" t="s">
        <v>1809</v>
      </c>
      <c r="I521" s="736">
        <v>15168</v>
      </c>
      <c r="J521" s="735" t="s">
        <v>1599</v>
      </c>
      <c r="K521" s="737">
        <v>3860</v>
      </c>
      <c r="L521" s="744">
        <f t="shared" si="41"/>
        <v>19859.599999999999</v>
      </c>
      <c r="M521" s="742">
        <v>23719.599999999999</v>
      </c>
      <c r="N521" s="843">
        <v>16464</v>
      </c>
      <c r="O521" s="710">
        <f t="shared" si="42"/>
        <v>102.07680000000001</v>
      </c>
      <c r="P521" s="711">
        <f t="shared" si="43"/>
        <v>3.1899000000000002</v>
      </c>
      <c r="Q521" s="712">
        <f t="shared" si="44"/>
        <v>249725.95199999999</v>
      </c>
    </row>
    <row r="522" spans="1:17" ht="15.75" customHeight="1">
      <c r="A522" s="722" t="s">
        <v>2363</v>
      </c>
      <c r="B522" s="723">
        <v>45142</v>
      </c>
      <c r="C522" s="724" t="s">
        <v>1597</v>
      </c>
      <c r="D522" s="724" t="s">
        <v>1598</v>
      </c>
      <c r="E522" s="725">
        <v>6</v>
      </c>
      <c r="F522" s="722" t="s">
        <v>1599</v>
      </c>
      <c r="G522" s="722" t="s">
        <v>1600</v>
      </c>
      <c r="H522" s="722" t="s">
        <v>2003</v>
      </c>
      <c r="I522" s="727">
        <v>9292</v>
      </c>
      <c r="J522" s="726" t="s">
        <v>1599</v>
      </c>
      <c r="K522" s="728">
        <v>3850</v>
      </c>
      <c r="L522" s="743">
        <f t="shared" si="41"/>
        <v>11418</v>
      </c>
      <c r="M522" s="741">
        <v>15268</v>
      </c>
      <c r="N522" s="842">
        <v>7386</v>
      </c>
      <c r="O522" s="710">
        <f t="shared" si="42"/>
        <v>44.316000000000003</v>
      </c>
      <c r="P522" s="711">
        <f t="shared" si="43"/>
        <v>1.3848750000000001</v>
      </c>
      <c r="Q522" s="712">
        <f t="shared" si="44"/>
        <v>68630.712</v>
      </c>
    </row>
    <row r="523" spans="1:17" ht="15.75" customHeight="1">
      <c r="A523" s="257" t="s">
        <v>2364</v>
      </c>
      <c r="B523" s="751">
        <v>45153</v>
      </c>
      <c r="C523" s="291" t="s">
        <v>1597</v>
      </c>
      <c r="D523" s="291"/>
      <c r="E523" s="755"/>
      <c r="F523" s="257"/>
      <c r="G523" s="257" t="s">
        <v>1600</v>
      </c>
      <c r="H523" s="257" t="s">
        <v>1798</v>
      </c>
      <c r="I523" s="752">
        <v>1931</v>
      </c>
      <c r="J523" s="258"/>
      <c r="K523" s="756">
        <v>2755.4</v>
      </c>
      <c r="L523" s="757">
        <v>1278.2</v>
      </c>
      <c r="M523" s="758">
        <v>4033.6</v>
      </c>
      <c r="N523" s="459">
        <v>2755.4</v>
      </c>
      <c r="O523" s="710">
        <f t="shared" si="42"/>
        <v>0</v>
      </c>
      <c r="P523" s="711">
        <f t="shared" si="43"/>
        <v>0</v>
      </c>
      <c r="Q523" s="712">
        <f t="shared" si="44"/>
        <v>5320.6774000000005</v>
      </c>
    </row>
    <row r="524" spans="1:17" ht="15.75" customHeight="1">
      <c r="A524" s="722" t="s">
        <v>2365</v>
      </c>
      <c r="B524" s="723">
        <v>45146</v>
      </c>
      <c r="C524" s="724" t="s">
        <v>1597</v>
      </c>
      <c r="D524" s="724" t="s">
        <v>1598</v>
      </c>
      <c r="E524" s="725">
        <v>6.5</v>
      </c>
      <c r="F524" s="722" t="s">
        <v>1599</v>
      </c>
      <c r="G524" s="722" t="s">
        <v>1600</v>
      </c>
      <c r="H524" s="722" t="s">
        <v>1825</v>
      </c>
      <c r="I524" s="727">
        <v>15486</v>
      </c>
      <c r="J524" s="726" t="s">
        <v>1599</v>
      </c>
      <c r="K524" s="728">
        <v>3830</v>
      </c>
      <c r="L524" s="743">
        <f t="shared" ref="L524:L564" si="45">M524-K524</f>
        <v>11473</v>
      </c>
      <c r="M524" s="741">
        <v>15303</v>
      </c>
      <c r="N524" s="842">
        <v>8813</v>
      </c>
      <c r="O524" s="710">
        <f t="shared" si="42"/>
        <v>57.284500000000001</v>
      </c>
      <c r="P524" s="711">
        <f t="shared" si="43"/>
        <v>1.790140625</v>
      </c>
      <c r="Q524" s="712">
        <f t="shared" si="44"/>
        <v>136478.11799999999</v>
      </c>
    </row>
    <row r="525" spans="1:17" ht="15.75" customHeight="1">
      <c r="A525" s="731" t="s">
        <v>2366</v>
      </c>
      <c r="B525" s="732">
        <v>45149</v>
      </c>
      <c r="C525" s="733" t="s">
        <v>1597</v>
      </c>
      <c r="D525" s="733" t="s">
        <v>1598</v>
      </c>
      <c r="E525" s="734">
        <v>4.0999999999999996</v>
      </c>
      <c r="F525" s="731" t="s">
        <v>1599</v>
      </c>
      <c r="G525" s="731" t="s">
        <v>1600</v>
      </c>
      <c r="H525" s="731" t="s">
        <v>1822</v>
      </c>
      <c r="I525" s="736">
        <v>13787</v>
      </c>
      <c r="J525" s="735" t="s">
        <v>1599</v>
      </c>
      <c r="K525" s="737">
        <v>3700</v>
      </c>
      <c r="L525" s="744">
        <f t="shared" si="45"/>
        <v>15336.5</v>
      </c>
      <c r="M525" s="742">
        <v>19036.5</v>
      </c>
      <c r="N525" s="843">
        <v>11672.5</v>
      </c>
      <c r="O525" s="710">
        <f t="shared" si="42"/>
        <v>47.857249999999993</v>
      </c>
      <c r="P525" s="711">
        <f t="shared" si="43"/>
        <v>1.4955390624999998</v>
      </c>
      <c r="Q525" s="712">
        <f t="shared" si="44"/>
        <v>160928.75750000001</v>
      </c>
    </row>
    <row r="526" spans="1:17" ht="15.75" customHeight="1">
      <c r="A526" s="722" t="s">
        <v>2367</v>
      </c>
      <c r="B526" s="723">
        <v>45149</v>
      </c>
      <c r="C526" s="724" t="s">
        <v>1597</v>
      </c>
      <c r="D526" s="724" t="s">
        <v>1598</v>
      </c>
      <c r="E526" s="725">
        <v>5.3</v>
      </c>
      <c r="F526" s="722" t="s">
        <v>1599</v>
      </c>
      <c r="G526" s="722" t="s">
        <v>1600</v>
      </c>
      <c r="H526" s="722" t="s">
        <v>1822</v>
      </c>
      <c r="I526" s="727">
        <v>13787</v>
      </c>
      <c r="J526" s="726" t="s">
        <v>1599</v>
      </c>
      <c r="K526" s="728">
        <v>3940</v>
      </c>
      <c r="L526" s="743">
        <f t="shared" si="45"/>
        <v>11815</v>
      </c>
      <c r="M526" s="741">
        <v>15755</v>
      </c>
      <c r="N526" s="842">
        <v>8813.7999999999993</v>
      </c>
      <c r="O526" s="710">
        <f t="shared" si="42"/>
        <v>46.713139999999996</v>
      </c>
      <c r="P526" s="711">
        <f t="shared" si="43"/>
        <v>1.4597856249999999</v>
      </c>
      <c r="Q526" s="712">
        <f t="shared" si="44"/>
        <v>121515.8606</v>
      </c>
    </row>
    <row r="527" spans="1:17" ht="15.75" customHeight="1">
      <c r="A527" s="731" t="s">
        <v>2368</v>
      </c>
      <c r="B527" s="732">
        <v>45153</v>
      </c>
      <c r="C527" s="733" t="s">
        <v>1597</v>
      </c>
      <c r="D527" s="733" t="s">
        <v>1598</v>
      </c>
      <c r="E527" s="734">
        <v>6.2</v>
      </c>
      <c r="F527" s="731" t="s">
        <v>1599</v>
      </c>
      <c r="G527" s="731" t="s">
        <v>1600</v>
      </c>
      <c r="H527" s="731" t="s">
        <v>1822</v>
      </c>
      <c r="I527" s="736">
        <v>13787</v>
      </c>
      <c r="J527" s="735" t="s">
        <v>1599</v>
      </c>
      <c r="K527" s="737">
        <v>3830</v>
      </c>
      <c r="L527" s="744">
        <f t="shared" si="45"/>
        <v>12993.5</v>
      </c>
      <c r="M527" s="742">
        <v>16823.5</v>
      </c>
      <c r="N527" s="843">
        <v>9861.5</v>
      </c>
      <c r="O527" s="710">
        <f t="shared" si="42"/>
        <v>61.141300000000001</v>
      </c>
      <c r="P527" s="711">
        <f t="shared" si="43"/>
        <v>1.910665625</v>
      </c>
      <c r="Q527" s="712">
        <f t="shared" si="44"/>
        <v>135960.50049999999</v>
      </c>
    </row>
    <row r="528" spans="1:17" ht="15.75" customHeight="1">
      <c r="A528" s="722" t="s">
        <v>2369</v>
      </c>
      <c r="B528" s="723">
        <v>45152</v>
      </c>
      <c r="C528" s="724" t="s">
        <v>1597</v>
      </c>
      <c r="D528" s="724" t="s">
        <v>1598</v>
      </c>
      <c r="E528" s="725">
        <v>7.1</v>
      </c>
      <c r="F528" s="722" t="s">
        <v>1599</v>
      </c>
      <c r="G528" s="722" t="s">
        <v>1600</v>
      </c>
      <c r="H528" s="722" t="s">
        <v>1836</v>
      </c>
      <c r="I528" s="727">
        <v>14544</v>
      </c>
      <c r="J528" s="726" t="s">
        <v>1599</v>
      </c>
      <c r="K528" s="728">
        <v>3800</v>
      </c>
      <c r="L528" s="743">
        <f t="shared" si="45"/>
        <v>12772</v>
      </c>
      <c r="M528" s="741">
        <v>16572</v>
      </c>
      <c r="N528" s="842">
        <v>9822</v>
      </c>
      <c r="O528" s="710">
        <f t="shared" si="42"/>
        <v>69.736199999999997</v>
      </c>
      <c r="P528" s="711">
        <f t="shared" si="43"/>
        <v>2.1792562499999999</v>
      </c>
      <c r="Q528" s="712">
        <f t="shared" si="44"/>
        <v>142851.16800000001</v>
      </c>
    </row>
    <row r="529" spans="1:17" ht="15.75" customHeight="1">
      <c r="A529" s="731" t="s">
        <v>2370</v>
      </c>
      <c r="B529" s="732">
        <v>45155</v>
      </c>
      <c r="C529" s="733" t="s">
        <v>1597</v>
      </c>
      <c r="D529" s="733" t="s">
        <v>1598</v>
      </c>
      <c r="E529" s="734">
        <v>7.1</v>
      </c>
      <c r="F529" s="731" t="s">
        <v>1599</v>
      </c>
      <c r="G529" s="731" t="s">
        <v>1600</v>
      </c>
      <c r="H529" s="731" t="s">
        <v>1893</v>
      </c>
      <c r="I529" s="736">
        <v>2167</v>
      </c>
      <c r="J529" s="735" t="s">
        <v>1599</v>
      </c>
      <c r="K529" s="737">
        <v>2200</v>
      </c>
      <c r="L529" s="744">
        <f t="shared" si="45"/>
        <v>4378.8</v>
      </c>
      <c r="M529" s="742">
        <v>6578.8</v>
      </c>
      <c r="N529" s="843">
        <v>3275.6</v>
      </c>
      <c r="O529" s="710">
        <f t="shared" si="42"/>
        <v>23.25676</v>
      </c>
      <c r="P529" s="711">
        <f t="shared" si="43"/>
        <v>0.72677375</v>
      </c>
      <c r="Q529" s="712">
        <f t="shared" si="44"/>
        <v>7098.2251999999999</v>
      </c>
    </row>
    <row r="530" spans="1:17" ht="15.75" customHeight="1">
      <c r="A530" s="722" t="s">
        <v>2371</v>
      </c>
      <c r="B530" s="723">
        <v>45148</v>
      </c>
      <c r="C530" s="724" t="s">
        <v>1597</v>
      </c>
      <c r="D530" s="724" t="s">
        <v>1598</v>
      </c>
      <c r="E530" s="725">
        <v>5.2</v>
      </c>
      <c r="F530" s="722" t="s">
        <v>1599</v>
      </c>
      <c r="G530" s="722" t="s">
        <v>1600</v>
      </c>
      <c r="H530" s="722" t="s">
        <v>1854</v>
      </c>
      <c r="I530" s="727">
        <v>8865</v>
      </c>
      <c r="J530" s="726" t="s">
        <v>1599</v>
      </c>
      <c r="K530" s="728">
        <v>2230</v>
      </c>
      <c r="L530" s="743">
        <f t="shared" si="45"/>
        <v>13782</v>
      </c>
      <c r="M530" s="741">
        <v>16012</v>
      </c>
      <c r="N530" s="842">
        <v>13720</v>
      </c>
      <c r="O530" s="710">
        <f t="shared" si="42"/>
        <v>71.343999999999994</v>
      </c>
      <c r="P530" s="711">
        <f t="shared" si="43"/>
        <v>2.2294999999999998</v>
      </c>
      <c r="Q530" s="712">
        <f t="shared" si="44"/>
        <v>121627.8</v>
      </c>
    </row>
    <row r="531" spans="1:17" ht="15.75" customHeight="1">
      <c r="A531" s="731" t="s">
        <v>2372</v>
      </c>
      <c r="B531" s="732">
        <v>45148</v>
      </c>
      <c r="C531" s="733" t="s">
        <v>1597</v>
      </c>
      <c r="D531" s="733" t="s">
        <v>1598</v>
      </c>
      <c r="E531" s="734">
        <v>7.1</v>
      </c>
      <c r="F531" s="731" t="s">
        <v>1599</v>
      </c>
      <c r="G531" s="731" t="s">
        <v>1600</v>
      </c>
      <c r="H531" s="731" t="s">
        <v>1886</v>
      </c>
      <c r="I531" s="736">
        <v>13877</v>
      </c>
      <c r="J531" s="735" t="s">
        <v>1599</v>
      </c>
      <c r="K531" s="737">
        <v>3940</v>
      </c>
      <c r="L531" s="744">
        <f t="shared" si="45"/>
        <v>10189.799999999999</v>
      </c>
      <c r="M531" s="742">
        <v>14129.8</v>
      </c>
      <c r="N531" s="843">
        <v>7660</v>
      </c>
      <c r="O531" s="710">
        <f t="shared" si="42"/>
        <v>54.386000000000003</v>
      </c>
      <c r="P531" s="711">
        <f t="shared" si="43"/>
        <v>1.6995625000000001</v>
      </c>
      <c r="Q531" s="712">
        <f t="shared" si="44"/>
        <v>106297.82</v>
      </c>
    </row>
    <row r="532" spans="1:17" ht="15.75" customHeight="1">
      <c r="A532" s="722" t="s">
        <v>2373</v>
      </c>
      <c r="B532" s="723">
        <v>45148</v>
      </c>
      <c r="C532" s="724" t="s">
        <v>1597</v>
      </c>
      <c r="D532" s="724" t="s">
        <v>1598</v>
      </c>
      <c r="E532" s="725">
        <v>7.1</v>
      </c>
      <c r="F532" s="722" t="s">
        <v>1599</v>
      </c>
      <c r="G532" s="722" t="s">
        <v>1600</v>
      </c>
      <c r="H532" s="722" t="s">
        <v>1886</v>
      </c>
      <c r="I532" s="727">
        <v>13877</v>
      </c>
      <c r="J532" s="726" t="s">
        <v>1599</v>
      </c>
      <c r="K532" s="728">
        <v>3890</v>
      </c>
      <c r="L532" s="743">
        <f t="shared" si="45"/>
        <v>19599.5</v>
      </c>
      <c r="M532" s="741">
        <v>23489.5</v>
      </c>
      <c r="N532" s="842">
        <v>15795</v>
      </c>
      <c r="O532" s="710">
        <f t="shared" si="42"/>
        <v>112.14449999999999</v>
      </c>
      <c r="P532" s="711">
        <f t="shared" si="43"/>
        <v>3.5045156249999998</v>
      </c>
      <c r="Q532" s="712">
        <f t="shared" si="44"/>
        <v>219187.215</v>
      </c>
    </row>
    <row r="533" spans="1:17" ht="15.75" customHeight="1">
      <c r="A533" s="731" t="s">
        <v>2374</v>
      </c>
      <c r="B533" s="732">
        <v>45149</v>
      </c>
      <c r="C533" s="733" t="s">
        <v>1597</v>
      </c>
      <c r="D533" s="733" t="s">
        <v>1598</v>
      </c>
      <c r="E533" s="734">
        <v>7.1</v>
      </c>
      <c r="F533" s="731" t="s">
        <v>1599</v>
      </c>
      <c r="G533" s="731" t="s">
        <v>1600</v>
      </c>
      <c r="H533" s="731" t="s">
        <v>1886</v>
      </c>
      <c r="I533" s="736">
        <v>13877</v>
      </c>
      <c r="J533" s="735" t="s">
        <v>1599</v>
      </c>
      <c r="K533" s="737">
        <v>3700</v>
      </c>
      <c r="L533" s="744">
        <f t="shared" si="45"/>
        <v>19599.5</v>
      </c>
      <c r="M533" s="742">
        <v>23299.5</v>
      </c>
      <c r="N533" s="843">
        <v>15795</v>
      </c>
      <c r="O533" s="710">
        <f t="shared" si="42"/>
        <v>112.14449999999999</v>
      </c>
      <c r="P533" s="711">
        <f t="shared" si="43"/>
        <v>3.5045156249999998</v>
      </c>
      <c r="Q533" s="712">
        <f t="shared" si="44"/>
        <v>219187.215</v>
      </c>
    </row>
    <row r="534" spans="1:17" ht="15.75" customHeight="1">
      <c r="A534" s="722" t="s">
        <v>2375</v>
      </c>
      <c r="B534" s="723">
        <v>45154</v>
      </c>
      <c r="C534" s="724" t="s">
        <v>1597</v>
      </c>
      <c r="D534" s="724" t="s">
        <v>1598</v>
      </c>
      <c r="E534" s="725">
        <v>6.2</v>
      </c>
      <c r="F534" s="722" t="s">
        <v>1599</v>
      </c>
      <c r="G534" s="722" t="s">
        <v>1600</v>
      </c>
      <c r="H534" s="722" t="s">
        <v>1815</v>
      </c>
      <c r="I534" s="727">
        <v>17387</v>
      </c>
      <c r="J534" s="726" t="s">
        <v>1599</v>
      </c>
      <c r="K534" s="728">
        <v>3900</v>
      </c>
      <c r="L534" s="743">
        <f t="shared" si="45"/>
        <v>18806.96</v>
      </c>
      <c r="M534" s="741">
        <v>22706.959999999999</v>
      </c>
      <c r="N534" s="842">
        <v>16282.82</v>
      </c>
      <c r="O534" s="710">
        <f t="shared" si="42"/>
        <v>100.953484</v>
      </c>
      <c r="P534" s="711">
        <f t="shared" si="43"/>
        <v>3.1547963750000001</v>
      </c>
      <c r="Q534" s="712">
        <f t="shared" si="44"/>
        <v>283109.39133999997</v>
      </c>
    </row>
    <row r="535" spans="1:17" ht="15.75" customHeight="1">
      <c r="A535" s="731" t="s">
        <v>2376</v>
      </c>
      <c r="B535" s="732">
        <v>45154</v>
      </c>
      <c r="C535" s="733" t="s">
        <v>1597</v>
      </c>
      <c r="D535" s="733" t="s">
        <v>1598</v>
      </c>
      <c r="E535" s="734">
        <v>6.2</v>
      </c>
      <c r="F535" s="731" t="s">
        <v>1599</v>
      </c>
      <c r="G535" s="731" t="s">
        <v>1600</v>
      </c>
      <c r="H535" s="731" t="s">
        <v>1815</v>
      </c>
      <c r="I535" s="736">
        <v>17387</v>
      </c>
      <c r="J535" s="735" t="s">
        <v>1599</v>
      </c>
      <c r="K535" s="737">
        <v>3840</v>
      </c>
      <c r="L535" s="744">
        <f t="shared" si="45"/>
        <v>17825.64</v>
      </c>
      <c r="M535" s="742">
        <v>21665.64</v>
      </c>
      <c r="N535" s="843">
        <v>15529.02</v>
      </c>
      <c r="O535" s="710">
        <f t="shared" si="42"/>
        <v>96.279923999999994</v>
      </c>
      <c r="P535" s="711">
        <f t="shared" si="43"/>
        <v>3.0087476249999998</v>
      </c>
      <c r="Q535" s="712">
        <f t="shared" si="44"/>
        <v>270003.07074</v>
      </c>
    </row>
    <row r="536" spans="1:17" ht="15.75" customHeight="1">
      <c r="A536" s="722" t="s">
        <v>2377</v>
      </c>
      <c r="B536" s="723">
        <v>45154</v>
      </c>
      <c r="C536" s="724" t="s">
        <v>1597</v>
      </c>
      <c r="D536" s="724" t="s">
        <v>1598</v>
      </c>
      <c r="E536" s="725">
        <v>6.2</v>
      </c>
      <c r="F536" s="722" t="s">
        <v>1599</v>
      </c>
      <c r="G536" s="722" t="s">
        <v>1600</v>
      </c>
      <c r="H536" s="722" t="s">
        <v>1818</v>
      </c>
      <c r="I536" s="727">
        <v>14000</v>
      </c>
      <c r="J536" s="726" t="s">
        <v>1599</v>
      </c>
      <c r="K536" s="728">
        <v>3830</v>
      </c>
      <c r="L536" s="743">
        <f t="shared" si="45"/>
        <v>18355.759999999998</v>
      </c>
      <c r="M536" s="741">
        <v>22185.759999999998</v>
      </c>
      <c r="N536" s="842">
        <v>15867.7</v>
      </c>
      <c r="O536" s="710">
        <f t="shared" si="42"/>
        <v>98.379739999999998</v>
      </c>
      <c r="P536" s="711">
        <f t="shared" si="43"/>
        <v>3.0743668749999999</v>
      </c>
      <c r="Q536" s="712">
        <f t="shared" si="44"/>
        <v>222147.8</v>
      </c>
    </row>
    <row r="537" spans="1:17" ht="15.75" customHeight="1">
      <c r="A537" s="731" t="s">
        <v>2378</v>
      </c>
      <c r="B537" s="732">
        <v>45154</v>
      </c>
      <c r="C537" s="733" t="s">
        <v>1597</v>
      </c>
      <c r="D537" s="733" t="s">
        <v>1598</v>
      </c>
      <c r="E537" s="734">
        <v>6.2</v>
      </c>
      <c r="F537" s="731" t="s">
        <v>1599</v>
      </c>
      <c r="G537" s="731" t="s">
        <v>1600</v>
      </c>
      <c r="H537" s="731" t="s">
        <v>1818</v>
      </c>
      <c r="I537" s="736">
        <v>14000</v>
      </c>
      <c r="J537" s="735" t="s">
        <v>1599</v>
      </c>
      <c r="K537" s="737">
        <v>3800</v>
      </c>
      <c r="L537" s="744">
        <f t="shared" si="45"/>
        <v>18029.169999999998</v>
      </c>
      <c r="M537" s="742">
        <v>21829.17</v>
      </c>
      <c r="N537" s="843">
        <v>15758.27</v>
      </c>
      <c r="O537" s="710">
        <f t="shared" si="42"/>
        <v>97.701273999999998</v>
      </c>
      <c r="P537" s="711">
        <f t="shared" si="43"/>
        <v>3.0531648124999999</v>
      </c>
      <c r="Q537" s="712">
        <f t="shared" si="44"/>
        <v>220615.78</v>
      </c>
    </row>
    <row r="538" spans="1:17" ht="15.75" customHeight="1">
      <c r="A538" s="722" t="s">
        <v>2379</v>
      </c>
      <c r="B538" s="723">
        <v>45160</v>
      </c>
      <c r="C538" s="724" t="s">
        <v>1597</v>
      </c>
      <c r="D538" s="724" t="s">
        <v>1598</v>
      </c>
      <c r="E538" s="725">
        <v>6</v>
      </c>
      <c r="F538" s="722" t="s">
        <v>1599</v>
      </c>
      <c r="G538" s="722" t="s">
        <v>1600</v>
      </c>
      <c r="H538" s="722" t="s">
        <v>1838</v>
      </c>
      <c r="I538" s="727">
        <v>4972</v>
      </c>
      <c r="J538" s="726" t="s">
        <v>1599</v>
      </c>
      <c r="K538" s="728">
        <v>2180</v>
      </c>
      <c r="L538" s="743">
        <f t="shared" si="45"/>
        <v>5678.7</v>
      </c>
      <c r="M538" s="741">
        <v>7858.7</v>
      </c>
      <c r="N538" s="842">
        <v>4487.8</v>
      </c>
      <c r="O538" s="710">
        <f t="shared" si="42"/>
        <v>26.926800000000004</v>
      </c>
      <c r="P538" s="711">
        <f t="shared" si="43"/>
        <v>0.84146250000000011</v>
      </c>
      <c r="Q538" s="712">
        <f t="shared" si="44"/>
        <v>22313.3416</v>
      </c>
    </row>
    <row r="539" spans="1:17" ht="15.75" customHeight="1">
      <c r="A539" s="731" t="s">
        <v>2380</v>
      </c>
      <c r="B539" s="732">
        <v>45156</v>
      </c>
      <c r="C539" s="733" t="s">
        <v>1597</v>
      </c>
      <c r="D539" s="733" t="s">
        <v>1598</v>
      </c>
      <c r="E539" s="734">
        <v>5.2</v>
      </c>
      <c r="F539" s="731" t="s">
        <v>1599</v>
      </c>
      <c r="G539" s="731" t="s">
        <v>1600</v>
      </c>
      <c r="H539" s="731" t="s">
        <v>1854</v>
      </c>
      <c r="I539" s="736">
        <v>8865</v>
      </c>
      <c r="J539" s="735" t="s">
        <v>1599</v>
      </c>
      <c r="K539" s="737">
        <v>2200</v>
      </c>
      <c r="L539" s="744">
        <f t="shared" si="45"/>
        <v>10506</v>
      </c>
      <c r="M539" s="742">
        <v>12706</v>
      </c>
      <c r="N539" s="843">
        <v>9140</v>
      </c>
      <c r="O539" s="710">
        <f t="shared" si="42"/>
        <v>47.527999999999999</v>
      </c>
      <c r="P539" s="711">
        <f t="shared" si="43"/>
        <v>1.48525</v>
      </c>
      <c r="Q539" s="712">
        <f t="shared" si="44"/>
        <v>81026.100000000006</v>
      </c>
    </row>
    <row r="540" spans="1:17" ht="15.75" customHeight="1">
      <c r="A540" s="722" t="s">
        <v>2381</v>
      </c>
      <c r="B540" s="723">
        <v>45167</v>
      </c>
      <c r="C540" s="724" t="s">
        <v>1597</v>
      </c>
      <c r="D540" s="724" t="s">
        <v>1598</v>
      </c>
      <c r="E540" s="725">
        <v>7.1</v>
      </c>
      <c r="F540" s="722" t="s">
        <v>1599</v>
      </c>
      <c r="G540" s="722" t="s">
        <v>1600</v>
      </c>
      <c r="H540" s="722" t="s">
        <v>1841</v>
      </c>
      <c r="I540" s="727">
        <v>9486</v>
      </c>
      <c r="J540" s="726" t="s">
        <v>1599</v>
      </c>
      <c r="K540" s="728">
        <v>3860</v>
      </c>
      <c r="L540" s="743">
        <f t="shared" si="45"/>
        <v>23926.5</v>
      </c>
      <c r="M540" s="741">
        <v>27786.5</v>
      </c>
      <c r="N540" s="842">
        <v>19365.8</v>
      </c>
      <c r="O540" s="710">
        <f t="shared" si="42"/>
        <v>137.49717999999999</v>
      </c>
      <c r="P540" s="711">
        <f t="shared" si="43"/>
        <v>4.2967868749999996</v>
      </c>
      <c r="Q540" s="712">
        <f t="shared" si="44"/>
        <v>183703.97879999998</v>
      </c>
    </row>
    <row r="541" spans="1:17" ht="15.75" customHeight="1">
      <c r="A541" s="731" t="s">
        <v>2382</v>
      </c>
      <c r="B541" s="732">
        <v>45167</v>
      </c>
      <c r="C541" s="733" t="s">
        <v>1597</v>
      </c>
      <c r="D541" s="733" t="s">
        <v>1598</v>
      </c>
      <c r="E541" s="734">
        <v>7.1</v>
      </c>
      <c r="F541" s="731" t="s">
        <v>1599</v>
      </c>
      <c r="G541" s="731" t="s">
        <v>1600</v>
      </c>
      <c r="H541" s="731" t="s">
        <v>1841</v>
      </c>
      <c r="I541" s="736">
        <v>9486</v>
      </c>
      <c r="J541" s="735" t="s">
        <v>1599</v>
      </c>
      <c r="K541" s="737">
        <v>3830</v>
      </c>
      <c r="L541" s="744">
        <f t="shared" si="45"/>
        <v>17786</v>
      </c>
      <c r="M541" s="742">
        <v>21616</v>
      </c>
      <c r="N541" s="843">
        <v>13065</v>
      </c>
      <c r="O541" s="710">
        <f t="shared" si="42"/>
        <v>92.761499999999998</v>
      </c>
      <c r="P541" s="711">
        <f t="shared" si="43"/>
        <v>2.8987968749999999</v>
      </c>
      <c r="Q541" s="712">
        <f t="shared" si="44"/>
        <v>123934.59</v>
      </c>
    </row>
    <row r="542" spans="1:17" ht="15.75" customHeight="1">
      <c r="A542" s="722" t="s">
        <v>2383</v>
      </c>
      <c r="B542" s="723">
        <v>45167</v>
      </c>
      <c r="C542" s="724" t="s">
        <v>1597</v>
      </c>
      <c r="D542" s="724" t="s">
        <v>1598</v>
      </c>
      <c r="E542" s="725">
        <v>7.1</v>
      </c>
      <c r="F542" s="722" t="s">
        <v>1599</v>
      </c>
      <c r="G542" s="722" t="s">
        <v>1600</v>
      </c>
      <c r="H542" s="722" t="s">
        <v>1841</v>
      </c>
      <c r="I542" s="727">
        <v>9486</v>
      </c>
      <c r="J542" s="726" t="s">
        <v>1599</v>
      </c>
      <c r="K542" s="728">
        <v>3890</v>
      </c>
      <c r="L542" s="743">
        <f t="shared" si="45"/>
        <v>14725</v>
      </c>
      <c r="M542" s="741">
        <v>18615</v>
      </c>
      <c r="N542" s="842">
        <v>14673</v>
      </c>
      <c r="O542" s="710">
        <f t="shared" si="42"/>
        <v>104.17829999999999</v>
      </c>
      <c r="P542" s="711">
        <f t="shared" si="43"/>
        <v>3.2555718749999998</v>
      </c>
      <c r="Q542" s="712">
        <f t="shared" si="44"/>
        <v>139188.07800000001</v>
      </c>
    </row>
    <row r="543" spans="1:17" ht="15.75" customHeight="1">
      <c r="A543" s="731" t="s">
        <v>2384</v>
      </c>
      <c r="B543" s="732">
        <v>45155</v>
      </c>
      <c r="C543" s="733" t="s">
        <v>1597</v>
      </c>
      <c r="D543" s="733" t="s">
        <v>1598</v>
      </c>
      <c r="E543" s="734">
        <v>7.1</v>
      </c>
      <c r="F543" s="731" t="s">
        <v>1599</v>
      </c>
      <c r="G543" s="731" t="s">
        <v>1600</v>
      </c>
      <c r="H543" s="731" t="s">
        <v>1886</v>
      </c>
      <c r="I543" s="736">
        <v>13877</v>
      </c>
      <c r="J543" s="735" t="s">
        <v>1599</v>
      </c>
      <c r="K543" s="737">
        <v>3840</v>
      </c>
      <c r="L543" s="744">
        <f t="shared" si="45"/>
        <v>12014</v>
      </c>
      <c r="M543" s="742">
        <v>15854</v>
      </c>
      <c r="N543" s="843">
        <v>8988</v>
      </c>
      <c r="O543" s="710">
        <f t="shared" si="42"/>
        <v>63.814799999999998</v>
      </c>
      <c r="P543" s="711">
        <f t="shared" si="43"/>
        <v>1.9942124999999999</v>
      </c>
      <c r="Q543" s="712">
        <f t="shared" si="44"/>
        <v>124726.476</v>
      </c>
    </row>
    <row r="544" spans="1:17" ht="15.75" customHeight="1">
      <c r="A544" s="722" t="s">
        <v>2385</v>
      </c>
      <c r="B544" s="723">
        <v>45155</v>
      </c>
      <c r="C544" s="724" t="s">
        <v>1597</v>
      </c>
      <c r="D544" s="724" t="s">
        <v>1598</v>
      </c>
      <c r="E544" s="725">
        <v>7.1</v>
      </c>
      <c r="F544" s="722" t="s">
        <v>1599</v>
      </c>
      <c r="G544" s="722" t="s">
        <v>1600</v>
      </c>
      <c r="H544" s="722" t="s">
        <v>1886</v>
      </c>
      <c r="I544" s="727">
        <v>13877</v>
      </c>
      <c r="J544" s="726" t="s">
        <v>1599</v>
      </c>
      <c r="K544" s="728">
        <v>3810</v>
      </c>
      <c r="L544" s="743">
        <f t="shared" si="45"/>
        <v>10189.799999999999</v>
      </c>
      <c r="M544" s="741">
        <v>13999.8</v>
      </c>
      <c r="N544" s="842">
        <v>7660</v>
      </c>
      <c r="O544" s="710">
        <f t="shared" si="42"/>
        <v>54.386000000000003</v>
      </c>
      <c r="P544" s="711">
        <f t="shared" si="43"/>
        <v>1.6995625000000001</v>
      </c>
      <c r="Q544" s="712">
        <f t="shared" si="44"/>
        <v>106297.82</v>
      </c>
    </row>
    <row r="545" spans="1:17" ht="15.75" customHeight="1">
      <c r="A545" s="731" t="s">
        <v>2386</v>
      </c>
      <c r="B545" s="732">
        <v>45155</v>
      </c>
      <c r="C545" s="733" t="s">
        <v>1597</v>
      </c>
      <c r="D545" s="733" t="s">
        <v>1598</v>
      </c>
      <c r="E545" s="734">
        <v>6.5</v>
      </c>
      <c r="F545" s="731" t="s">
        <v>1599</v>
      </c>
      <c r="G545" s="731" t="s">
        <v>1600</v>
      </c>
      <c r="H545" s="731" t="s">
        <v>1850</v>
      </c>
      <c r="I545" s="736">
        <v>9687</v>
      </c>
      <c r="J545" s="735" t="s">
        <v>1599</v>
      </c>
      <c r="K545" s="737">
        <v>3570</v>
      </c>
      <c r="L545" s="744">
        <f t="shared" si="45"/>
        <v>19720</v>
      </c>
      <c r="M545" s="742">
        <v>23290</v>
      </c>
      <c r="N545" s="843">
        <v>18462</v>
      </c>
      <c r="O545" s="710">
        <f t="shared" si="42"/>
        <v>120.003</v>
      </c>
      <c r="P545" s="711">
        <f t="shared" si="43"/>
        <v>3.75009375</v>
      </c>
      <c r="Q545" s="712">
        <f t="shared" si="44"/>
        <v>178841.394</v>
      </c>
    </row>
    <row r="546" spans="1:17" ht="15.75" customHeight="1">
      <c r="A546" s="722" t="s">
        <v>2387</v>
      </c>
      <c r="B546" s="723">
        <v>45159</v>
      </c>
      <c r="C546" s="724" t="s">
        <v>1597</v>
      </c>
      <c r="D546" s="724" t="s">
        <v>1598</v>
      </c>
      <c r="E546" s="725">
        <v>3.6</v>
      </c>
      <c r="F546" s="722" t="s">
        <v>1599</v>
      </c>
      <c r="G546" s="722" t="s">
        <v>1600</v>
      </c>
      <c r="H546" s="722" t="s">
        <v>1848</v>
      </c>
      <c r="I546" s="727">
        <v>3740</v>
      </c>
      <c r="J546" s="726" t="s">
        <v>1599</v>
      </c>
      <c r="K546" s="728">
        <v>3730</v>
      </c>
      <c r="L546" s="743">
        <f t="shared" si="45"/>
        <v>4944.6000000000004</v>
      </c>
      <c r="M546" s="741">
        <v>8674.6</v>
      </c>
      <c r="N546" s="842">
        <v>4585.6000000000004</v>
      </c>
      <c r="O546" s="710">
        <f t="shared" si="42"/>
        <v>16.508160000000004</v>
      </c>
      <c r="P546" s="711">
        <f t="shared" si="43"/>
        <v>0.51588000000000012</v>
      </c>
      <c r="Q546" s="712">
        <f t="shared" si="44"/>
        <v>17150.144</v>
      </c>
    </row>
    <row r="547" spans="1:17" ht="15.75" customHeight="1">
      <c r="A547" s="731" t="s">
        <v>2388</v>
      </c>
      <c r="B547" s="732">
        <v>45162</v>
      </c>
      <c r="C547" s="733" t="s">
        <v>1597</v>
      </c>
      <c r="D547" s="733" t="s">
        <v>1598</v>
      </c>
      <c r="E547" s="734">
        <v>2.8</v>
      </c>
      <c r="F547" s="731" t="s">
        <v>1599</v>
      </c>
      <c r="G547" s="731" t="s">
        <v>1600</v>
      </c>
      <c r="H547" s="731" t="s">
        <v>1971</v>
      </c>
      <c r="I547" s="736">
        <v>4358</v>
      </c>
      <c r="J547" s="735" t="s">
        <v>1599</v>
      </c>
      <c r="K547" s="737">
        <v>2210</v>
      </c>
      <c r="L547" s="744">
        <f t="shared" si="45"/>
        <v>5383.35</v>
      </c>
      <c r="M547" s="742">
        <v>7593.35</v>
      </c>
      <c r="N547" s="843">
        <v>4255.3999999999996</v>
      </c>
      <c r="O547" s="710">
        <f t="shared" si="42"/>
        <v>11.915119999999998</v>
      </c>
      <c r="P547" s="711">
        <f t="shared" si="43"/>
        <v>0.37234749999999994</v>
      </c>
      <c r="Q547" s="712">
        <f t="shared" si="44"/>
        <v>18545.033199999998</v>
      </c>
    </row>
    <row r="548" spans="1:17" ht="15.75" customHeight="1">
      <c r="A548" s="722" t="s">
        <v>2389</v>
      </c>
      <c r="B548" s="723">
        <v>45161</v>
      </c>
      <c r="C548" s="724" t="s">
        <v>1597</v>
      </c>
      <c r="D548" s="724" t="s">
        <v>1598</v>
      </c>
      <c r="E548" s="725">
        <v>7.1</v>
      </c>
      <c r="F548" s="722" t="s">
        <v>1599</v>
      </c>
      <c r="G548" s="722" t="s">
        <v>1600</v>
      </c>
      <c r="H548" s="722" t="s">
        <v>1828</v>
      </c>
      <c r="I548" s="727">
        <v>7448</v>
      </c>
      <c r="J548" s="726" t="s">
        <v>1599</v>
      </c>
      <c r="K548" s="728">
        <v>3700</v>
      </c>
      <c r="L548" s="743">
        <f t="shared" si="45"/>
        <v>22477</v>
      </c>
      <c r="M548" s="728">
        <v>26177</v>
      </c>
      <c r="N548" s="842">
        <v>18512</v>
      </c>
      <c r="O548" s="710">
        <f t="shared" si="42"/>
        <v>131.43519999999998</v>
      </c>
      <c r="P548" s="711">
        <f t="shared" si="43"/>
        <v>4.1073499999999994</v>
      </c>
      <c r="Q548" s="712">
        <f t="shared" si="44"/>
        <v>137877.37599999999</v>
      </c>
    </row>
    <row r="549" spans="1:17" ht="15.75" customHeight="1">
      <c r="A549" s="731" t="s">
        <v>2390</v>
      </c>
      <c r="B549" s="732">
        <v>45161</v>
      </c>
      <c r="C549" s="733" t="s">
        <v>1597</v>
      </c>
      <c r="D549" s="733" t="s">
        <v>1598</v>
      </c>
      <c r="E549" s="734">
        <v>7.1</v>
      </c>
      <c r="F549" s="731" t="s">
        <v>1599</v>
      </c>
      <c r="G549" s="731" t="s">
        <v>1600</v>
      </c>
      <c r="H549" s="731" t="s">
        <v>1828</v>
      </c>
      <c r="I549" s="736">
        <v>7448</v>
      </c>
      <c r="J549" s="735" t="s">
        <v>1599</v>
      </c>
      <c r="K549" s="737">
        <v>3770</v>
      </c>
      <c r="L549" s="744">
        <f t="shared" si="45"/>
        <v>20702</v>
      </c>
      <c r="M549" s="742">
        <v>24472</v>
      </c>
      <c r="N549" s="843">
        <v>16560</v>
      </c>
      <c r="O549" s="710">
        <f t="shared" si="42"/>
        <v>117.57599999999999</v>
      </c>
      <c r="P549" s="711">
        <f t="shared" si="43"/>
        <v>3.6742499999999998</v>
      </c>
      <c r="Q549" s="712">
        <f t="shared" si="44"/>
        <v>123338.88</v>
      </c>
    </row>
    <row r="550" spans="1:17" ht="15.75" customHeight="1">
      <c r="A550" s="722" t="s">
        <v>2391</v>
      </c>
      <c r="B550" s="723">
        <v>45161</v>
      </c>
      <c r="C550" s="724" t="s">
        <v>1597</v>
      </c>
      <c r="D550" s="724" t="s">
        <v>1598</v>
      </c>
      <c r="E550" s="725">
        <v>7.1</v>
      </c>
      <c r="F550" s="722" t="s">
        <v>1599</v>
      </c>
      <c r="G550" s="722" t="s">
        <v>1600</v>
      </c>
      <c r="H550" s="722" t="s">
        <v>1828</v>
      </c>
      <c r="I550" s="727">
        <v>7448</v>
      </c>
      <c r="J550" s="726" t="s">
        <v>1599</v>
      </c>
      <c r="K550" s="728">
        <v>3580</v>
      </c>
      <c r="L550" s="743">
        <f t="shared" si="45"/>
        <v>24127</v>
      </c>
      <c r="M550" s="741">
        <v>27707</v>
      </c>
      <c r="N550" s="842">
        <v>21730</v>
      </c>
      <c r="O550" s="710">
        <f t="shared" si="42"/>
        <v>154.28299999999999</v>
      </c>
      <c r="P550" s="711">
        <f t="shared" si="43"/>
        <v>4.8213437499999996</v>
      </c>
      <c r="Q550" s="712">
        <f t="shared" si="44"/>
        <v>161845.04</v>
      </c>
    </row>
    <row r="551" spans="1:17" ht="15.75" customHeight="1">
      <c r="A551" s="731" t="s">
        <v>2392</v>
      </c>
      <c r="B551" s="732">
        <v>45161</v>
      </c>
      <c r="C551" s="733" t="s">
        <v>1597</v>
      </c>
      <c r="D551" s="733" t="s">
        <v>1598</v>
      </c>
      <c r="E551" s="734">
        <v>7.1</v>
      </c>
      <c r="F551" s="731" t="s">
        <v>1599</v>
      </c>
      <c r="G551" s="731" t="s">
        <v>1600</v>
      </c>
      <c r="H551" s="731" t="s">
        <v>1828</v>
      </c>
      <c r="I551" s="736">
        <v>7448</v>
      </c>
      <c r="J551" s="735" t="s">
        <v>1599</v>
      </c>
      <c r="K551" s="737">
        <v>3610</v>
      </c>
      <c r="L551" s="744">
        <f t="shared" si="45"/>
        <v>14226</v>
      </c>
      <c r="M551" s="737">
        <v>17836</v>
      </c>
      <c r="N551" s="843">
        <v>7277.9</v>
      </c>
      <c r="O551" s="710">
        <f t="shared" si="42"/>
        <v>51.673089999999995</v>
      </c>
      <c r="P551" s="711">
        <f t="shared" si="43"/>
        <v>1.6147840624999998</v>
      </c>
      <c r="Q551" s="712">
        <f t="shared" si="44"/>
        <v>54205.799199999994</v>
      </c>
    </row>
    <row r="552" spans="1:17" ht="15.75" customHeight="1">
      <c r="A552" s="722" t="s">
        <v>2393</v>
      </c>
      <c r="B552" s="723">
        <v>45166</v>
      </c>
      <c r="C552" s="724" t="s">
        <v>1597</v>
      </c>
      <c r="D552" s="724" t="s">
        <v>1598</v>
      </c>
      <c r="E552" s="725">
        <v>7.1</v>
      </c>
      <c r="F552" s="722" t="s">
        <v>1599</v>
      </c>
      <c r="G552" s="722" t="s">
        <v>1600</v>
      </c>
      <c r="H552" s="722" t="s">
        <v>1831</v>
      </c>
      <c r="I552" s="727">
        <v>7283</v>
      </c>
      <c r="J552" s="726" t="s">
        <v>1599</v>
      </c>
      <c r="K552" s="728">
        <v>3700</v>
      </c>
      <c r="L552" s="743">
        <f t="shared" si="45"/>
        <v>24062</v>
      </c>
      <c r="M552" s="741">
        <v>27762</v>
      </c>
      <c r="N552" s="842">
        <v>20162</v>
      </c>
      <c r="O552" s="710">
        <f t="shared" si="42"/>
        <v>143.15019999999998</v>
      </c>
      <c r="P552" s="711">
        <f t="shared" si="43"/>
        <v>4.4734437499999995</v>
      </c>
      <c r="Q552" s="712">
        <f t="shared" si="44"/>
        <v>146839.84599999999</v>
      </c>
    </row>
    <row r="553" spans="1:17" ht="15.75" customHeight="1">
      <c r="A553" s="731" t="s">
        <v>2394</v>
      </c>
      <c r="B553" s="732">
        <v>45166</v>
      </c>
      <c r="C553" s="733" t="s">
        <v>1597</v>
      </c>
      <c r="D553" s="733" t="s">
        <v>1598</v>
      </c>
      <c r="E553" s="734">
        <v>7.1</v>
      </c>
      <c r="F553" s="731" t="s">
        <v>1599</v>
      </c>
      <c r="G553" s="731" t="s">
        <v>1600</v>
      </c>
      <c r="H553" s="731" t="s">
        <v>1831</v>
      </c>
      <c r="I553" s="736">
        <v>7283</v>
      </c>
      <c r="J553" s="735" t="s">
        <v>1599</v>
      </c>
      <c r="K553" s="737">
        <v>2200</v>
      </c>
      <c r="L553" s="744">
        <f t="shared" si="45"/>
        <v>6427</v>
      </c>
      <c r="M553" s="742">
        <v>8627</v>
      </c>
      <c r="N553" s="843">
        <v>3697</v>
      </c>
      <c r="O553" s="710">
        <f t="shared" si="42"/>
        <v>26.248699999999996</v>
      </c>
      <c r="P553" s="711">
        <f t="shared" si="43"/>
        <v>0.82027187499999987</v>
      </c>
      <c r="Q553" s="712">
        <f t="shared" si="44"/>
        <v>26925.251</v>
      </c>
    </row>
    <row r="554" spans="1:17" ht="15.75" customHeight="1">
      <c r="A554" s="722" t="s">
        <v>2395</v>
      </c>
      <c r="B554" s="723">
        <v>45161</v>
      </c>
      <c r="C554" s="724" t="s">
        <v>1597</v>
      </c>
      <c r="D554" s="724" t="s">
        <v>1598</v>
      </c>
      <c r="E554" s="725">
        <v>7.1</v>
      </c>
      <c r="F554" s="722" t="s">
        <v>1599</v>
      </c>
      <c r="G554" s="722" t="s">
        <v>1600</v>
      </c>
      <c r="H554" s="722" t="s">
        <v>1866</v>
      </c>
      <c r="I554" s="727">
        <v>2597</v>
      </c>
      <c r="J554" s="726" t="s">
        <v>1599</v>
      </c>
      <c r="K554" s="728">
        <v>2100</v>
      </c>
      <c r="L554" s="743">
        <f t="shared" si="45"/>
        <v>6818</v>
      </c>
      <c r="M554" s="741">
        <v>8918</v>
      </c>
      <c r="N554" s="842">
        <v>5613</v>
      </c>
      <c r="O554" s="710">
        <f t="shared" si="42"/>
        <v>39.852299999999993</v>
      </c>
      <c r="P554" s="711">
        <f t="shared" si="43"/>
        <v>1.2453843749999998</v>
      </c>
      <c r="Q554" s="712">
        <f t="shared" si="44"/>
        <v>14576.960999999999</v>
      </c>
    </row>
    <row r="555" spans="1:17" ht="15.75" customHeight="1">
      <c r="A555" s="731" t="s">
        <v>2396</v>
      </c>
      <c r="B555" s="732">
        <v>45163</v>
      </c>
      <c r="C555" s="733" t="s">
        <v>1597</v>
      </c>
      <c r="D555" s="733" t="s">
        <v>1598</v>
      </c>
      <c r="E555" s="734">
        <v>5.3</v>
      </c>
      <c r="F555" s="731" t="s">
        <v>1599</v>
      </c>
      <c r="G555" s="731" t="s">
        <v>1600</v>
      </c>
      <c r="H555" s="731" t="s">
        <v>1807</v>
      </c>
      <c r="I555" s="736">
        <v>1734</v>
      </c>
      <c r="J555" s="735" t="s">
        <v>1599</v>
      </c>
      <c r="K555" s="737">
        <v>3640</v>
      </c>
      <c r="L555" s="744">
        <f t="shared" si="45"/>
        <v>12860.2</v>
      </c>
      <c r="M555" s="742">
        <v>16500.2</v>
      </c>
      <c r="N555" s="843">
        <v>10106.6</v>
      </c>
      <c r="O555" s="710">
        <f t="shared" si="42"/>
        <v>53.564980000000006</v>
      </c>
      <c r="P555" s="711">
        <f t="shared" si="43"/>
        <v>1.6739056250000002</v>
      </c>
      <c r="Q555" s="712">
        <f t="shared" si="44"/>
        <v>17524.844400000002</v>
      </c>
    </row>
    <row r="556" spans="1:17" ht="15.75" customHeight="1">
      <c r="A556" s="722" t="s">
        <v>2397</v>
      </c>
      <c r="B556" s="723">
        <v>45162</v>
      </c>
      <c r="C556" s="724" t="s">
        <v>1597</v>
      </c>
      <c r="D556" s="724" t="s">
        <v>1598</v>
      </c>
      <c r="E556" s="725">
        <v>5.2</v>
      </c>
      <c r="F556" s="722" t="s">
        <v>1599</v>
      </c>
      <c r="G556" s="722" t="s">
        <v>1600</v>
      </c>
      <c r="H556" s="722" t="s">
        <v>1880</v>
      </c>
      <c r="I556" s="727">
        <v>13558</v>
      </c>
      <c r="J556" s="726" t="s">
        <v>1599</v>
      </c>
      <c r="K556" s="728">
        <v>3760</v>
      </c>
      <c r="L556" s="743">
        <f t="shared" si="45"/>
        <v>10948.4</v>
      </c>
      <c r="M556" s="741">
        <v>14708.4</v>
      </c>
      <c r="N556" s="842">
        <v>7650.4</v>
      </c>
      <c r="O556" s="710">
        <f t="shared" si="42"/>
        <v>39.782080000000001</v>
      </c>
      <c r="P556" s="711">
        <f t="shared" si="43"/>
        <v>1.24319</v>
      </c>
      <c r="Q556" s="712">
        <f t="shared" si="44"/>
        <v>103724.12319999999</v>
      </c>
    </row>
    <row r="557" spans="1:17" ht="15.75" customHeight="1">
      <c r="A557" s="731" t="s">
        <v>2398</v>
      </c>
      <c r="B557" s="732">
        <v>45156</v>
      </c>
      <c r="C557" s="733" t="s">
        <v>1597</v>
      </c>
      <c r="D557" s="733" t="s">
        <v>1598</v>
      </c>
      <c r="E557" s="734">
        <v>7.1</v>
      </c>
      <c r="F557" s="731" t="s">
        <v>1599</v>
      </c>
      <c r="G557" s="731" t="s">
        <v>1600</v>
      </c>
      <c r="H557" s="731" t="s">
        <v>1893</v>
      </c>
      <c r="I557" s="736">
        <v>2167</v>
      </c>
      <c r="J557" s="735" t="s">
        <v>1599</v>
      </c>
      <c r="K557" s="737">
        <v>2180</v>
      </c>
      <c r="L557" s="744">
        <f t="shared" si="45"/>
        <v>4398.66</v>
      </c>
      <c r="M557" s="742">
        <v>6578.66</v>
      </c>
      <c r="N557" s="843">
        <v>3294.44</v>
      </c>
      <c r="O557" s="710">
        <f t="shared" si="42"/>
        <v>23.390523999999999</v>
      </c>
      <c r="P557" s="711">
        <f t="shared" si="43"/>
        <v>0.73095387499999998</v>
      </c>
      <c r="Q557" s="712">
        <f t="shared" si="44"/>
        <v>7139.0514800000001</v>
      </c>
    </row>
    <row r="558" spans="1:17" ht="15.75" customHeight="1">
      <c r="A558" s="722" t="s">
        <v>2399</v>
      </c>
      <c r="B558" s="723">
        <v>45161</v>
      </c>
      <c r="C558" s="724" t="s">
        <v>1597</v>
      </c>
      <c r="D558" s="724" t="s">
        <v>1598</v>
      </c>
      <c r="E558" s="725">
        <v>11.7</v>
      </c>
      <c r="F558" s="722" t="s">
        <v>1599</v>
      </c>
      <c r="G558" s="722" t="s">
        <v>1600</v>
      </c>
      <c r="H558" s="722" t="s">
        <v>1818</v>
      </c>
      <c r="I558" s="727">
        <v>14000</v>
      </c>
      <c r="J558" s="726" t="s">
        <v>1599</v>
      </c>
      <c r="K558" s="728">
        <v>3720</v>
      </c>
      <c r="L558" s="743">
        <f t="shared" si="45"/>
        <v>17528.919999999998</v>
      </c>
      <c r="M558" s="741">
        <v>21248.92</v>
      </c>
      <c r="N558" s="842">
        <v>15277.46</v>
      </c>
      <c r="O558" s="710">
        <f t="shared" si="42"/>
        <v>178.74628199999998</v>
      </c>
      <c r="P558" s="711">
        <f t="shared" si="43"/>
        <v>5.5858213124999994</v>
      </c>
      <c r="Q558" s="712">
        <f t="shared" si="44"/>
        <v>213884.44</v>
      </c>
    </row>
    <row r="559" spans="1:17" ht="15.75" customHeight="1">
      <c r="A559" s="731" t="s">
        <v>2400</v>
      </c>
      <c r="B559" s="732">
        <v>45162</v>
      </c>
      <c r="C559" s="733" t="s">
        <v>1597</v>
      </c>
      <c r="D559" s="733" t="s">
        <v>1598</v>
      </c>
      <c r="E559" s="734">
        <v>6.5</v>
      </c>
      <c r="F559" s="731" t="s">
        <v>1599</v>
      </c>
      <c r="G559" s="731" t="s">
        <v>1600</v>
      </c>
      <c r="H559" s="731" t="s">
        <v>1822</v>
      </c>
      <c r="I559" s="736">
        <v>13787</v>
      </c>
      <c r="J559" s="735" t="s">
        <v>1599</v>
      </c>
      <c r="K559" s="737">
        <v>3880</v>
      </c>
      <c r="L559" s="744">
        <f t="shared" si="45"/>
        <v>18966</v>
      </c>
      <c r="M559" s="742">
        <v>22846</v>
      </c>
      <c r="N559" s="843">
        <v>15477</v>
      </c>
      <c r="O559" s="710">
        <f t="shared" si="42"/>
        <v>100.6005</v>
      </c>
      <c r="P559" s="711">
        <f t="shared" si="43"/>
        <v>3.1437656249999999</v>
      </c>
      <c r="Q559" s="712">
        <f t="shared" si="44"/>
        <v>213381.399</v>
      </c>
    </row>
    <row r="560" spans="1:17" ht="15.75" customHeight="1">
      <c r="A560" s="722" t="s">
        <v>2401</v>
      </c>
      <c r="B560" s="723">
        <v>45159</v>
      </c>
      <c r="C560" s="724" t="s">
        <v>1597</v>
      </c>
      <c r="D560" s="724" t="s">
        <v>1598</v>
      </c>
      <c r="E560" s="725">
        <v>7.1</v>
      </c>
      <c r="F560" s="722" t="s">
        <v>1599</v>
      </c>
      <c r="G560" s="722" t="s">
        <v>1600</v>
      </c>
      <c r="H560" s="722" t="s">
        <v>1880</v>
      </c>
      <c r="I560" s="727">
        <v>13558</v>
      </c>
      <c r="J560" s="726" t="s">
        <v>1599</v>
      </c>
      <c r="K560" s="728">
        <v>3830</v>
      </c>
      <c r="L560" s="743">
        <f t="shared" si="45"/>
        <v>18461</v>
      </c>
      <c r="M560" s="741">
        <v>22291</v>
      </c>
      <c r="N560" s="842">
        <v>15081</v>
      </c>
      <c r="O560" s="710">
        <f t="shared" si="42"/>
        <v>107.07509999999999</v>
      </c>
      <c r="P560" s="711">
        <f t="shared" si="43"/>
        <v>3.3460968749999997</v>
      </c>
      <c r="Q560" s="712">
        <f t="shared" si="44"/>
        <v>204468.198</v>
      </c>
    </row>
    <row r="561" spans="1:17" ht="15.75" customHeight="1">
      <c r="A561" s="731" t="s">
        <v>2402</v>
      </c>
      <c r="B561" s="732">
        <v>45161</v>
      </c>
      <c r="C561" s="733" t="s">
        <v>1597</v>
      </c>
      <c r="D561" s="733" t="s">
        <v>1598</v>
      </c>
      <c r="E561" s="734">
        <v>6.2</v>
      </c>
      <c r="F561" s="731" t="s">
        <v>1599</v>
      </c>
      <c r="G561" s="731" t="s">
        <v>1600</v>
      </c>
      <c r="H561" s="731" t="s">
        <v>1884</v>
      </c>
      <c r="I561" s="736">
        <v>13413</v>
      </c>
      <c r="J561" s="735" t="s">
        <v>1599</v>
      </c>
      <c r="K561" s="737">
        <v>3870</v>
      </c>
      <c r="L561" s="744">
        <f t="shared" si="45"/>
        <v>15503</v>
      </c>
      <c r="M561" s="742">
        <v>19373</v>
      </c>
      <c r="N561" s="843">
        <v>15501</v>
      </c>
      <c r="O561" s="710">
        <f t="shared" si="42"/>
        <v>96.106200000000001</v>
      </c>
      <c r="P561" s="711">
        <f t="shared" si="43"/>
        <v>3.00331875</v>
      </c>
      <c r="Q561" s="712">
        <f t="shared" si="44"/>
        <v>207914.913</v>
      </c>
    </row>
    <row r="562" spans="1:17" ht="15.75" customHeight="1">
      <c r="A562" s="722" t="s">
        <v>2403</v>
      </c>
      <c r="B562" s="723">
        <v>45166</v>
      </c>
      <c r="C562" s="724" t="s">
        <v>1597</v>
      </c>
      <c r="D562" s="724" t="s">
        <v>1598</v>
      </c>
      <c r="E562" s="725">
        <v>5.2</v>
      </c>
      <c r="F562" s="722" t="s">
        <v>1599</v>
      </c>
      <c r="G562" s="722" t="s">
        <v>1600</v>
      </c>
      <c r="H562" s="722" t="s">
        <v>1893</v>
      </c>
      <c r="I562" s="727">
        <v>2167</v>
      </c>
      <c r="J562" s="726" t="s">
        <v>1599</v>
      </c>
      <c r="K562" s="728">
        <v>2190</v>
      </c>
      <c r="L562" s="743">
        <f t="shared" si="45"/>
        <v>4133.5</v>
      </c>
      <c r="M562" s="741">
        <v>6323.5</v>
      </c>
      <c r="N562" s="842">
        <v>2706.5</v>
      </c>
      <c r="O562" s="710">
        <f t="shared" si="42"/>
        <v>14.0738</v>
      </c>
      <c r="P562" s="711">
        <f t="shared" si="43"/>
        <v>0.43980625000000001</v>
      </c>
      <c r="Q562" s="712">
        <f t="shared" si="44"/>
        <v>5864.9854999999998</v>
      </c>
    </row>
    <row r="563" spans="1:17" ht="15.75" customHeight="1">
      <c r="A563" s="731" t="s">
        <v>2404</v>
      </c>
      <c r="B563" s="732">
        <v>45162</v>
      </c>
      <c r="C563" s="733" t="s">
        <v>1597</v>
      </c>
      <c r="D563" s="733" t="s">
        <v>1598</v>
      </c>
      <c r="E563" s="734">
        <v>6.2</v>
      </c>
      <c r="F563" s="731" t="s">
        <v>1599</v>
      </c>
      <c r="G563" s="731" t="s">
        <v>1600</v>
      </c>
      <c r="H563" s="731" t="s">
        <v>1880</v>
      </c>
      <c r="I563" s="736">
        <v>13558</v>
      </c>
      <c r="J563" s="735" t="s">
        <v>1599</v>
      </c>
      <c r="K563" s="737">
        <v>3900</v>
      </c>
      <c r="L563" s="744">
        <f t="shared" si="45"/>
        <v>13939</v>
      </c>
      <c r="M563" s="742">
        <v>17839</v>
      </c>
      <c r="N563" s="843">
        <v>10930.5</v>
      </c>
      <c r="O563" s="710">
        <f t="shared" si="42"/>
        <v>67.769100000000009</v>
      </c>
      <c r="P563" s="711">
        <f t="shared" si="43"/>
        <v>2.1177843750000003</v>
      </c>
      <c r="Q563" s="712">
        <f t="shared" si="44"/>
        <v>148195.71900000001</v>
      </c>
    </row>
    <row r="564" spans="1:17" ht="15.75" customHeight="1">
      <c r="A564" s="722" t="s">
        <v>2405</v>
      </c>
      <c r="B564" s="723">
        <v>45166</v>
      </c>
      <c r="C564" s="724" t="s">
        <v>1597</v>
      </c>
      <c r="D564" s="724" t="s">
        <v>1598</v>
      </c>
      <c r="E564" s="725">
        <v>7.1</v>
      </c>
      <c r="F564" s="722" t="s">
        <v>1599</v>
      </c>
      <c r="G564" s="722" t="s">
        <v>1600</v>
      </c>
      <c r="H564" s="722" t="s">
        <v>1836</v>
      </c>
      <c r="I564" s="727">
        <v>14544</v>
      </c>
      <c r="J564" s="726" t="s">
        <v>1599</v>
      </c>
      <c r="K564" s="728">
        <v>3800</v>
      </c>
      <c r="L564" s="743">
        <f t="shared" si="45"/>
        <v>12515</v>
      </c>
      <c r="M564" s="741">
        <v>16315</v>
      </c>
      <c r="N564" s="842">
        <v>9835</v>
      </c>
      <c r="O564" s="710">
        <f t="shared" si="42"/>
        <v>69.828500000000005</v>
      </c>
      <c r="P564" s="711">
        <f t="shared" si="43"/>
        <v>2.1821406250000002</v>
      </c>
      <c r="Q564" s="712">
        <f t="shared" si="44"/>
        <v>143040.24</v>
      </c>
    </row>
    <row r="565" spans="1:17" ht="15.75" customHeight="1">
      <c r="A565" s="731" t="s">
        <v>2406</v>
      </c>
      <c r="B565" s="732">
        <v>45167</v>
      </c>
      <c r="C565" s="713" t="s">
        <v>1597</v>
      </c>
      <c r="D565" s="713" t="s">
        <v>1598</v>
      </c>
      <c r="E565" s="715">
        <v>7.1</v>
      </c>
      <c r="F565" s="713" t="s">
        <v>1599</v>
      </c>
      <c r="G565" s="713" t="s">
        <v>1600</v>
      </c>
      <c r="H565" s="731" t="s">
        <v>1798</v>
      </c>
      <c r="I565" s="736">
        <v>1931</v>
      </c>
      <c r="J565" s="718" t="s">
        <v>1599</v>
      </c>
      <c r="K565" s="719">
        <v>5096.93</v>
      </c>
      <c r="L565" s="745">
        <v>1292.72</v>
      </c>
      <c r="M565" s="746">
        <v>6389.65</v>
      </c>
      <c r="N565" s="843">
        <v>5096.93</v>
      </c>
      <c r="O565" s="710">
        <f t="shared" si="42"/>
        <v>36.188203000000001</v>
      </c>
      <c r="P565" s="711">
        <f t="shared" si="43"/>
        <v>1.13088134375</v>
      </c>
      <c r="Q565" s="712">
        <f t="shared" si="44"/>
        <v>9842.1718299999993</v>
      </c>
    </row>
    <row r="566" spans="1:17" ht="15.75" customHeight="1">
      <c r="A566" s="722" t="s">
        <v>2407</v>
      </c>
      <c r="B566" s="723">
        <v>45166</v>
      </c>
      <c r="C566" s="724" t="s">
        <v>1597</v>
      </c>
      <c r="D566" s="724" t="s">
        <v>1598</v>
      </c>
      <c r="E566" s="725">
        <v>6.5</v>
      </c>
      <c r="F566" s="722" t="s">
        <v>1599</v>
      </c>
      <c r="G566" s="722" t="s">
        <v>1600</v>
      </c>
      <c r="H566" s="722" t="s">
        <v>1884</v>
      </c>
      <c r="I566" s="727">
        <v>13413</v>
      </c>
      <c r="J566" s="726" t="s">
        <v>1599</v>
      </c>
      <c r="K566" s="728">
        <v>3810</v>
      </c>
      <c r="L566" s="743">
        <f t="shared" ref="L566:L592" si="46">M566-K566</f>
        <v>14794.099999999999</v>
      </c>
      <c r="M566" s="741">
        <v>18604.099999999999</v>
      </c>
      <c r="N566" s="842">
        <v>12135.55</v>
      </c>
      <c r="O566" s="710">
        <f t="shared" si="42"/>
        <v>78.881074999999996</v>
      </c>
      <c r="P566" s="711">
        <f t="shared" si="43"/>
        <v>2.4650335937499999</v>
      </c>
      <c r="Q566" s="712">
        <f t="shared" si="44"/>
        <v>162774.13214999999</v>
      </c>
    </row>
    <row r="567" spans="1:17" ht="15.75" customHeight="1">
      <c r="A567" s="731" t="s">
        <v>2408</v>
      </c>
      <c r="B567" s="732">
        <v>45167</v>
      </c>
      <c r="C567" s="733" t="s">
        <v>1597</v>
      </c>
      <c r="D567" s="733" t="s">
        <v>1598</v>
      </c>
      <c r="E567" s="734">
        <v>5.2</v>
      </c>
      <c r="F567" s="731" t="s">
        <v>1599</v>
      </c>
      <c r="G567" s="731" t="s">
        <v>1600</v>
      </c>
      <c r="H567" s="731" t="s">
        <v>1880</v>
      </c>
      <c r="I567" s="736">
        <v>13558</v>
      </c>
      <c r="J567" s="735" t="s">
        <v>1599</v>
      </c>
      <c r="K567" s="737">
        <v>3890</v>
      </c>
      <c r="L567" s="744">
        <f t="shared" si="46"/>
        <v>9714.5</v>
      </c>
      <c r="M567" s="742">
        <v>13604.5</v>
      </c>
      <c r="N567" s="843">
        <v>6937.5</v>
      </c>
      <c r="O567" s="710">
        <f t="shared" si="42"/>
        <v>36.075000000000003</v>
      </c>
      <c r="P567" s="711">
        <f t="shared" si="43"/>
        <v>1.1273437500000001</v>
      </c>
      <c r="Q567" s="712">
        <f t="shared" si="44"/>
        <v>94058.625</v>
      </c>
    </row>
    <row r="568" spans="1:17" ht="15.75" customHeight="1">
      <c r="A568" s="722" t="s">
        <v>2409</v>
      </c>
      <c r="B568" s="723">
        <v>45168</v>
      </c>
      <c r="C568" s="724" t="s">
        <v>1597</v>
      </c>
      <c r="D568" s="724" t="s">
        <v>1598</v>
      </c>
      <c r="E568" s="725">
        <v>6.2</v>
      </c>
      <c r="F568" s="722" t="s">
        <v>1599</v>
      </c>
      <c r="G568" s="722" t="s">
        <v>1600</v>
      </c>
      <c r="H568" s="722" t="s">
        <v>1836</v>
      </c>
      <c r="I568" s="727">
        <v>14544</v>
      </c>
      <c r="J568" s="726" t="s">
        <v>1599</v>
      </c>
      <c r="K568" s="728">
        <v>3890</v>
      </c>
      <c r="L568" s="743">
        <f t="shared" si="46"/>
        <v>9714.5</v>
      </c>
      <c r="M568" s="741">
        <v>13604.5</v>
      </c>
      <c r="N568" s="842">
        <v>6937.5</v>
      </c>
      <c r="O568" s="710">
        <f t="shared" si="42"/>
        <v>43.012500000000003</v>
      </c>
      <c r="P568" s="711">
        <f t="shared" si="43"/>
        <v>1.3441406250000001</v>
      </c>
      <c r="Q568" s="712">
        <f t="shared" si="44"/>
        <v>100899</v>
      </c>
    </row>
    <row r="569" spans="1:17" ht="15.75" customHeight="1">
      <c r="A569" s="731" t="s">
        <v>2410</v>
      </c>
      <c r="B569" s="732">
        <v>45166</v>
      </c>
      <c r="C569" s="733" t="s">
        <v>1597</v>
      </c>
      <c r="D569" s="733" t="s">
        <v>1598</v>
      </c>
      <c r="E569" s="734">
        <v>6.5</v>
      </c>
      <c r="F569" s="731" t="s">
        <v>1599</v>
      </c>
      <c r="G569" s="731" t="s">
        <v>1600</v>
      </c>
      <c r="H569" s="731" t="s">
        <v>1886</v>
      </c>
      <c r="I569" s="736">
        <v>13877</v>
      </c>
      <c r="J569" s="735" t="s">
        <v>1599</v>
      </c>
      <c r="K569" s="737">
        <v>3900</v>
      </c>
      <c r="L569" s="744">
        <f t="shared" si="46"/>
        <v>12014</v>
      </c>
      <c r="M569" s="742">
        <v>15914</v>
      </c>
      <c r="N569" s="843">
        <v>8988</v>
      </c>
      <c r="O569" s="710">
        <f t="shared" si="42"/>
        <v>58.421999999999997</v>
      </c>
      <c r="P569" s="711">
        <f t="shared" si="43"/>
        <v>1.8256874999999999</v>
      </c>
      <c r="Q569" s="712">
        <f t="shared" si="44"/>
        <v>124726.476</v>
      </c>
    </row>
    <row r="570" spans="1:17" ht="15.75" customHeight="1">
      <c r="A570" s="722" t="s">
        <v>2411</v>
      </c>
      <c r="B570" s="723">
        <v>45166</v>
      </c>
      <c r="C570" s="724" t="s">
        <v>1597</v>
      </c>
      <c r="D570" s="724" t="s">
        <v>1598</v>
      </c>
      <c r="E570" s="725">
        <v>6.5</v>
      </c>
      <c r="F570" s="722" t="s">
        <v>1599</v>
      </c>
      <c r="G570" s="722" t="s">
        <v>1600</v>
      </c>
      <c r="H570" s="722" t="s">
        <v>1886</v>
      </c>
      <c r="I570" s="727">
        <v>13877</v>
      </c>
      <c r="J570" s="726" t="s">
        <v>1599</v>
      </c>
      <c r="K570" s="728">
        <v>3830</v>
      </c>
      <c r="L570" s="743">
        <f t="shared" si="46"/>
        <v>10189.799999999999</v>
      </c>
      <c r="M570" s="730">
        <v>14019.8</v>
      </c>
      <c r="N570" s="842">
        <v>7660</v>
      </c>
      <c r="O570" s="710">
        <f t="shared" si="42"/>
        <v>49.79</v>
      </c>
      <c r="P570" s="711">
        <f t="shared" si="43"/>
        <v>1.5559375</v>
      </c>
      <c r="Q570" s="712">
        <f t="shared" si="44"/>
        <v>106297.82</v>
      </c>
    </row>
    <row r="571" spans="1:17" ht="15.75" customHeight="1">
      <c r="A571" s="731" t="s">
        <v>2412</v>
      </c>
      <c r="B571" s="732">
        <v>45166</v>
      </c>
      <c r="C571" s="733" t="s">
        <v>1597</v>
      </c>
      <c r="D571" s="733" t="s">
        <v>1598</v>
      </c>
      <c r="E571" s="734">
        <v>6.5</v>
      </c>
      <c r="F571" s="731" t="s">
        <v>1599</v>
      </c>
      <c r="G571" s="731" t="s">
        <v>1600</v>
      </c>
      <c r="H571" s="731" t="s">
        <v>1886</v>
      </c>
      <c r="I571" s="736">
        <v>13877</v>
      </c>
      <c r="J571" s="735" t="s">
        <v>1599</v>
      </c>
      <c r="K571" s="737">
        <v>3830</v>
      </c>
      <c r="L571" s="744">
        <f t="shared" si="46"/>
        <v>12014</v>
      </c>
      <c r="M571" s="742">
        <v>15844</v>
      </c>
      <c r="N571" s="843">
        <v>8988</v>
      </c>
      <c r="O571" s="710">
        <f t="shared" si="42"/>
        <v>58.421999999999997</v>
      </c>
      <c r="P571" s="711">
        <f t="shared" si="43"/>
        <v>1.8256874999999999</v>
      </c>
      <c r="Q571" s="712">
        <f t="shared" si="44"/>
        <v>124726.476</v>
      </c>
    </row>
    <row r="572" spans="1:17" ht="15.75" customHeight="1">
      <c r="A572" s="722" t="s">
        <v>2413</v>
      </c>
      <c r="B572" s="723">
        <v>45166</v>
      </c>
      <c r="C572" s="724" t="s">
        <v>1597</v>
      </c>
      <c r="D572" s="724" t="s">
        <v>1598</v>
      </c>
      <c r="E572" s="725">
        <v>6.5</v>
      </c>
      <c r="F572" s="722" t="s">
        <v>1599</v>
      </c>
      <c r="G572" s="722" t="s">
        <v>1600</v>
      </c>
      <c r="H572" s="722" t="s">
        <v>1886</v>
      </c>
      <c r="I572" s="727">
        <v>13877</v>
      </c>
      <c r="J572" s="726" t="s">
        <v>1599</v>
      </c>
      <c r="K572" s="728">
        <v>3810</v>
      </c>
      <c r="L572" s="743">
        <f t="shared" si="46"/>
        <v>9774.2000000000007</v>
      </c>
      <c r="M572" s="741">
        <v>13584.2</v>
      </c>
      <c r="N572" s="842">
        <v>6917.4</v>
      </c>
      <c r="O572" s="710">
        <f t="shared" si="42"/>
        <v>44.963099999999997</v>
      </c>
      <c r="P572" s="711">
        <f t="shared" si="43"/>
        <v>1.4050968749999999</v>
      </c>
      <c r="Q572" s="712">
        <f t="shared" si="44"/>
        <v>95992.7598</v>
      </c>
    </row>
    <row r="573" spans="1:17" ht="15.75" customHeight="1">
      <c r="A573" s="731" t="s">
        <v>2414</v>
      </c>
      <c r="B573" s="732">
        <v>45166</v>
      </c>
      <c r="C573" s="733" t="s">
        <v>1597</v>
      </c>
      <c r="D573" s="733" t="s">
        <v>1598</v>
      </c>
      <c r="E573" s="734">
        <v>6.5</v>
      </c>
      <c r="F573" s="731" t="s">
        <v>1599</v>
      </c>
      <c r="G573" s="731" t="s">
        <v>1600</v>
      </c>
      <c r="H573" s="731" t="s">
        <v>1886</v>
      </c>
      <c r="I573" s="736">
        <v>13877</v>
      </c>
      <c r="J573" s="735" t="s">
        <v>1599</v>
      </c>
      <c r="K573" s="737">
        <v>3840</v>
      </c>
      <c r="L573" s="744">
        <f t="shared" si="46"/>
        <v>12014</v>
      </c>
      <c r="M573" s="742">
        <v>15854</v>
      </c>
      <c r="N573" s="843">
        <v>10758.84</v>
      </c>
      <c r="O573" s="710">
        <f t="shared" si="42"/>
        <v>69.932460000000006</v>
      </c>
      <c r="P573" s="711">
        <f t="shared" si="43"/>
        <v>2.1853893750000002</v>
      </c>
      <c r="Q573" s="712">
        <f t="shared" si="44"/>
        <v>149300.42268000002</v>
      </c>
    </row>
    <row r="574" spans="1:17" ht="15.75" customHeight="1">
      <c r="A574" s="722" t="s">
        <v>2415</v>
      </c>
      <c r="B574" s="723">
        <v>45167</v>
      </c>
      <c r="C574" s="724" t="s">
        <v>1597</v>
      </c>
      <c r="D574" s="724" t="s">
        <v>1598</v>
      </c>
      <c r="E574" s="725">
        <v>7.1</v>
      </c>
      <c r="F574" s="722" t="s">
        <v>1599</v>
      </c>
      <c r="G574" s="722" t="s">
        <v>1600</v>
      </c>
      <c r="H574" s="722" t="s">
        <v>1836</v>
      </c>
      <c r="I574" s="727">
        <v>14544</v>
      </c>
      <c r="J574" s="726" t="s">
        <v>1599</v>
      </c>
      <c r="K574" s="728">
        <v>3700</v>
      </c>
      <c r="L574" s="743">
        <f t="shared" si="46"/>
        <v>18257.8</v>
      </c>
      <c r="M574" s="741">
        <v>21957.8</v>
      </c>
      <c r="N574" s="842">
        <v>4481.8999999999996</v>
      </c>
      <c r="O574" s="710">
        <f t="shared" si="42"/>
        <v>31.821489999999994</v>
      </c>
      <c r="P574" s="711">
        <f t="shared" si="43"/>
        <v>0.9944215624999998</v>
      </c>
      <c r="Q574" s="712">
        <f t="shared" si="44"/>
        <v>65184.753599999996</v>
      </c>
    </row>
    <row r="575" spans="1:17" ht="15.75" customHeight="1">
      <c r="A575" s="731" t="s">
        <v>2416</v>
      </c>
      <c r="B575" s="732">
        <v>45169</v>
      </c>
      <c r="C575" s="733" t="s">
        <v>1597</v>
      </c>
      <c r="D575" s="733" t="s">
        <v>1598</v>
      </c>
      <c r="E575" s="734">
        <v>11.9</v>
      </c>
      <c r="F575" s="731" t="s">
        <v>1599</v>
      </c>
      <c r="G575" s="731" t="s">
        <v>1600</v>
      </c>
      <c r="H575" s="731" t="s">
        <v>1912</v>
      </c>
      <c r="I575" s="736">
        <v>4929</v>
      </c>
      <c r="J575" s="735" t="s">
        <v>1599</v>
      </c>
      <c r="K575" s="737">
        <v>3745</v>
      </c>
      <c r="L575" s="744">
        <f t="shared" si="46"/>
        <v>16206.150000000001</v>
      </c>
      <c r="M575" s="742">
        <v>19951.150000000001</v>
      </c>
      <c r="N575" s="843">
        <v>14572.03</v>
      </c>
      <c r="O575" s="710">
        <f t="shared" si="42"/>
        <v>173.40715700000001</v>
      </c>
      <c r="P575" s="711">
        <f t="shared" si="43"/>
        <v>5.4189736562500004</v>
      </c>
      <c r="Q575" s="712">
        <f t="shared" si="44"/>
        <v>71825.535870000007</v>
      </c>
    </row>
    <row r="576" spans="1:17" ht="15.75" customHeight="1">
      <c r="A576" s="722" t="s">
        <v>2417</v>
      </c>
      <c r="B576" s="723">
        <v>45169</v>
      </c>
      <c r="C576" s="724" t="s">
        <v>1597</v>
      </c>
      <c r="D576" s="724" t="s">
        <v>1598</v>
      </c>
      <c r="E576" s="725">
        <v>11.9</v>
      </c>
      <c r="F576" s="722" t="s">
        <v>1599</v>
      </c>
      <c r="G576" s="722" t="s">
        <v>1600</v>
      </c>
      <c r="H576" s="722" t="s">
        <v>1912</v>
      </c>
      <c r="I576" s="727">
        <v>4929</v>
      </c>
      <c r="J576" s="726" t="s">
        <v>1599</v>
      </c>
      <c r="K576" s="728">
        <v>3540</v>
      </c>
      <c r="L576" s="743">
        <f t="shared" si="46"/>
        <v>12093.68</v>
      </c>
      <c r="M576" s="741">
        <v>15633.68</v>
      </c>
      <c r="N576" s="842">
        <v>9764.1200000000008</v>
      </c>
      <c r="O576" s="710">
        <f t="shared" si="42"/>
        <v>116.19302800000003</v>
      </c>
      <c r="P576" s="711">
        <f t="shared" si="43"/>
        <v>3.6310321250000008</v>
      </c>
      <c r="Q576" s="712">
        <f t="shared" si="44"/>
        <v>48127.347480000004</v>
      </c>
    </row>
    <row r="577" spans="1:17" ht="15.75" customHeight="1">
      <c r="A577" s="731" t="s">
        <v>2418</v>
      </c>
      <c r="B577" s="732">
        <v>45169</v>
      </c>
      <c r="C577" s="733" t="s">
        <v>1597</v>
      </c>
      <c r="D577" s="733" t="s">
        <v>1598</v>
      </c>
      <c r="E577" s="734">
        <v>11.9</v>
      </c>
      <c r="F577" s="731" t="s">
        <v>1599</v>
      </c>
      <c r="G577" s="731" t="s">
        <v>1600</v>
      </c>
      <c r="H577" s="731" t="s">
        <v>1912</v>
      </c>
      <c r="I577" s="736">
        <v>4929</v>
      </c>
      <c r="J577" s="735" t="s">
        <v>1599</v>
      </c>
      <c r="K577" s="737">
        <v>2280</v>
      </c>
      <c r="L577" s="744">
        <f t="shared" si="46"/>
        <v>6613.2000000000007</v>
      </c>
      <c r="M577" s="742">
        <v>8893.2000000000007</v>
      </c>
      <c r="N577" s="843">
        <v>5488</v>
      </c>
      <c r="O577" s="710">
        <f t="shared" si="42"/>
        <v>65.307200000000009</v>
      </c>
      <c r="P577" s="711">
        <f t="shared" si="43"/>
        <v>2.0408500000000003</v>
      </c>
      <c r="Q577" s="712">
        <f t="shared" si="44"/>
        <v>27050.351999999999</v>
      </c>
    </row>
    <row r="578" spans="1:17" ht="15.75" customHeight="1">
      <c r="A578" s="759" t="s">
        <v>2419</v>
      </c>
      <c r="B578" s="723">
        <v>45171</v>
      </c>
      <c r="C578" s="724" t="s">
        <v>1597</v>
      </c>
      <c r="D578" s="724" t="s">
        <v>1598</v>
      </c>
      <c r="E578" s="725">
        <v>4.0999999999999996</v>
      </c>
      <c r="F578" s="724" t="s">
        <v>1599</v>
      </c>
      <c r="G578" s="724" t="s">
        <v>1600</v>
      </c>
      <c r="H578" s="722" t="s">
        <v>1850</v>
      </c>
      <c r="I578" s="727">
        <v>9687</v>
      </c>
      <c r="J578" s="753" t="s">
        <v>1599</v>
      </c>
      <c r="K578" s="728">
        <v>2200</v>
      </c>
      <c r="L578" s="743">
        <f t="shared" si="46"/>
        <v>5777</v>
      </c>
      <c r="M578" s="730">
        <v>7977</v>
      </c>
      <c r="N578" s="842">
        <v>4550</v>
      </c>
      <c r="O578" s="710">
        <f t="shared" si="42"/>
        <v>18.655000000000001</v>
      </c>
      <c r="P578" s="711">
        <f t="shared" si="43"/>
        <v>0.58296875000000004</v>
      </c>
      <c r="Q578" s="712">
        <f t="shared" si="44"/>
        <v>44075.85</v>
      </c>
    </row>
    <row r="579" spans="1:17" ht="15.75" customHeight="1">
      <c r="A579" s="760" t="s">
        <v>2420</v>
      </c>
      <c r="B579" s="732">
        <v>45171</v>
      </c>
      <c r="C579" s="733" t="s">
        <v>1597</v>
      </c>
      <c r="D579" s="733" t="s">
        <v>1598</v>
      </c>
      <c r="E579" s="734">
        <v>4.0999999999999996</v>
      </c>
      <c r="F579" s="731" t="s">
        <v>1599</v>
      </c>
      <c r="G579" s="731" t="s">
        <v>1600</v>
      </c>
      <c r="H579" s="731" t="s">
        <v>1850</v>
      </c>
      <c r="I579" s="736">
        <v>9687</v>
      </c>
      <c r="J579" s="735" t="s">
        <v>1599</v>
      </c>
      <c r="K579" s="737">
        <v>2220</v>
      </c>
      <c r="L579" s="744">
        <f t="shared" si="46"/>
        <v>5757</v>
      </c>
      <c r="M579" s="742">
        <v>7977</v>
      </c>
      <c r="N579" s="843">
        <v>4550</v>
      </c>
      <c r="O579" s="710">
        <f t="shared" si="42"/>
        <v>18.655000000000001</v>
      </c>
      <c r="P579" s="711">
        <f t="shared" si="43"/>
        <v>0.58296875000000004</v>
      </c>
      <c r="Q579" s="712">
        <f t="shared" si="44"/>
        <v>44075.85</v>
      </c>
    </row>
    <row r="580" spans="1:17" ht="15.75" customHeight="1">
      <c r="A580" s="759" t="s">
        <v>2421</v>
      </c>
      <c r="B580" s="723">
        <v>45173</v>
      </c>
      <c r="C580" s="724" t="s">
        <v>1597</v>
      </c>
      <c r="D580" s="724" t="s">
        <v>1598</v>
      </c>
      <c r="E580" s="725">
        <v>7.1</v>
      </c>
      <c r="F580" s="722" t="s">
        <v>1599</v>
      </c>
      <c r="G580" s="722" t="s">
        <v>1600</v>
      </c>
      <c r="H580" s="722" t="s">
        <v>1828</v>
      </c>
      <c r="I580" s="727">
        <v>7448</v>
      </c>
      <c r="J580" s="726" t="s">
        <v>1599</v>
      </c>
      <c r="K580" s="728">
        <v>3700</v>
      </c>
      <c r="L580" s="743">
        <f t="shared" si="46"/>
        <v>24152</v>
      </c>
      <c r="M580" s="730">
        <v>27852</v>
      </c>
      <c r="N580" s="842">
        <v>20406</v>
      </c>
      <c r="O580" s="710">
        <f t="shared" si="42"/>
        <v>144.8826</v>
      </c>
      <c r="P580" s="711">
        <f t="shared" si="43"/>
        <v>4.5275812499999999</v>
      </c>
      <c r="Q580" s="712">
        <f t="shared" si="44"/>
        <v>151983.88800000001</v>
      </c>
    </row>
    <row r="581" spans="1:17" ht="15.75" customHeight="1">
      <c r="A581" s="760" t="s">
        <v>2422</v>
      </c>
      <c r="B581" s="732">
        <v>45173</v>
      </c>
      <c r="C581" s="733" t="s">
        <v>1597</v>
      </c>
      <c r="D581" s="733" t="s">
        <v>1598</v>
      </c>
      <c r="E581" s="734">
        <v>5.3</v>
      </c>
      <c r="F581" s="731" t="s">
        <v>1599</v>
      </c>
      <c r="G581" s="731" t="s">
        <v>1600</v>
      </c>
      <c r="H581" s="731" t="s">
        <v>1807</v>
      </c>
      <c r="I581" s="736">
        <v>1734</v>
      </c>
      <c r="J581" s="735" t="s">
        <v>1599</v>
      </c>
      <c r="K581" s="737">
        <v>3650</v>
      </c>
      <c r="L581" s="744">
        <f t="shared" si="46"/>
        <v>12093</v>
      </c>
      <c r="M581" s="739">
        <v>15743</v>
      </c>
      <c r="N581" s="843">
        <v>12091</v>
      </c>
      <c r="O581" s="710">
        <f t="shared" si="42"/>
        <v>64.082299999999989</v>
      </c>
      <c r="P581" s="711">
        <f t="shared" si="43"/>
        <v>2.0025718749999997</v>
      </c>
      <c r="Q581" s="712">
        <f t="shared" si="44"/>
        <v>20965.794000000002</v>
      </c>
    </row>
    <row r="582" spans="1:17" ht="15.75" customHeight="1">
      <c r="A582" s="759" t="s">
        <v>2423</v>
      </c>
      <c r="B582" s="723">
        <v>45174</v>
      </c>
      <c r="C582" s="724" t="s">
        <v>1597</v>
      </c>
      <c r="D582" s="724" t="s">
        <v>1598</v>
      </c>
      <c r="E582" s="725">
        <v>3.6</v>
      </c>
      <c r="F582" s="722" t="s">
        <v>1599</v>
      </c>
      <c r="G582" s="722" t="s">
        <v>1600</v>
      </c>
      <c r="H582" s="722" t="s">
        <v>1965</v>
      </c>
      <c r="I582" s="727">
        <v>5092</v>
      </c>
      <c r="J582" s="726" t="s">
        <v>1599</v>
      </c>
      <c r="K582" s="728">
        <v>3700</v>
      </c>
      <c r="L582" s="743">
        <f t="shared" si="46"/>
        <v>11470.25</v>
      </c>
      <c r="M582" s="730">
        <v>15170.25</v>
      </c>
      <c r="N582" s="842">
        <v>9167.51</v>
      </c>
      <c r="O582" s="710">
        <f t="shared" ref="O582:O645" si="47">N582*E582/1000</f>
        <v>33.003036000000002</v>
      </c>
      <c r="P582" s="711">
        <f t="shared" ref="P582:P645" si="48">O582/32</f>
        <v>1.031344875</v>
      </c>
      <c r="Q582" s="712">
        <f t="shared" ref="Q582:Q645" si="49">N582*I582/1000</f>
        <v>46680.960920000005</v>
      </c>
    </row>
    <row r="583" spans="1:17" ht="15.75" customHeight="1">
      <c r="A583" s="760" t="s">
        <v>2424</v>
      </c>
      <c r="B583" s="732">
        <v>45175</v>
      </c>
      <c r="C583" s="733" t="s">
        <v>1597</v>
      </c>
      <c r="D583" s="733" t="s">
        <v>1598</v>
      </c>
      <c r="E583" s="734">
        <v>11.7</v>
      </c>
      <c r="F583" s="731" t="s">
        <v>1599</v>
      </c>
      <c r="G583" s="731" t="s">
        <v>1600</v>
      </c>
      <c r="H583" s="731" t="s">
        <v>1973</v>
      </c>
      <c r="I583" s="736">
        <v>4482</v>
      </c>
      <c r="J583" s="735" t="s">
        <v>1599</v>
      </c>
      <c r="K583" s="737">
        <v>2185</v>
      </c>
      <c r="L583" s="744">
        <f t="shared" si="46"/>
        <v>5442.5</v>
      </c>
      <c r="M583" s="739">
        <v>7627.5</v>
      </c>
      <c r="N583" s="843">
        <v>4321.54</v>
      </c>
      <c r="O583" s="710">
        <f t="shared" si="47"/>
        <v>50.562017999999995</v>
      </c>
      <c r="P583" s="711">
        <f t="shared" si="48"/>
        <v>1.5800630624999998</v>
      </c>
      <c r="Q583" s="712">
        <f t="shared" si="49"/>
        <v>19369.14228</v>
      </c>
    </row>
    <row r="584" spans="1:17" ht="15.75" customHeight="1">
      <c r="A584" s="759" t="s">
        <v>2425</v>
      </c>
      <c r="B584" s="723">
        <v>45173</v>
      </c>
      <c r="C584" s="724" t="s">
        <v>1597</v>
      </c>
      <c r="D584" s="724" t="s">
        <v>1598</v>
      </c>
      <c r="E584" s="725">
        <v>7.1</v>
      </c>
      <c r="F584" s="722" t="s">
        <v>1599</v>
      </c>
      <c r="G584" s="722" t="s">
        <v>1600</v>
      </c>
      <c r="H584" s="722" t="s">
        <v>1886</v>
      </c>
      <c r="I584" s="727">
        <v>13877</v>
      </c>
      <c r="J584" s="726" t="s">
        <v>1599</v>
      </c>
      <c r="K584" s="728">
        <v>3800</v>
      </c>
      <c r="L584" s="743">
        <f t="shared" si="46"/>
        <v>10189.799999999999</v>
      </c>
      <c r="M584" s="730">
        <v>13989.8</v>
      </c>
      <c r="N584" s="842">
        <v>7660</v>
      </c>
      <c r="O584" s="710">
        <f t="shared" si="47"/>
        <v>54.386000000000003</v>
      </c>
      <c r="P584" s="711">
        <f t="shared" si="48"/>
        <v>1.6995625000000001</v>
      </c>
      <c r="Q584" s="712">
        <f t="shared" si="49"/>
        <v>106297.82</v>
      </c>
    </row>
    <row r="585" spans="1:17" ht="15.75" customHeight="1">
      <c r="A585" s="760" t="s">
        <v>2426</v>
      </c>
      <c r="B585" s="732">
        <v>45173</v>
      </c>
      <c r="C585" s="733" t="s">
        <v>1597</v>
      </c>
      <c r="D585" s="733" t="s">
        <v>1598</v>
      </c>
      <c r="E585" s="734">
        <v>7.1</v>
      </c>
      <c r="F585" s="731" t="s">
        <v>1599</v>
      </c>
      <c r="G585" s="731" t="s">
        <v>1600</v>
      </c>
      <c r="H585" s="731" t="s">
        <v>1886</v>
      </c>
      <c r="I585" s="736">
        <v>13877</v>
      </c>
      <c r="J585" s="735" t="s">
        <v>1599</v>
      </c>
      <c r="K585" s="737">
        <v>3700</v>
      </c>
      <c r="L585" s="744">
        <f t="shared" si="46"/>
        <v>19599.5</v>
      </c>
      <c r="M585" s="739">
        <v>23299.5</v>
      </c>
      <c r="N585" s="843">
        <v>15795</v>
      </c>
      <c r="O585" s="710">
        <f t="shared" si="47"/>
        <v>112.14449999999999</v>
      </c>
      <c r="P585" s="711">
        <f t="shared" si="48"/>
        <v>3.5045156249999998</v>
      </c>
      <c r="Q585" s="712">
        <f t="shared" si="49"/>
        <v>219187.215</v>
      </c>
    </row>
    <row r="586" spans="1:17" ht="15.75" customHeight="1">
      <c r="A586" s="759" t="s">
        <v>2427</v>
      </c>
      <c r="B586" s="723">
        <v>45173</v>
      </c>
      <c r="C586" s="724" t="s">
        <v>1597</v>
      </c>
      <c r="D586" s="724" t="s">
        <v>1598</v>
      </c>
      <c r="E586" s="725">
        <v>7.1</v>
      </c>
      <c r="F586" s="722" t="s">
        <v>1599</v>
      </c>
      <c r="G586" s="722" t="s">
        <v>1600</v>
      </c>
      <c r="H586" s="722" t="s">
        <v>1886</v>
      </c>
      <c r="I586" s="727">
        <v>13877</v>
      </c>
      <c r="J586" s="726" t="s">
        <v>1599</v>
      </c>
      <c r="K586" s="728">
        <v>3810</v>
      </c>
      <c r="L586" s="743">
        <f t="shared" si="46"/>
        <v>12014</v>
      </c>
      <c r="M586" s="730">
        <v>15824</v>
      </c>
      <c r="N586" s="842">
        <v>8988</v>
      </c>
      <c r="O586" s="710">
        <f t="shared" si="47"/>
        <v>63.814799999999998</v>
      </c>
      <c r="P586" s="711">
        <f t="shared" si="48"/>
        <v>1.9942124999999999</v>
      </c>
      <c r="Q586" s="712">
        <f t="shared" si="49"/>
        <v>124726.476</v>
      </c>
    </row>
    <row r="587" spans="1:17" ht="15.75" customHeight="1">
      <c r="A587" s="760" t="s">
        <v>2428</v>
      </c>
      <c r="B587" s="732">
        <v>45175</v>
      </c>
      <c r="C587" s="733" t="s">
        <v>1597</v>
      </c>
      <c r="D587" s="733" t="s">
        <v>1598</v>
      </c>
      <c r="E587" s="734">
        <v>7.1</v>
      </c>
      <c r="F587" s="731" t="s">
        <v>1599</v>
      </c>
      <c r="G587" s="731" t="s">
        <v>1600</v>
      </c>
      <c r="H587" s="731" t="s">
        <v>1886</v>
      </c>
      <c r="I587" s="736">
        <v>13877</v>
      </c>
      <c r="J587" s="735" t="s">
        <v>1599</v>
      </c>
      <c r="K587" s="737">
        <v>3830</v>
      </c>
      <c r="L587" s="744">
        <f t="shared" si="46"/>
        <v>10189.799999999999</v>
      </c>
      <c r="M587" s="739">
        <v>14019.8</v>
      </c>
      <c r="N587" s="843">
        <v>7660</v>
      </c>
      <c r="O587" s="710">
        <f t="shared" si="47"/>
        <v>54.386000000000003</v>
      </c>
      <c r="P587" s="711">
        <f t="shared" si="48"/>
        <v>1.6995625000000001</v>
      </c>
      <c r="Q587" s="712">
        <f t="shared" si="49"/>
        <v>106297.82</v>
      </c>
    </row>
    <row r="588" spans="1:17" ht="15.75" customHeight="1">
      <c r="A588" s="759" t="s">
        <v>2429</v>
      </c>
      <c r="B588" s="723">
        <v>45176</v>
      </c>
      <c r="C588" s="724" t="s">
        <v>1597</v>
      </c>
      <c r="D588" s="724" t="s">
        <v>1598</v>
      </c>
      <c r="E588" s="725">
        <v>7.1</v>
      </c>
      <c r="F588" s="722" t="s">
        <v>1599</v>
      </c>
      <c r="G588" s="722" t="s">
        <v>1600</v>
      </c>
      <c r="H588" s="722" t="s">
        <v>1886</v>
      </c>
      <c r="I588" s="727">
        <v>13877</v>
      </c>
      <c r="J588" s="726" t="s">
        <v>1599</v>
      </c>
      <c r="K588" s="728">
        <v>3830</v>
      </c>
      <c r="L588" s="743">
        <f t="shared" si="46"/>
        <v>9774.2000000000007</v>
      </c>
      <c r="M588" s="730">
        <v>13604.2</v>
      </c>
      <c r="N588" s="842">
        <v>6917.4</v>
      </c>
      <c r="O588" s="710">
        <f t="shared" si="47"/>
        <v>49.113539999999993</v>
      </c>
      <c r="P588" s="711">
        <f t="shared" si="48"/>
        <v>1.5347981249999998</v>
      </c>
      <c r="Q588" s="712">
        <f t="shared" si="49"/>
        <v>95992.7598</v>
      </c>
    </row>
    <row r="589" spans="1:17" ht="15.75" customHeight="1">
      <c r="A589" s="760" t="s">
        <v>2430</v>
      </c>
      <c r="B589" s="732">
        <v>45175</v>
      </c>
      <c r="C589" s="733" t="s">
        <v>1597</v>
      </c>
      <c r="D589" s="733" t="s">
        <v>1598</v>
      </c>
      <c r="E589" s="734">
        <v>11.9</v>
      </c>
      <c r="F589" s="731" t="s">
        <v>1599</v>
      </c>
      <c r="G589" s="731" t="s">
        <v>1600</v>
      </c>
      <c r="H589" s="731" t="s">
        <v>1807</v>
      </c>
      <c r="I589" s="736">
        <v>1734</v>
      </c>
      <c r="J589" s="735" t="s">
        <v>1599</v>
      </c>
      <c r="K589" s="737">
        <v>3820</v>
      </c>
      <c r="L589" s="744">
        <f t="shared" si="46"/>
        <v>11697.3</v>
      </c>
      <c r="M589" s="739">
        <v>15517.3</v>
      </c>
      <c r="N589" s="843">
        <v>8899.2999999999993</v>
      </c>
      <c r="O589" s="710">
        <f t="shared" si="47"/>
        <v>105.90167</v>
      </c>
      <c r="P589" s="711">
        <f t="shared" si="48"/>
        <v>3.3094271874999999</v>
      </c>
      <c r="Q589" s="712">
        <f t="shared" si="49"/>
        <v>15431.386199999999</v>
      </c>
    </row>
    <row r="590" spans="1:17" ht="15.75" customHeight="1">
      <c r="A590" s="759" t="s">
        <v>2431</v>
      </c>
      <c r="B590" s="723">
        <v>45177</v>
      </c>
      <c r="C590" s="724" t="s">
        <v>1597</v>
      </c>
      <c r="D590" s="724" t="s">
        <v>1598</v>
      </c>
      <c r="E590" s="725">
        <v>6.3</v>
      </c>
      <c r="F590" s="722" t="s">
        <v>1599</v>
      </c>
      <c r="G590" s="722" t="s">
        <v>1600</v>
      </c>
      <c r="H590" s="722" t="s">
        <v>1850</v>
      </c>
      <c r="I590" s="727">
        <v>9687</v>
      </c>
      <c r="J590" s="726" t="s">
        <v>1599</v>
      </c>
      <c r="K590" s="728">
        <v>3630</v>
      </c>
      <c r="L590" s="743">
        <f t="shared" si="46"/>
        <v>25027</v>
      </c>
      <c r="M590" s="730">
        <v>28657</v>
      </c>
      <c r="N590" s="842">
        <v>23842</v>
      </c>
      <c r="O590" s="710">
        <f t="shared" si="47"/>
        <v>150.2046</v>
      </c>
      <c r="P590" s="711">
        <f t="shared" si="48"/>
        <v>4.69389375</v>
      </c>
      <c r="Q590" s="712">
        <f t="shared" si="49"/>
        <v>230957.454</v>
      </c>
    </row>
    <row r="591" spans="1:17" ht="15.75" customHeight="1">
      <c r="A591" s="760" t="s">
        <v>2432</v>
      </c>
      <c r="B591" s="732">
        <v>45174</v>
      </c>
      <c r="C591" s="733" t="s">
        <v>1597</v>
      </c>
      <c r="D591" s="733" t="s">
        <v>1598</v>
      </c>
      <c r="E591" s="734">
        <v>11.9</v>
      </c>
      <c r="F591" s="731" t="s">
        <v>1599</v>
      </c>
      <c r="G591" s="731" t="s">
        <v>1600</v>
      </c>
      <c r="H591" s="731" t="s">
        <v>1846</v>
      </c>
      <c r="I591" s="736">
        <v>5317</v>
      </c>
      <c r="J591" s="735" t="s">
        <v>1599</v>
      </c>
      <c r="K591" s="737">
        <v>3640</v>
      </c>
      <c r="L591" s="744">
        <f t="shared" si="46"/>
        <v>14019.36</v>
      </c>
      <c r="M591" s="739">
        <v>17659.36</v>
      </c>
      <c r="N591" s="843">
        <v>11742.08</v>
      </c>
      <c r="O591" s="710">
        <f t="shared" si="47"/>
        <v>139.730752</v>
      </c>
      <c r="P591" s="711">
        <f t="shared" si="48"/>
        <v>4.3665859999999999</v>
      </c>
      <c r="Q591" s="712">
        <f t="shared" si="49"/>
        <v>62432.639360000001</v>
      </c>
    </row>
    <row r="592" spans="1:17" ht="15.75" customHeight="1">
      <c r="A592" s="759" t="s">
        <v>2433</v>
      </c>
      <c r="B592" s="723">
        <v>45177</v>
      </c>
      <c r="C592" s="724" t="s">
        <v>1597</v>
      </c>
      <c r="D592" s="724" t="s">
        <v>1598</v>
      </c>
      <c r="E592" s="725">
        <v>6</v>
      </c>
      <c r="F592" s="722" t="s">
        <v>1599</v>
      </c>
      <c r="G592" s="722" t="s">
        <v>1600</v>
      </c>
      <c r="H592" s="722" t="s">
        <v>1846</v>
      </c>
      <c r="I592" s="727">
        <v>5317</v>
      </c>
      <c r="J592" s="726" t="s">
        <v>1599</v>
      </c>
      <c r="K592" s="728">
        <v>2200</v>
      </c>
      <c r="L592" s="743">
        <f t="shared" si="46"/>
        <v>4039.9300000000003</v>
      </c>
      <c r="M592" s="741">
        <v>6239.93</v>
      </c>
      <c r="N592" s="842">
        <v>3003.57</v>
      </c>
      <c r="O592" s="710">
        <f t="shared" si="47"/>
        <v>18.021420000000003</v>
      </c>
      <c r="P592" s="711">
        <f t="shared" si="48"/>
        <v>0.56316937500000008</v>
      </c>
      <c r="Q592" s="712">
        <f t="shared" si="49"/>
        <v>15969.981690000001</v>
      </c>
    </row>
    <row r="593" spans="1:17" ht="15.75" customHeight="1">
      <c r="A593" s="257" t="s">
        <v>2434</v>
      </c>
      <c r="B593" s="751">
        <v>45173</v>
      </c>
      <c r="C593" s="291" t="s">
        <v>1597</v>
      </c>
      <c r="D593" s="291"/>
      <c r="E593" s="755"/>
      <c r="F593" s="257"/>
      <c r="G593" s="257" t="s">
        <v>1600</v>
      </c>
      <c r="H593" s="257" t="s">
        <v>1798</v>
      </c>
      <c r="I593" s="752">
        <v>1931</v>
      </c>
      <c r="J593" s="258"/>
      <c r="K593" s="756">
        <v>3876.1</v>
      </c>
      <c r="L593" s="757">
        <v>1445</v>
      </c>
      <c r="M593" s="761">
        <v>5321.1</v>
      </c>
      <c r="N593" s="459">
        <v>3876.1</v>
      </c>
      <c r="O593" s="710">
        <f t="shared" si="47"/>
        <v>0</v>
      </c>
      <c r="P593" s="711">
        <f t="shared" si="48"/>
        <v>0</v>
      </c>
      <c r="Q593" s="712">
        <f t="shared" si="49"/>
        <v>7484.7491</v>
      </c>
    </row>
    <row r="594" spans="1:17" ht="15.75" customHeight="1">
      <c r="A594" s="759" t="s">
        <v>2435</v>
      </c>
      <c r="B594" s="723">
        <v>45184</v>
      </c>
      <c r="C594" s="724" t="s">
        <v>1597</v>
      </c>
      <c r="D594" s="724" t="s">
        <v>1598</v>
      </c>
      <c r="E594" s="725">
        <v>5.3</v>
      </c>
      <c r="F594" s="722" t="s">
        <v>1599</v>
      </c>
      <c r="G594" s="722" t="s">
        <v>1600</v>
      </c>
      <c r="H594" s="722" t="s">
        <v>1807</v>
      </c>
      <c r="I594" s="727">
        <v>1734</v>
      </c>
      <c r="J594" s="726" t="s">
        <v>1599</v>
      </c>
      <c r="K594" s="728">
        <v>3650</v>
      </c>
      <c r="L594" s="743">
        <f t="shared" ref="L594:L627" si="50">M594-K594</f>
        <v>11451.6</v>
      </c>
      <c r="M594" s="730">
        <v>15101.6</v>
      </c>
      <c r="N594" s="842">
        <v>8805.5</v>
      </c>
      <c r="O594" s="710">
        <f t="shared" si="47"/>
        <v>46.669150000000002</v>
      </c>
      <c r="P594" s="711">
        <f t="shared" si="48"/>
        <v>1.4584109375000001</v>
      </c>
      <c r="Q594" s="712">
        <f t="shared" si="49"/>
        <v>15268.736999999999</v>
      </c>
    </row>
    <row r="595" spans="1:17" ht="15.75" customHeight="1">
      <c r="A595" s="760" t="s">
        <v>2436</v>
      </c>
      <c r="B595" s="732">
        <v>45176</v>
      </c>
      <c r="C595" s="733" t="s">
        <v>1597</v>
      </c>
      <c r="D595" s="733" t="s">
        <v>1598</v>
      </c>
      <c r="E595" s="734">
        <v>11.9</v>
      </c>
      <c r="F595" s="731" t="s">
        <v>1599</v>
      </c>
      <c r="G595" s="731" t="s">
        <v>1600</v>
      </c>
      <c r="H595" s="731" t="s">
        <v>1798</v>
      </c>
      <c r="I595" s="736">
        <v>1931</v>
      </c>
      <c r="J595" s="735" t="s">
        <v>1599</v>
      </c>
      <c r="K595" s="737">
        <v>5239.8</v>
      </c>
      <c r="L595" s="744">
        <v>1007.6</v>
      </c>
      <c r="M595" s="739">
        <v>6247.4</v>
      </c>
      <c r="N595" s="843">
        <v>5239.8</v>
      </c>
      <c r="O595" s="710">
        <f t="shared" si="47"/>
        <v>62.353619999999999</v>
      </c>
      <c r="P595" s="711">
        <f t="shared" si="48"/>
        <v>1.948550625</v>
      </c>
      <c r="Q595" s="712">
        <f t="shared" si="49"/>
        <v>10118.053800000002</v>
      </c>
    </row>
    <row r="596" spans="1:17" ht="15.75" customHeight="1">
      <c r="A596" s="759" t="s">
        <v>2437</v>
      </c>
      <c r="B596" s="723">
        <v>45183</v>
      </c>
      <c r="C596" s="724" t="s">
        <v>1597</v>
      </c>
      <c r="D596" s="724" t="s">
        <v>1598</v>
      </c>
      <c r="E596" s="725">
        <v>6.2</v>
      </c>
      <c r="F596" s="722" t="s">
        <v>1599</v>
      </c>
      <c r="G596" s="722" t="s">
        <v>1600</v>
      </c>
      <c r="H596" s="722" t="s">
        <v>1815</v>
      </c>
      <c r="I596" s="727">
        <v>17387</v>
      </c>
      <c r="J596" s="726" t="s">
        <v>1599</v>
      </c>
      <c r="K596" s="728">
        <v>3700</v>
      </c>
      <c r="L596" s="743">
        <f t="shared" si="50"/>
        <v>18354.599999999999</v>
      </c>
      <c r="M596" s="741">
        <v>22054.6</v>
      </c>
      <c r="N596" s="842">
        <v>15910.16</v>
      </c>
      <c r="O596" s="710">
        <f t="shared" si="47"/>
        <v>98.642991999999992</v>
      </c>
      <c r="P596" s="711">
        <f t="shared" si="48"/>
        <v>3.0825934999999998</v>
      </c>
      <c r="Q596" s="712">
        <f t="shared" si="49"/>
        <v>276629.95192000002</v>
      </c>
    </row>
    <row r="597" spans="1:17" ht="15.75" customHeight="1">
      <c r="A597" s="760" t="s">
        <v>2438</v>
      </c>
      <c r="B597" s="732">
        <v>45183</v>
      </c>
      <c r="C597" s="733" t="s">
        <v>1597</v>
      </c>
      <c r="D597" s="733" t="s">
        <v>1598</v>
      </c>
      <c r="E597" s="734">
        <v>6.2</v>
      </c>
      <c r="F597" s="731" t="s">
        <v>1599</v>
      </c>
      <c r="G597" s="731" t="s">
        <v>1600</v>
      </c>
      <c r="H597" s="731" t="s">
        <v>1815</v>
      </c>
      <c r="I597" s="736">
        <v>17387</v>
      </c>
      <c r="J597" s="735" t="s">
        <v>1599</v>
      </c>
      <c r="K597" s="737">
        <v>3870</v>
      </c>
      <c r="L597" s="744">
        <f t="shared" si="50"/>
        <v>17585.66</v>
      </c>
      <c r="M597" s="742">
        <v>21455.66</v>
      </c>
      <c r="N597" s="843">
        <v>15099.2</v>
      </c>
      <c r="O597" s="710">
        <f t="shared" si="47"/>
        <v>93.615040000000008</v>
      </c>
      <c r="P597" s="711">
        <f t="shared" si="48"/>
        <v>2.9254700000000002</v>
      </c>
      <c r="Q597" s="712">
        <f t="shared" si="49"/>
        <v>262529.7904</v>
      </c>
    </row>
    <row r="598" spans="1:17" ht="15.75" customHeight="1">
      <c r="A598" s="759" t="s">
        <v>2439</v>
      </c>
      <c r="B598" s="723">
        <v>45183</v>
      </c>
      <c r="C598" s="724" t="s">
        <v>1597</v>
      </c>
      <c r="D598" s="724" t="s">
        <v>1598</v>
      </c>
      <c r="E598" s="725">
        <v>6.2</v>
      </c>
      <c r="F598" s="722" t="s">
        <v>1599</v>
      </c>
      <c r="G598" s="722" t="s">
        <v>1600</v>
      </c>
      <c r="H598" s="722" t="s">
        <v>1815</v>
      </c>
      <c r="I598" s="727">
        <v>17387</v>
      </c>
      <c r="J598" s="726" t="s">
        <v>1599</v>
      </c>
      <c r="K598" s="728">
        <v>3820</v>
      </c>
      <c r="L598" s="743">
        <f t="shared" si="50"/>
        <v>18276.400000000001</v>
      </c>
      <c r="M598" s="741">
        <v>22096.400000000001</v>
      </c>
      <c r="N598" s="842">
        <v>15834.67</v>
      </c>
      <c r="O598" s="710">
        <f t="shared" si="47"/>
        <v>98.174954</v>
      </c>
      <c r="P598" s="711">
        <f t="shared" si="48"/>
        <v>3.0679673125</v>
      </c>
      <c r="Q598" s="712">
        <f t="shared" si="49"/>
        <v>275317.40729</v>
      </c>
    </row>
    <row r="599" spans="1:17" ht="15.75" customHeight="1">
      <c r="A599" s="760" t="s">
        <v>2440</v>
      </c>
      <c r="B599" s="732">
        <v>45183</v>
      </c>
      <c r="C599" s="733" t="s">
        <v>1597</v>
      </c>
      <c r="D599" s="733" t="s">
        <v>1598</v>
      </c>
      <c r="E599" s="734">
        <v>6.2</v>
      </c>
      <c r="F599" s="731" t="s">
        <v>1599</v>
      </c>
      <c r="G599" s="731" t="s">
        <v>1600</v>
      </c>
      <c r="H599" s="731" t="s">
        <v>1880</v>
      </c>
      <c r="I599" s="736">
        <v>13558</v>
      </c>
      <c r="J599" s="735" t="s">
        <v>1599</v>
      </c>
      <c r="K599" s="737">
        <v>3900</v>
      </c>
      <c r="L599" s="744">
        <f t="shared" si="50"/>
        <v>14478.849999999999</v>
      </c>
      <c r="M599" s="742">
        <v>18378.849999999999</v>
      </c>
      <c r="N599" s="843">
        <v>12306.45</v>
      </c>
      <c r="O599" s="710">
        <f t="shared" si="47"/>
        <v>76.299990000000008</v>
      </c>
      <c r="P599" s="711">
        <f t="shared" si="48"/>
        <v>2.3843746875000003</v>
      </c>
      <c r="Q599" s="712">
        <f t="shared" si="49"/>
        <v>166850.84910000002</v>
      </c>
    </row>
    <row r="600" spans="1:17" ht="15.75" customHeight="1">
      <c r="A600" s="759" t="s">
        <v>2441</v>
      </c>
      <c r="B600" s="723">
        <v>45181</v>
      </c>
      <c r="C600" s="724" t="s">
        <v>1597</v>
      </c>
      <c r="D600" s="724" t="s">
        <v>1598</v>
      </c>
      <c r="E600" s="725">
        <v>7.1</v>
      </c>
      <c r="F600" s="722" t="s">
        <v>1599</v>
      </c>
      <c r="G600" s="722" t="s">
        <v>1600</v>
      </c>
      <c r="H600" s="722" t="s">
        <v>1886</v>
      </c>
      <c r="I600" s="727">
        <v>13877</v>
      </c>
      <c r="J600" s="726" t="s">
        <v>1599</v>
      </c>
      <c r="K600" s="728">
        <v>3830</v>
      </c>
      <c r="L600" s="743">
        <f t="shared" si="50"/>
        <v>151014</v>
      </c>
      <c r="M600" s="741">
        <v>154844</v>
      </c>
      <c r="N600" s="842">
        <v>8988</v>
      </c>
      <c r="O600" s="710">
        <f t="shared" si="47"/>
        <v>63.814799999999998</v>
      </c>
      <c r="P600" s="711">
        <f t="shared" si="48"/>
        <v>1.9942124999999999</v>
      </c>
      <c r="Q600" s="712">
        <f t="shared" si="49"/>
        <v>124726.476</v>
      </c>
    </row>
    <row r="601" spans="1:17" ht="15.75" customHeight="1">
      <c r="A601" s="760" t="s">
        <v>2442</v>
      </c>
      <c r="B601" s="732">
        <v>45182</v>
      </c>
      <c r="C601" s="733" t="s">
        <v>1597</v>
      </c>
      <c r="D601" s="733" t="s">
        <v>1598</v>
      </c>
      <c r="E601" s="734">
        <v>7.1</v>
      </c>
      <c r="F601" s="731" t="s">
        <v>1599</v>
      </c>
      <c r="G601" s="731" t="s">
        <v>1600</v>
      </c>
      <c r="H601" s="731" t="s">
        <v>1886</v>
      </c>
      <c r="I601" s="736">
        <v>13877</v>
      </c>
      <c r="J601" s="735" t="s">
        <v>1599</v>
      </c>
      <c r="K601" s="737">
        <v>3840</v>
      </c>
      <c r="L601" s="744">
        <f t="shared" si="50"/>
        <v>10189.799999999999</v>
      </c>
      <c r="M601" s="742">
        <v>14029.8</v>
      </c>
      <c r="N601" s="843">
        <v>7660</v>
      </c>
      <c r="O601" s="710">
        <f t="shared" si="47"/>
        <v>54.386000000000003</v>
      </c>
      <c r="P601" s="711">
        <f t="shared" si="48"/>
        <v>1.6995625000000001</v>
      </c>
      <c r="Q601" s="712">
        <f t="shared" si="49"/>
        <v>106297.82</v>
      </c>
    </row>
    <row r="602" spans="1:17" ht="15.75" customHeight="1">
      <c r="A602" s="759" t="s">
        <v>2443</v>
      </c>
      <c r="B602" s="723">
        <v>45182</v>
      </c>
      <c r="C602" s="724" t="s">
        <v>1597</v>
      </c>
      <c r="D602" s="724" t="s">
        <v>1598</v>
      </c>
      <c r="E602" s="725">
        <v>7.1</v>
      </c>
      <c r="F602" s="722" t="s">
        <v>1599</v>
      </c>
      <c r="G602" s="722" t="s">
        <v>1600</v>
      </c>
      <c r="H602" s="722" t="s">
        <v>1886</v>
      </c>
      <c r="I602" s="727">
        <v>13877</v>
      </c>
      <c r="J602" s="726" t="s">
        <v>1599</v>
      </c>
      <c r="K602" s="728">
        <v>3830</v>
      </c>
      <c r="L602" s="743">
        <f t="shared" si="50"/>
        <v>12014</v>
      </c>
      <c r="M602" s="741">
        <v>15844</v>
      </c>
      <c r="N602" s="842">
        <v>8988</v>
      </c>
      <c r="O602" s="710">
        <f t="shared" si="47"/>
        <v>63.814799999999998</v>
      </c>
      <c r="P602" s="711">
        <f t="shared" si="48"/>
        <v>1.9942124999999999</v>
      </c>
      <c r="Q602" s="712">
        <f t="shared" si="49"/>
        <v>124726.476</v>
      </c>
    </row>
    <row r="603" spans="1:17" ht="15.75" customHeight="1">
      <c r="A603" s="762" t="s">
        <v>2444</v>
      </c>
      <c r="B603" s="763">
        <v>45183</v>
      </c>
      <c r="C603" s="764" t="s">
        <v>1597</v>
      </c>
      <c r="D603" s="764" t="s">
        <v>1598</v>
      </c>
      <c r="E603" s="765">
        <v>7.1</v>
      </c>
      <c r="F603" s="762"/>
      <c r="G603" s="762" t="s">
        <v>1600</v>
      </c>
      <c r="H603" s="762" t="s">
        <v>1822</v>
      </c>
      <c r="I603" s="766">
        <v>13787</v>
      </c>
      <c r="J603" s="767"/>
      <c r="K603" s="768">
        <v>14556</v>
      </c>
      <c r="L603" s="769">
        <v>3176</v>
      </c>
      <c r="M603" s="770">
        <v>17732</v>
      </c>
      <c r="N603" s="893">
        <v>14556</v>
      </c>
      <c r="O603" s="710">
        <f t="shared" si="47"/>
        <v>103.34759999999999</v>
      </c>
      <c r="P603" s="711">
        <f t="shared" si="48"/>
        <v>3.2296124999999996</v>
      </c>
      <c r="Q603" s="712">
        <f t="shared" si="49"/>
        <v>200683.57199999999</v>
      </c>
    </row>
    <row r="604" spans="1:17" ht="15.75" customHeight="1">
      <c r="A604" s="759" t="s">
        <v>2445</v>
      </c>
      <c r="B604" s="723">
        <v>45189</v>
      </c>
      <c r="C604" s="724" t="s">
        <v>1597</v>
      </c>
      <c r="D604" s="724" t="s">
        <v>1598</v>
      </c>
      <c r="E604" s="725">
        <v>11.9</v>
      </c>
      <c r="F604" s="722" t="s">
        <v>1599</v>
      </c>
      <c r="G604" s="722" t="s">
        <v>1600</v>
      </c>
      <c r="H604" s="722" t="s">
        <v>1831</v>
      </c>
      <c r="I604" s="727">
        <v>7283</v>
      </c>
      <c r="J604" s="726" t="s">
        <v>1599</v>
      </c>
      <c r="K604" s="728">
        <v>3640</v>
      </c>
      <c r="L604" s="743">
        <f t="shared" si="50"/>
        <v>24029.5</v>
      </c>
      <c r="M604" s="730">
        <v>27669.5</v>
      </c>
      <c r="N604" s="842">
        <v>19566.2</v>
      </c>
      <c r="O604" s="710">
        <f t="shared" si="47"/>
        <v>232.83778000000004</v>
      </c>
      <c r="P604" s="711">
        <f t="shared" si="48"/>
        <v>7.2761806250000012</v>
      </c>
      <c r="Q604" s="712">
        <f t="shared" si="49"/>
        <v>142500.63459999999</v>
      </c>
    </row>
    <row r="605" spans="1:17" ht="15.75" customHeight="1">
      <c r="A605" s="760" t="s">
        <v>2446</v>
      </c>
      <c r="B605" s="732">
        <v>45189</v>
      </c>
      <c r="C605" s="733" t="s">
        <v>1597</v>
      </c>
      <c r="D605" s="733" t="s">
        <v>1598</v>
      </c>
      <c r="E605" s="734">
        <v>11.9</v>
      </c>
      <c r="F605" s="731" t="s">
        <v>1599</v>
      </c>
      <c r="G605" s="731" t="s">
        <v>1600</v>
      </c>
      <c r="H605" s="731" t="s">
        <v>1828</v>
      </c>
      <c r="I605" s="736">
        <v>7448</v>
      </c>
      <c r="J605" s="735" t="s">
        <v>1599</v>
      </c>
      <c r="K605" s="737">
        <v>3890</v>
      </c>
      <c r="L605" s="744">
        <f t="shared" si="50"/>
        <v>21477</v>
      </c>
      <c r="M605" s="742">
        <v>25367</v>
      </c>
      <c r="N605" s="843">
        <v>17318</v>
      </c>
      <c r="O605" s="710">
        <f t="shared" si="47"/>
        <v>206.08420000000001</v>
      </c>
      <c r="P605" s="711">
        <f t="shared" si="48"/>
        <v>6.4401312500000003</v>
      </c>
      <c r="Q605" s="712">
        <f t="shared" si="49"/>
        <v>128984.46400000001</v>
      </c>
    </row>
    <row r="606" spans="1:17" ht="15.75" customHeight="1">
      <c r="A606" s="759" t="s">
        <v>2447</v>
      </c>
      <c r="B606" s="723">
        <v>45189</v>
      </c>
      <c r="C606" s="724" t="s">
        <v>1597</v>
      </c>
      <c r="D606" s="724" t="s">
        <v>1598</v>
      </c>
      <c r="E606" s="725">
        <v>11.9</v>
      </c>
      <c r="F606" s="722" t="s">
        <v>1599</v>
      </c>
      <c r="G606" s="722" t="s">
        <v>1600</v>
      </c>
      <c r="H606" s="722" t="s">
        <v>1828</v>
      </c>
      <c r="I606" s="727">
        <v>7448</v>
      </c>
      <c r="J606" s="726" t="s">
        <v>1599</v>
      </c>
      <c r="K606" s="728">
        <v>3890</v>
      </c>
      <c r="L606" s="743">
        <f t="shared" si="50"/>
        <v>23982</v>
      </c>
      <c r="M606" s="728">
        <v>27872</v>
      </c>
      <c r="N606" s="842">
        <v>18607.5</v>
      </c>
      <c r="O606" s="710">
        <f t="shared" si="47"/>
        <v>221.42925</v>
      </c>
      <c r="P606" s="711">
        <f t="shared" si="48"/>
        <v>6.9196640624999999</v>
      </c>
      <c r="Q606" s="712">
        <f t="shared" si="49"/>
        <v>138588.66</v>
      </c>
    </row>
    <row r="607" spans="1:17" ht="15.75" customHeight="1">
      <c r="A607" s="760" t="s">
        <v>2448</v>
      </c>
      <c r="B607" s="732">
        <v>45191</v>
      </c>
      <c r="C607" s="733" t="s">
        <v>1597</v>
      </c>
      <c r="D607" s="733" t="s">
        <v>1598</v>
      </c>
      <c r="E607" s="734">
        <v>11.9</v>
      </c>
      <c r="F607" s="731" t="s">
        <v>1599</v>
      </c>
      <c r="G607" s="731" t="s">
        <v>1600</v>
      </c>
      <c r="H607" s="731" t="s">
        <v>1828</v>
      </c>
      <c r="I607" s="736">
        <v>7448</v>
      </c>
      <c r="J607" s="735" t="s">
        <v>1599</v>
      </c>
      <c r="K607" s="737">
        <v>3640</v>
      </c>
      <c r="L607" s="744">
        <f t="shared" si="50"/>
        <v>34002</v>
      </c>
      <c r="M607" s="742">
        <v>37642</v>
      </c>
      <c r="N607" s="843">
        <v>21280</v>
      </c>
      <c r="O607" s="710">
        <f t="shared" si="47"/>
        <v>253.232</v>
      </c>
      <c r="P607" s="711">
        <f t="shared" si="48"/>
        <v>7.9135</v>
      </c>
      <c r="Q607" s="712">
        <f t="shared" si="49"/>
        <v>158493.44</v>
      </c>
    </row>
    <row r="608" spans="1:17" ht="15.75" customHeight="1">
      <c r="A608" s="759" t="s">
        <v>2449</v>
      </c>
      <c r="B608" s="723">
        <v>45189</v>
      </c>
      <c r="C608" s="724" t="s">
        <v>1597</v>
      </c>
      <c r="D608" s="724" t="s">
        <v>1598</v>
      </c>
      <c r="E608" s="725">
        <v>11.9</v>
      </c>
      <c r="F608" s="722" t="s">
        <v>1599</v>
      </c>
      <c r="G608" s="722" t="s">
        <v>1600</v>
      </c>
      <c r="H608" s="722" t="s">
        <v>1828</v>
      </c>
      <c r="I608" s="727">
        <v>7448</v>
      </c>
      <c r="J608" s="726" t="s">
        <v>1599</v>
      </c>
      <c r="K608" s="728">
        <v>3780</v>
      </c>
      <c r="L608" s="743">
        <f t="shared" si="50"/>
        <v>23952</v>
      </c>
      <c r="M608" s="728">
        <v>27732</v>
      </c>
      <c r="N608" s="842">
        <v>18378</v>
      </c>
      <c r="O608" s="710">
        <f t="shared" si="47"/>
        <v>218.69820000000001</v>
      </c>
      <c r="P608" s="711">
        <f t="shared" si="48"/>
        <v>6.8343187500000004</v>
      </c>
      <c r="Q608" s="712">
        <f t="shared" si="49"/>
        <v>136879.34400000001</v>
      </c>
    </row>
    <row r="609" spans="1:17" ht="15.75" customHeight="1">
      <c r="A609" s="760" t="s">
        <v>2450</v>
      </c>
      <c r="B609" s="732">
        <v>45184</v>
      </c>
      <c r="C609" s="733" t="s">
        <v>1597</v>
      </c>
      <c r="D609" s="733" t="s">
        <v>1598</v>
      </c>
      <c r="E609" s="734">
        <v>4.0999999999999996</v>
      </c>
      <c r="F609" s="731" t="s">
        <v>1599</v>
      </c>
      <c r="G609" s="731" t="s">
        <v>1600</v>
      </c>
      <c r="H609" s="731" t="s">
        <v>1822</v>
      </c>
      <c r="I609" s="736">
        <v>13787</v>
      </c>
      <c r="J609" s="735" t="s">
        <v>1599</v>
      </c>
      <c r="K609" s="737">
        <v>7815.5</v>
      </c>
      <c r="L609" s="744">
        <f t="shared" si="50"/>
        <v>3731</v>
      </c>
      <c r="M609" s="739">
        <v>11546.5</v>
      </c>
      <c r="N609" s="843">
        <v>7815.5</v>
      </c>
      <c r="O609" s="710">
        <f t="shared" si="47"/>
        <v>32.043549999999996</v>
      </c>
      <c r="P609" s="711">
        <f t="shared" si="48"/>
        <v>1.0013609374999999</v>
      </c>
      <c r="Q609" s="712">
        <f t="shared" si="49"/>
        <v>107752.2985</v>
      </c>
    </row>
    <row r="610" spans="1:17" ht="15.75" customHeight="1">
      <c r="A610" s="759" t="s">
        <v>2451</v>
      </c>
      <c r="B610" s="723">
        <v>45184</v>
      </c>
      <c r="C610" s="724" t="s">
        <v>1597</v>
      </c>
      <c r="D610" s="724" t="s">
        <v>1598</v>
      </c>
      <c r="E610" s="725">
        <v>7.1</v>
      </c>
      <c r="F610" s="722" t="s">
        <v>1599</v>
      </c>
      <c r="G610" s="722" t="s">
        <v>1600</v>
      </c>
      <c r="H610" s="722" t="s">
        <v>1836</v>
      </c>
      <c r="I610" s="727">
        <v>14544</v>
      </c>
      <c r="J610" s="726" t="s">
        <v>1599</v>
      </c>
      <c r="K610" s="728">
        <v>3840</v>
      </c>
      <c r="L610" s="743">
        <f t="shared" si="50"/>
        <v>19071.599999999999</v>
      </c>
      <c r="M610" s="730">
        <v>22911.599999999999</v>
      </c>
      <c r="N610" s="842">
        <v>15602.4</v>
      </c>
      <c r="O610" s="710">
        <f t="shared" si="47"/>
        <v>110.77704</v>
      </c>
      <c r="P610" s="711">
        <f t="shared" si="48"/>
        <v>3.4617825</v>
      </c>
      <c r="Q610" s="712">
        <f t="shared" si="49"/>
        <v>226921.30559999999</v>
      </c>
    </row>
    <row r="611" spans="1:17" ht="15.75" customHeight="1">
      <c r="A611" s="760" t="s">
        <v>2452</v>
      </c>
      <c r="B611" s="732">
        <v>45196</v>
      </c>
      <c r="C611" s="733" t="s">
        <v>1597</v>
      </c>
      <c r="D611" s="733" t="s">
        <v>1598</v>
      </c>
      <c r="E611" s="734">
        <v>6.5</v>
      </c>
      <c r="F611" s="731" t="s">
        <v>1599</v>
      </c>
      <c r="G611" s="731" t="s">
        <v>1600</v>
      </c>
      <c r="H611" s="731" t="s">
        <v>2089</v>
      </c>
      <c r="I611" s="736">
        <v>8687</v>
      </c>
      <c r="J611" s="735" t="s">
        <v>1599</v>
      </c>
      <c r="K611" s="737">
        <v>3660</v>
      </c>
      <c r="L611" s="744">
        <f t="shared" si="50"/>
        <v>13717.900000000001</v>
      </c>
      <c r="M611" s="742">
        <v>17377.900000000001</v>
      </c>
      <c r="N611" s="843">
        <v>11188.4</v>
      </c>
      <c r="O611" s="710">
        <f t="shared" si="47"/>
        <v>72.724599999999995</v>
      </c>
      <c r="P611" s="711">
        <f t="shared" si="48"/>
        <v>2.2726437499999999</v>
      </c>
      <c r="Q611" s="712">
        <f t="shared" si="49"/>
        <v>97193.630799999999</v>
      </c>
    </row>
    <row r="612" spans="1:17" ht="15.75" customHeight="1">
      <c r="A612" s="759" t="s">
        <v>2453</v>
      </c>
      <c r="B612" s="723">
        <v>45197</v>
      </c>
      <c r="C612" s="724" t="s">
        <v>1597</v>
      </c>
      <c r="D612" s="724" t="s">
        <v>1598</v>
      </c>
      <c r="E612" s="725">
        <v>6.5</v>
      </c>
      <c r="F612" s="722" t="s">
        <v>1599</v>
      </c>
      <c r="G612" s="722" t="s">
        <v>1600</v>
      </c>
      <c r="H612" s="722" t="s">
        <v>1801</v>
      </c>
      <c r="I612" s="727">
        <v>9292</v>
      </c>
      <c r="J612" s="726" t="s">
        <v>1599</v>
      </c>
      <c r="K612" s="728">
        <v>2080</v>
      </c>
      <c r="L612" s="743">
        <f t="shared" si="50"/>
        <v>14805</v>
      </c>
      <c r="M612" s="741">
        <v>16885</v>
      </c>
      <c r="N612" s="842">
        <v>14226.6</v>
      </c>
      <c r="O612" s="710">
        <f t="shared" si="47"/>
        <v>92.47290000000001</v>
      </c>
      <c r="P612" s="711">
        <f t="shared" si="48"/>
        <v>2.8897781250000003</v>
      </c>
      <c r="Q612" s="712">
        <f t="shared" si="49"/>
        <v>132193.56719999999</v>
      </c>
    </row>
    <row r="613" spans="1:17" ht="15.75" customHeight="1">
      <c r="A613" s="760" t="s">
        <v>2454</v>
      </c>
      <c r="B613" s="732">
        <v>45197</v>
      </c>
      <c r="C613" s="733" t="s">
        <v>1597</v>
      </c>
      <c r="D613" s="733" t="s">
        <v>1598</v>
      </c>
      <c r="E613" s="734">
        <v>6.5</v>
      </c>
      <c r="F613" s="731" t="s">
        <v>1599</v>
      </c>
      <c r="G613" s="731" t="s">
        <v>1600</v>
      </c>
      <c r="H613" s="731" t="s">
        <v>1850</v>
      </c>
      <c r="I613" s="736">
        <v>9687</v>
      </c>
      <c r="J613" s="735" t="s">
        <v>1599</v>
      </c>
      <c r="K613" s="737">
        <v>2190</v>
      </c>
      <c r="L613" s="744">
        <f t="shared" si="50"/>
        <v>4152</v>
      </c>
      <c r="M613" s="742">
        <v>6342</v>
      </c>
      <c r="N613" s="843">
        <v>3280</v>
      </c>
      <c r="O613" s="710">
        <f t="shared" si="47"/>
        <v>21.32</v>
      </c>
      <c r="P613" s="711">
        <f t="shared" si="48"/>
        <v>0.66625000000000001</v>
      </c>
      <c r="Q613" s="712">
        <f t="shared" si="49"/>
        <v>31773.360000000001</v>
      </c>
    </row>
    <row r="614" spans="1:17" ht="15.75" customHeight="1">
      <c r="A614" s="759" t="s">
        <v>2455</v>
      </c>
      <c r="B614" s="723">
        <v>45189</v>
      </c>
      <c r="C614" s="724" t="s">
        <v>1597</v>
      </c>
      <c r="D614" s="724" t="s">
        <v>1598</v>
      </c>
      <c r="E614" s="725">
        <v>6.2</v>
      </c>
      <c r="F614" s="722" t="s">
        <v>1599</v>
      </c>
      <c r="G614" s="722" t="s">
        <v>1600</v>
      </c>
      <c r="H614" s="722" t="s">
        <v>1815</v>
      </c>
      <c r="I614" s="727">
        <v>17387</v>
      </c>
      <c r="J614" s="726" t="s">
        <v>1599</v>
      </c>
      <c r="K614" s="728">
        <v>3700</v>
      </c>
      <c r="L614" s="743">
        <f t="shared" si="50"/>
        <v>18130.400000000001</v>
      </c>
      <c r="M614" s="728">
        <v>21830.400000000001</v>
      </c>
      <c r="N614" s="842">
        <v>15851.52</v>
      </c>
      <c r="O614" s="710">
        <f t="shared" si="47"/>
        <v>98.279424000000006</v>
      </c>
      <c r="P614" s="711">
        <f t="shared" si="48"/>
        <v>3.0712320000000002</v>
      </c>
      <c r="Q614" s="712">
        <f t="shared" si="49"/>
        <v>275610.37823999999</v>
      </c>
    </row>
    <row r="615" spans="1:17" ht="15.75" customHeight="1">
      <c r="A615" s="760" t="s">
        <v>2456</v>
      </c>
      <c r="B615" s="732">
        <v>45187</v>
      </c>
      <c r="C615" s="733" t="s">
        <v>1597</v>
      </c>
      <c r="D615" s="733" t="s">
        <v>1598</v>
      </c>
      <c r="E615" s="734">
        <v>7.1</v>
      </c>
      <c r="F615" s="731" t="s">
        <v>1599</v>
      </c>
      <c r="G615" s="731" t="s">
        <v>1600</v>
      </c>
      <c r="H615" s="731" t="s">
        <v>1880</v>
      </c>
      <c r="I615" s="736">
        <v>13558</v>
      </c>
      <c r="J615" s="735" t="s">
        <v>1599</v>
      </c>
      <c r="K615" s="737">
        <v>3780</v>
      </c>
      <c r="L615" s="744">
        <f t="shared" si="50"/>
        <v>14875.2</v>
      </c>
      <c r="M615" s="739">
        <v>18655.2</v>
      </c>
      <c r="N615" s="843">
        <v>12262.6</v>
      </c>
      <c r="O615" s="710">
        <f t="shared" si="47"/>
        <v>87.064459999999997</v>
      </c>
      <c r="P615" s="711">
        <f t="shared" si="48"/>
        <v>2.7207643749999999</v>
      </c>
      <c r="Q615" s="712">
        <f t="shared" si="49"/>
        <v>166256.33080000003</v>
      </c>
    </row>
    <row r="616" spans="1:17" ht="15.75" customHeight="1">
      <c r="A616" s="759" t="s">
        <v>2457</v>
      </c>
      <c r="B616" s="723">
        <v>45190</v>
      </c>
      <c r="C616" s="724" t="s">
        <v>1597</v>
      </c>
      <c r="D616" s="724" t="s">
        <v>1598</v>
      </c>
      <c r="E616" s="725">
        <v>6.5</v>
      </c>
      <c r="F616" s="722" t="s">
        <v>1599</v>
      </c>
      <c r="G616" s="722" t="s">
        <v>1600</v>
      </c>
      <c r="H616" s="722" t="s">
        <v>1884</v>
      </c>
      <c r="I616" s="727">
        <v>13413</v>
      </c>
      <c r="J616" s="726" t="s">
        <v>1599</v>
      </c>
      <c r="K616" s="728">
        <v>3820</v>
      </c>
      <c r="L616" s="743">
        <f t="shared" si="50"/>
        <v>14102</v>
      </c>
      <c r="M616" s="741">
        <v>17922</v>
      </c>
      <c r="N616" s="842">
        <v>11242</v>
      </c>
      <c r="O616" s="710">
        <f t="shared" si="47"/>
        <v>73.072999999999993</v>
      </c>
      <c r="P616" s="711">
        <f t="shared" si="48"/>
        <v>2.2835312499999998</v>
      </c>
      <c r="Q616" s="712">
        <f t="shared" si="49"/>
        <v>150788.946</v>
      </c>
    </row>
    <row r="617" spans="1:17" ht="15.75" customHeight="1">
      <c r="A617" s="760" t="s">
        <v>2458</v>
      </c>
      <c r="B617" s="732">
        <v>45190</v>
      </c>
      <c r="C617" s="733" t="s">
        <v>1597</v>
      </c>
      <c r="D617" s="733" t="s">
        <v>1598</v>
      </c>
      <c r="E617" s="734">
        <v>6</v>
      </c>
      <c r="F617" s="731" t="s">
        <v>1599</v>
      </c>
      <c r="G617" s="731" t="s">
        <v>1600</v>
      </c>
      <c r="H617" s="731" t="s">
        <v>1818</v>
      </c>
      <c r="I617" s="736">
        <v>14000</v>
      </c>
      <c r="J617" s="735" t="s">
        <v>1599</v>
      </c>
      <c r="K617" s="737">
        <v>3900</v>
      </c>
      <c r="L617" s="744">
        <f t="shared" si="50"/>
        <v>16635.46</v>
      </c>
      <c r="M617" s="742">
        <v>20535.46</v>
      </c>
      <c r="N617" s="843">
        <v>14384.18</v>
      </c>
      <c r="O617" s="710">
        <f t="shared" si="47"/>
        <v>86.305080000000004</v>
      </c>
      <c r="P617" s="711">
        <f t="shared" si="48"/>
        <v>2.6970337500000001</v>
      </c>
      <c r="Q617" s="712">
        <f t="shared" si="49"/>
        <v>201378.52</v>
      </c>
    </row>
    <row r="618" spans="1:17" ht="15.75" customHeight="1">
      <c r="A618" s="759" t="s">
        <v>2459</v>
      </c>
      <c r="B618" s="723">
        <v>45190</v>
      </c>
      <c r="C618" s="724" t="s">
        <v>1597</v>
      </c>
      <c r="D618" s="724" t="s">
        <v>1598</v>
      </c>
      <c r="E618" s="725">
        <v>6</v>
      </c>
      <c r="F618" s="722" t="s">
        <v>1599</v>
      </c>
      <c r="G618" s="722" t="s">
        <v>1600</v>
      </c>
      <c r="H618" s="722" t="s">
        <v>1818</v>
      </c>
      <c r="I618" s="727">
        <v>14000</v>
      </c>
      <c r="J618" s="726" t="s">
        <v>1599</v>
      </c>
      <c r="K618" s="728">
        <v>3830</v>
      </c>
      <c r="L618" s="743">
        <f t="shared" si="50"/>
        <v>17825.22</v>
      </c>
      <c r="M618" s="741">
        <v>21655.22</v>
      </c>
      <c r="N618" s="842">
        <v>15572.34</v>
      </c>
      <c r="O618" s="710">
        <f t="shared" si="47"/>
        <v>93.43404000000001</v>
      </c>
      <c r="P618" s="711">
        <f t="shared" si="48"/>
        <v>2.9198137500000003</v>
      </c>
      <c r="Q618" s="712">
        <f t="shared" si="49"/>
        <v>218012.76</v>
      </c>
    </row>
    <row r="619" spans="1:17" ht="15.75" customHeight="1">
      <c r="A619" s="760" t="s">
        <v>2460</v>
      </c>
      <c r="B619" s="732">
        <v>45190</v>
      </c>
      <c r="C619" s="733" t="s">
        <v>1597</v>
      </c>
      <c r="D619" s="733" t="s">
        <v>1598</v>
      </c>
      <c r="E619" s="734">
        <v>6</v>
      </c>
      <c r="F619" s="731" t="s">
        <v>1599</v>
      </c>
      <c r="G619" s="731" t="s">
        <v>1600</v>
      </c>
      <c r="H619" s="731" t="s">
        <v>1818</v>
      </c>
      <c r="I619" s="736">
        <v>14000</v>
      </c>
      <c r="J619" s="735" t="s">
        <v>1599</v>
      </c>
      <c r="K619" s="737">
        <v>3820</v>
      </c>
      <c r="L619" s="744">
        <f t="shared" si="50"/>
        <v>18289.38</v>
      </c>
      <c r="M619" s="742">
        <v>22109.38</v>
      </c>
      <c r="N619" s="843">
        <v>16058.02</v>
      </c>
      <c r="O619" s="710">
        <f t="shared" si="47"/>
        <v>96.348119999999994</v>
      </c>
      <c r="P619" s="711">
        <f t="shared" si="48"/>
        <v>3.0108787499999998</v>
      </c>
      <c r="Q619" s="712">
        <f t="shared" si="49"/>
        <v>224812.28</v>
      </c>
    </row>
    <row r="620" spans="1:17" ht="15.75" customHeight="1">
      <c r="A620" s="759" t="s">
        <v>2461</v>
      </c>
      <c r="B620" s="723">
        <v>45194</v>
      </c>
      <c r="C620" s="724" t="s">
        <v>1597</v>
      </c>
      <c r="D620" s="724" t="s">
        <v>1598</v>
      </c>
      <c r="E620" s="725">
        <v>11.9</v>
      </c>
      <c r="F620" s="722" t="s">
        <v>1599</v>
      </c>
      <c r="G620" s="722" t="s">
        <v>1600</v>
      </c>
      <c r="H620" s="722" t="s">
        <v>1866</v>
      </c>
      <c r="I620" s="727">
        <v>2597</v>
      </c>
      <c r="J620" s="726" t="s">
        <v>1599</v>
      </c>
      <c r="K620" s="728">
        <v>2100</v>
      </c>
      <c r="L620" s="743">
        <f t="shared" si="50"/>
        <v>6171</v>
      </c>
      <c r="M620" s="741">
        <v>8271</v>
      </c>
      <c r="N620" s="842">
        <v>5029</v>
      </c>
      <c r="O620" s="710">
        <f t="shared" si="47"/>
        <v>59.845099999999995</v>
      </c>
      <c r="P620" s="711">
        <f t="shared" si="48"/>
        <v>1.8701593749999998</v>
      </c>
      <c r="Q620" s="712">
        <f t="shared" si="49"/>
        <v>13060.313</v>
      </c>
    </row>
    <row r="621" spans="1:17" ht="15.75" customHeight="1">
      <c r="A621" s="760" t="s">
        <v>2462</v>
      </c>
      <c r="B621" s="732">
        <v>45188</v>
      </c>
      <c r="C621" s="733" t="s">
        <v>1597</v>
      </c>
      <c r="D621" s="733" t="s">
        <v>1598</v>
      </c>
      <c r="E621" s="734">
        <v>7.1</v>
      </c>
      <c r="F621" s="731" t="s">
        <v>1599</v>
      </c>
      <c r="G621" s="731" t="s">
        <v>1600</v>
      </c>
      <c r="H621" s="731" t="s">
        <v>1886</v>
      </c>
      <c r="I621" s="736">
        <v>13877</v>
      </c>
      <c r="J621" s="735" t="s">
        <v>1599</v>
      </c>
      <c r="K621" s="737">
        <v>3840</v>
      </c>
      <c r="L621" s="744">
        <f t="shared" si="50"/>
        <v>19599.5</v>
      </c>
      <c r="M621" s="739">
        <v>23439.5</v>
      </c>
      <c r="N621" s="843">
        <v>15795</v>
      </c>
      <c r="O621" s="710">
        <f t="shared" si="47"/>
        <v>112.14449999999999</v>
      </c>
      <c r="P621" s="711">
        <f t="shared" si="48"/>
        <v>3.5045156249999998</v>
      </c>
      <c r="Q621" s="712">
        <f t="shared" si="49"/>
        <v>219187.215</v>
      </c>
    </row>
    <row r="622" spans="1:17" ht="15.75" customHeight="1">
      <c r="A622" s="759" t="s">
        <v>2463</v>
      </c>
      <c r="B622" s="723">
        <v>45188</v>
      </c>
      <c r="C622" s="724" t="s">
        <v>1597</v>
      </c>
      <c r="D622" s="724" t="s">
        <v>1598</v>
      </c>
      <c r="E622" s="725">
        <v>7.1</v>
      </c>
      <c r="F622" s="722" t="s">
        <v>1599</v>
      </c>
      <c r="G622" s="722" t="s">
        <v>1600</v>
      </c>
      <c r="H622" s="722" t="s">
        <v>1886</v>
      </c>
      <c r="I622" s="727">
        <v>13877</v>
      </c>
      <c r="J622" s="726" t="s">
        <v>1599</v>
      </c>
      <c r="K622" s="728">
        <v>3830</v>
      </c>
      <c r="L622" s="743">
        <f t="shared" si="50"/>
        <v>9774.2000000000007</v>
      </c>
      <c r="M622" s="728">
        <v>13604.2</v>
      </c>
      <c r="N622" s="842">
        <v>6917.4</v>
      </c>
      <c r="O622" s="710">
        <f t="shared" si="47"/>
        <v>49.113539999999993</v>
      </c>
      <c r="P622" s="711">
        <f t="shared" si="48"/>
        <v>1.5347981249999998</v>
      </c>
      <c r="Q622" s="712">
        <f t="shared" si="49"/>
        <v>95992.7598</v>
      </c>
    </row>
    <row r="623" spans="1:17" ht="15.75" customHeight="1">
      <c r="A623" s="760" t="s">
        <v>2464</v>
      </c>
      <c r="B623" s="732">
        <v>45188</v>
      </c>
      <c r="C623" s="733" t="s">
        <v>1597</v>
      </c>
      <c r="D623" s="733" t="s">
        <v>1598</v>
      </c>
      <c r="E623" s="734">
        <v>7.1</v>
      </c>
      <c r="F623" s="731" t="s">
        <v>1599</v>
      </c>
      <c r="G623" s="731" t="s">
        <v>1600</v>
      </c>
      <c r="H623" s="731" t="s">
        <v>1886</v>
      </c>
      <c r="I623" s="736">
        <v>13877</v>
      </c>
      <c r="J623" s="735" t="s">
        <v>1599</v>
      </c>
      <c r="K623" s="737">
        <v>3700</v>
      </c>
      <c r="L623" s="744">
        <f t="shared" si="50"/>
        <v>12014</v>
      </c>
      <c r="M623" s="742">
        <v>15714</v>
      </c>
      <c r="N623" s="843">
        <v>8988</v>
      </c>
      <c r="O623" s="710">
        <f t="shared" si="47"/>
        <v>63.814799999999998</v>
      </c>
      <c r="P623" s="711">
        <f t="shared" si="48"/>
        <v>1.9942124999999999</v>
      </c>
      <c r="Q623" s="712">
        <f t="shared" si="49"/>
        <v>124726.476</v>
      </c>
    </row>
    <row r="624" spans="1:17" ht="15.75" customHeight="1">
      <c r="A624" s="759" t="s">
        <v>2465</v>
      </c>
      <c r="B624" s="723">
        <v>45191</v>
      </c>
      <c r="C624" s="724" t="s">
        <v>1597</v>
      </c>
      <c r="D624" s="724" t="s">
        <v>1598</v>
      </c>
      <c r="E624" s="725">
        <v>7.1</v>
      </c>
      <c r="F624" s="722" t="s">
        <v>1599</v>
      </c>
      <c r="G624" s="722" t="s">
        <v>1600</v>
      </c>
      <c r="H624" s="722" t="s">
        <v>1886</v>
      </c>
      <c r="I624" s="727">
        <v>13877</v>
      </c>
      <c r="J624" s="726" t="s">
        <v>1599</v>
      </c>
      <c r="K624" s="728">
        <v>3830</v>
      </c>
      <c r="L624" s="743">
        <f t="shared" si="50"/>
        <v>12014</v>
      </c>
      <c r="M624" s="741">
        <v>15844</v>
      </c>
      <c r="N624" s="842">
        <v>8988</v>
      </c>
      <c r="O624" s="710">
        <f t="shared" si="47"/>
        <v>63.814799999999998</v>
      </c>
      <c r="P624" s="711">
        <f t="shared" si="48"/>
        <v>1.9942124999999999</v>
      </c>
      <c r="Q624" s="712">
        <f t="shared" si="49"/>
        <v>124726.476</v>
      </c>
    </row>
    <row r="625" spans="1:17" ht="15.75" customHeight="1">
      <c r="A625" s="760" t="s">
        <v>2466</v>
      </c>
      <c r="B625" s="732">
        <v>45190</v>
      </c>
      <c r="C625" s="733" t="s">
        <v>1597</v>
      </c>
      <c r="D625" s="733" t="s">
        <v>1598</v>
      </c>
      <c r="E625" s="734">
        <v>7.1</v>
      </c>
      <c r="F625" s="731" t="s">
        <v>1599</v>
      </c>
      <c r="G625" s="731" t="s">
        <v>1600</v>
      </c>
      <c r="H625" s="731" t="s">
        <v>1941</v>
      </c>
      <c r="I625" s="736">
        <v>1588</v>
      </c>
      <c r="J625" s="735" t="s">
        <v>1599</v>
      </c>
      <c r="K625" s="737">
        <v>2180</v>
      </c>
      <c r="L625" s="744">
        <f t="shared" si="50"/>
        <v>4025.7200000000003</v>
      </c>
      <c r="M625" s="742">
        <v>6205.72</v>
      </c>
      <c r="N625" s="843">
        <v>2998.74</v>
      </c>
      <c r="O625" s="710">
        <f t="shared" si="47"/>
        <v>21.291053999999995</v>
      </c>
      <c r="P625" s="711">
        <f t="shared" si="48"/>
        <v>0.66534543749999986</v>
      </c>
      <c r="Q625" s="712">
        <f t="shared" si="49"/>
        <v>4761.9991200000004</v>
      </c>
    </row>
    <row r="626" spans="1:17" ht="15.75" customHeight="1">
      <c r="A626" s="759" t="s">
        <v>2467</v>
      </c>
      <c r="B626" s="723">
        <v>45189</v>
      </c>
      <c r="C626" s="724" t="s">
        <v>1597</v>
      </c>
      <c r="D626" s="724" t="s">
        <v>1598</v>
      </c>
      <c r="E626" s="725">
        <v>6.5</v>
      </c>
      <c r="F626" s="722" t="s">
        <v>1599</v>
      </c>
      <c r="G626" s="722" t="s">
        <v>1600</v>
      </c>
      <c r="H626" s="722" t="s">
        <v>1963</v>
      </c>
      <c r="I626" s="727">
        <v>14253</v>
      </c>
      <c r="J626" s="726" t="s">
        <v>1599</v>
      </c>
      <c r="K626" s="728">
        <v>3700</v>
      </c>
      <c r="L626" s="743">
        <f t="shared" si="50"/>
        <v>11555.03</v>
      </c>
      <c r="M626" s="741">
        <v>15255.03</v>
      </c>
      <c r="N626" s="842">
        <v>8234.73</v>
      </c>
      <c r="O626" s="710">
        <f t="shared" si="47"/>
        <v>53.525744999999993</v>
      </c>
      <c r="P626" s="711">
        <f t="shared" si="48"/>
        <v>1.6726795312499998</v>
      </c>
      <c r="Q626" s="712">
        <f t="shared" si="49"/>
        <v>117369.60669</v>
      </c>
    </row>
    <row r="627" spans="1:17" ht="15.75" customHeight="1">
      <c r="A627" s="760" t="s">
        <v>2468</v>
      </c>
      <c r="B627" s="732">
        <v>45189</v>
      </c>
      <c r="C627" s="733" t="s">
        <v>1597</v>
      </c>
      <c r="D627" s="733" t="s">
        <v>1598</v>
      </c>
      <c r="E627" s="734">
        <v>6.5</v>
      </c>
      <c r="F627" s="731" t="s">
        <v>1599</v>
      </c>
      <c r="G627" s="731" t="s">
        <v>1600</v>
      </c>
      <c r="H627" s="731" t="s">
        <v>1822</v>
      </c>
      <c r="I627" s="736">
        <v>13787</v>
      </c>
      <c r="J627" s="735" t="s">
        <v>1599</v>
      </c>
      <c r="K627" s="737">
        <v>8943.5</v>
      </c>
      <c r="L627" s="744">
        <f t="shared" si="50"/>
        <v>3275</v>
      </c>
      <c r="M627" s="742">
        <v>12218.5</v>
      </c>
      <c r="N627" s="843">
        <v>8943.5</v>
      </c>
      <c r="O627" s="710">
        <f t="shared" si="47"/>
        <v>58.132750000000001</v>
      </c>
      <c r="P627" s="711">
        <f t="shared" si="48"/>
        <v>1.8166484375</v>
      </c>
      <c r="Q627" s="712">
        <f t="shared" si="49"/>
        <v>123304.03449999999</v>
      </c>
    </row>
    <row r="628" spans="1:17" ht="15.75" customHeight="1">
      <c r="A628" s="257" t="s">
        <v>2469</v>
      </c>
      <c r="B628" s="751">
        <v>45202</v>
      </c>
      <c r="C628" s="291" t="s">
        <v>1597</v>
      </c>
      <c r="D628" s="291" t="s">
        <v>1598</v>
      </c>
      <c r="E628" s="755">
        <v>5.8</v>
      </c>
      <c r="F628" s="257" t="s">
        <v>1599</v>
      </c>
      <c r="G628" s="257" t="s">
        <v>1600</v>
      </c>
      <c r="H628" s="257" t="s">
        <v>1841</v>
      </c>
      <c r="I628" s="752">
        <v>9486</v>
      </c>
      <c r="J628" s="258" t="s">
        <v>1599</v>
      </c>
      <c r="K628" s="756">
        <v>3770</v>
      </c>
      <c r="L628" s="757">
        <v>16726.45</v>
      </c>
      <c r="M628" s="761">
        <v>20496.45</v>
      </c>
      <c r="N628" s="459">
        <v>13407.1</v>
      </c>
      <c r="O628" s="710">
        <f t="shared" si="47"/>
        <v>77.761179999999996</v>
      </c>
      <c r="P628" s="711">
        <f t="shared" si="48"/>
        <v>2.4300368749999999</v>
      </c>
      <c r="Q628" s="712">
        <f t="shared" si="49"/>
        <v>127179.75060000001</v>
      </c>
    </row>
    <row r="629" spans="1:17" ht="15.75" customHeight="1">
      <c r="A629" s="771" t="s">
        <v>2470</v>
      </c>
      <c r="B629" s="751">
        <v>45189</v>
      </c>
      <c r="C629" s="291" t="s">
        <v>1597</v>
      </c>
      <c r="D629" s="291" t="s">
        <v>1598</v>
      </c>
      <c r="E629" s="755">
        <v>6.2</v>
      </c>
      <c r="F629" s="257" t="s">
        <v>1599</v>
      </c>
      <c r="G629" s="257" t="s">
        <v>1600</v>
      </c>
      <c r="H629" s="257" t="s">
        <v>1836</v>
      </c>
      <c r="I629" s="752">
        <v>14544</v>
      </c>
      <c r="J629" s="258" t="s">
        <v>1599</v>
      </c>
      <c r="K629" s="756">
        <v>3840</v>
      </c>
      <c r="L629" s="757">
        <f>M629-K629</f>
        <v>13786</v>
      </c>
      <c r="M629" s="758">
        <v>17626</v>
      </c>
      <c r="N629" s="459">
        <v>11230</v>
      </c>
      <c r="O629" s="710">
        <f t="shared" si="47"/>
        <v>69.626000000000005</v>
      </c>
      <c r="P629" s="711">
        <f t="shared" si="48"/>
        <v>2.1758125000000001</v>
      </c>
      <c r="Q629" s="712">
        <f t="shared" si="49"/>
        <v>163329.12</v>
      </c>
    </row>
    <row r="630" spans="1:17" ht="15.75" customHeight="1">
      <c r="A630" s="257" t="s">
        <v>2471</v>
      </c>
      <c r="B630" s="751">
        <v>45202</v>
      </c>
      <c r="C630" s="291" t="s">
        <v>1597</v>
      </c>
      <c r="D630" s="291" t="s">
        <v>1598</v>
      </c>
      <c r="E630" s="755">
        <v>5.8</v>
      </c>
      <c r="F630" s="257" t="s">
        <v>1599</v>
      </c>
      <c r="G630" s="257" t="s">
        <v>1600</v>
      </c>
      <c r="H630" s="257" t="s">
        <v>1841</v>
      </c>
      <c r="I630" s="752">
        <v>9486</v>
      </c>
      <c r="J630" s="258" t="s">
        <v>1599</v>
      </c>
      <c r="K630" s="756">
        <v>3840</v>
      </c>
      <c r="L630" s="757">
        <v>15770.55</v>
      </c>
      <c r="M630" s="758">
        <v>19610.55</v>
      </c>
      <c r="N630" s="459">
        <v>10973.5</v>
      </c>
      <c r="O630" s="710">
        <f t="shared" si="47"/>
        <v>63.646299999999997</v>
      </c>
      <c r="P630" s="711">
        <f t="shared" si="48"/>
        <v>1.9889468749999999</v>
      </c>
      <c r="Q630" s="712">
        <f t="shared" si="49"/>
        <v>104094.621</v>
      </c>
    </row>
    <row r="631" spans="1:17" ht="15.75" customHeight="1">
      <c r="A631" s="760" t="s">
        <v>2472</v>
      </c>
      <c r="B631" s="732">
        <v>45189</v>
      </c>
      <c r="C631" s="733" t="s">
        <v>1597</v>
      </c>
      <c r="D631" s="733" t="s">
        <v>1598</v>
      </c>
      <c r="E631" s="734">
        <v>7.5</v>
      </c>
      <c r="F631" s="731" t="s">
        <v>1599</v>
      </c>
      <c r="G631" s="731" t="s">
        <v>1600</v>
      </c>
      <c r="H631" s="731" t="s">
        <v>1941</v>
      </c>
      <c r="I631" s="736">
        <v>1588</v>
      </c>
      <c r="J631" s="735" t="s">
        <v>1599</v>
      </c>
      <c r="K631" s="737">
        <v>2120</v>
      </c>
      <c r="L631" s="744">
        <f t="shared" ref="L631:L694" si="51">M631-K631</f>
        <v>3994.8999999999996</v>
      </c>
      <c r="M631" s="742">
        <v>6114.9</v>
      </c>
      <c r="N631" s="843">
        <v>2748.9</v>
      </c>
      <c r="O631" s="710">
        <f t="shared" si="47"/>
        <v>20.61675</v>
      </c>
      <c r="P631" s="711">
        <f t="shared" si="48"/>
        <v>0.64427343749999999</v>
      </c>
      <c r="Q631" s="712">
        <f t="shared" si="49"/>
        <v>4365.2532000000001</v>
      </c>
    </row>
    <row r="632" spans="1:17" ht="15.75" customHeight="1">
      <c r="A632" s="759" t="s">
        <v>2473</v>
      </c>
      <c r="B632" s="723">
        <v>45197</v>
      </c>
      <c r="C632" s="724" t="s">
        <v>1597</v>
      </c>
      <c r="D632" s="724" t="s">
        <v>1598</v>
      </c>
      <c r="E632" s="725">
        <v>11.9</v>
      </c>
      <c r="F632" s="722" t="s">
        <v>1599</v>
      </c>
      <c r="G632" s="722" t="s">
        <v>1600</v>
      </c>
      <c r="H632" s="722" t="s">
        <v>2003</v>
      </c>
      <c r="I632" s="727">
        <v>9292</v>
      </c>
      <c r="J632" s="726" t="s">
        <v>1599</v>
      </c>
      <c r="K632" s="728">
        <v>3750</v>
      </c>
      <c r="L632" s="743">
        <f t="shared" si="51"/>
        <v>11418</v>
      </c>
      <c r="M632" s="741">
        <v>15168</v>
      </c>
      <c r="N632" s="842">
        <v>7386</v>
      </c>
      <c r="O632" s="710">
        <f t="shared" si="47"/>
        <v>87.893400000000014</v>
      </c>
      <c r="P632" s="711">
        <f t="shared" si="48"/>
        <v>2.7466687500000004</v>
      </c>
      <c r="Q632" s="712">
        <f t="shared" si="49"/>
        <v>68630.712</v>
      </c>
    </row>
    <row r="633" spans="1:17" ht="15.75" customHeight="1">
      <c r="A633" s="760" t="s">
        <v>2474</v>
      </c>
      <c r="B633" s="732">
        <v>45194</v>
      </c>
      <c r="C633" s="733" t="s">
        <v>1597</v>
      </c>
      <c r="D633" s="733" t="s">
        <v>1598</v>
      </c>
      <c r="E633" s="734">
        <v>11.9</v>
      </c>
      <c r="F633" s="731" t="s">
        <v>1599</v>
      </c>
      <c r="G633" s="731" t="s">
        <v>1600</v>
      </c>
      <c r="H633" s="731" t="s">
        <v>1807</v>
      </c>
      <c r="I633" s="736">
        <v>1734</v>
      </c>
      <c r="J633" s="735" t="s">
        <v>1599</v>
      </c>
      <c r="K633" s="737">
        <v>3600</v>
      </c>
      <c r="L633" s="744">
        <f t="shared" si="51"/>
        <v>12398.5</v>
      </c>
      <c r="M633" s="742">
        <v>15998.5</v>
      </c>
      <c r="N633" s="843">
        <v>9594</v>
      </c>
      <c r="O633" s="710">
        <f t="shared" si="47"/>
        <v>114.16860000000001</v>
      </c>
      <c r="P633" s="711">
        <f t="shared" si="48"/>
        <v>3.5677687500000004</v>
      </c>
      <c r="Q633" s="712">
        <f t="shared" si="49"/>
        <v>16635.995999999999</v>
      </c>
    </row>
    <row r="634" spans="1:17" ht="15.75" customHeight="1">
      <c r="A634" s="759" t="s">
        <v>2475</v>
      </c>
      <c r="B634" s="723">
        <v>45195</v>
      </c>
      <c r="C634" s="724" t="s">
        <v>1597</v>
      </c>
      <c r="D634" s="724" t="s">
        <v>1598</v>
      </c>
      <c r="E634" s="725">
        <v>7.5</v>
      </c>
      <c r="F634" s="722" t="s">
        <v>1599</v>
      </c>
      <c r="G634" s="722" t="s">
        <v>1600</v>
      </c>
      <c r="H634" s="722" t="s">
        <v>1798</v>
      </c>
      <c r="I634" s="727">
        <v>1931</v>
      </c>
      <c r="J634" s="726" t="s">
        <v>1599</v>
      </c>
      <c r="K634" s="728">
        <v>5214</v>
      </c>
      <c r="L634" s="743">
        <f t="shared" si="51"/>
        <v>912</v>
      </c>
      <c r="M634" s="741">
        <v>6126</v>
      </c>
      <c r="N634" s="842">
        <v>5214</v>
      </c>
      <c r="O634" s="710">
        <f t="shared" si="47"/>
        <v>39.104999999999997</v>
      </c>
      <c r="P634" s="711">
        <f t="shared" si="48"/>
        <v>1.2220312499999999</v>
      </c>
      <c r="Q634" s="712">
        <f t="shared" si="49"/>
        <v>10068.234</v>
      </c>
    </row>
    <row r="635" spans="1:17" ht="15.75" customHeight="1">
      <c r="A635" s="760" t="s">
        <v>2476</v>
      </c>
      <c r="B635" s="732">
        <v>45195</v>
      </c>
      <c r="C635" s="733" t="s">
        <v>1597</v>
      </c>
      <c r="D635" s="733" t="s">
        <v>1598</v>
      </c>
      <c r="E635" s="734">
        <v>11.9</v>
      </c>
      <c r="F635" s="731" t="s">
        <v>1599</v>
      </c>
      <c r="G635" s="731" t="s">
        <v>1600</v>
      </c>
      <c r="H635" s="731" t="s">
        <v>1844</v>
      </c>
      <c r="I635" s="736">
        <v>5727</v>
      </c>
      <c r="J635" s="735" t="s">
        <v>1599</v>
      </c>
      <c r="K635" s="737">
        <v>2280</v>
      </c>
      <c r="L635" s="744">
        <f t="shared" si="51"/>
        <v>6756.7800000000007</v>
      </c>
      <c r="M635" s="742">
        <v>9036.7800000000007</v>
      </c>
      <c r="N635" s="843">
        <v>5815.21</v>
      </c>
      <c r="O635" s="710">
        <f t="shared" si="47"/>
        <v>69.200998999999996</v>
      </c>
      <c r="P635" s="711">
        <f t="shared" si="48"/>
        <v>2.1625312187499999</v>
      </c>
      <c r="Q635" s="712">
        <f t="shared" si="49"/>
        <v>33303.707670000003</v>
      </c>
    </row>
    <row r="636" spans="1:17" ht="15.75" customHeight="1">
      <c r="A636" s="759" t="s">
        <v>2477</v>
      </c>
      <c r="B636" s="723">
        <v>45195</v>
      </c>
      <c r="C636" s="724" t="s">
        <v>1597</v>
      </c>
      <c r="D636" s="724" t="s">
        <v>1598</v>
      </c>
      <c r="E636" s="725">
        <v>11.9</v>
      </c>
      <c r="F636" s="722" t="s">
        <v>1599</v>
      </c>
      <c r="G636" s="722" t="s">
        <v>1600</v>
      </c>
      <c r="H636" s="722" t="s">
        <v>1846</v>
      </c>
      <c r="I636" s="727">
        <v>5317</v>
      </c>
      <c r="J636" s="726" t="s">
        <v>1599</v>
      </c>
      <c r="K636" s="728">
        <v>2180</v>
      </c>
      <c r="L636" s="743">
        <f t="shared" si="51"/>
        <v>6717.7999999999993</v>
      </c>
      <c r="M636" s="741">
        <v>8897.7999999999993</v>
      </c>
      <c r="N636" s="842">
        <v>5665.63</v>
      </c>
      <c r="O636" s="710">
        <f t="shared" si="47"/>
        <v>67.420997</v>
      </c>
      <c r="P636" s="711">
        <f t="shared" si="48"/>
        <v>2.10690615625</v>
      </c>
      <c r="Q636" s="712">
        <f t="shared" si="49"/>
        <v>30124.154710000003</v>
      </c>
    </row>
    <row r="637" spans="1:17" ht="15.75" customHeight="1">
      <c r="A637" s="760" t="s">
        <v>2478</v>
      </c>
      <c r="B637" s="732">
        <v>45194</v>
      </c>
      <c r="C637" s="733" t="s">
        <v>1597</v>
      </c>
      <c r="D637" s="733" t="s">
        <v>1598</v>
      </c>
      <c r="E637" s="734">
        <v>11.9</v>
      </c>
      <c r="F637" s="731" t="s">
        <v>1599</v>
      </c>
      <c r="G637" s="731" t="s">
        <v>1600</v>
      </c>
      <c r="H637" s="731" t="s">
        <v>1912</v>
      </c>
      <c r="I637" s="736">
        <v>4929</v>
      </c>
      <c r="J637" s="735" t="s">
        <v>1599</v>
      </c>
      <c r="K637" s="737">
        <v>2220</v>
      </c>
      <c r="L637" s="744">
        <f t="shared" si="51"/>
        <v>7760.18</v>
      </c>
      <c r="M637" s="742">
        <v>9980.18</v>
      </c>
      <c r="N637" s="843">
        <v>6845.63</v>
      </c>
      <c r="O637" s="710">
        <f t="shared" si="47"/>
        <v>81.462997000000001</v>
      </c>
      <c r="P637" s="711">
        <f t="shared" si="48"/>
        <v>2.54571865625</v>
      </c>
      <c r="Q637" s="712">
        <f t="shared" si="49"/>
        <v>33742.110270000005</v>
      </c>
    </row>
    <row r="638" spans="1:17" ht="15.75" customHeight="1">
      <c r="A638" s="759" t="s">
        <v>2479</v>
      </c>
      <c r="B638" s="723">
        <v>45197</v>
      </c>
      <c r="C638" s="724" t="s">
        <v>1597</v>
      </c>
      <c r="D638" s="724" t="s">
        <v>1598</v>
      </c>
      <c r="E638" s="725">
        <v>11.9</v>
      </c>
      <c r="F638" s="722" t="s">
        <v>1599</v>
      </c>
      <c r="G638" s="722" t="s">
        <v>1600</v>
      </c>
      <c r="H638" s="722" t="s">
        <v>1912</v>
      </c>
      <c r="I638" s="727">
        <v>4929</v>
      </c>
      <c r="J638" s="726" t="s">
        <v>1599</v>
      </c>
      <c r="K638" s="728">
        <v>3690</v>
      </c>
      <c r="L638" s="743">
        <f t="shared" si="51"/>
        <v>14134.900000000001</v>
      </c>
      <c r="M638" s="741">
        <v>17824.900000000001</v>
      </c>
      <c r="N638" s="842">
        <v>13767.9</v>
      </c>
      <c r="O638" s="710">
        <f t="shared" si="47"/>
        <v>163.83801</v>
      </c>
      <c r="P638" s="711">
        <f t="shared" si="48"/>
        <v>5.1199378124999999</v>
      </c>
      <c r="Q638" s="712">
        <f t="shared" si="49"/>
        <v>67861.979099999997</v>
      </c>
    </row>
    <row r="639" spans="1:17" ht="15.75" customHeight="1">
      <c r="A639" s="760" t="s">
        <v>2480</v>
      </c>
      <c r="B639" s="732">
        <v>45197</v>
      </c>
      <c r="C639" s="733" t="s">
        <v>1597</v>
      </c>
      <c r="D639" s="733" t="s">
        <v>1598</v>
      </c>
      <c r="E639" s="734">
        <v>6</v>
      </c>
      <c r="F639" s="731" t="s">
        <v>1599</v>
      </c>
      <c r="G639" s="731" t="s">
        <v>1600</v>
      </c>
      <c r="H639" s="731" t="s">
        <v>1818</v>
      </c>
      <c r="I639" s="736">
        <v>14000</v>
      </c>
      <c r="J639" s="735" t="s">
        <v>1599</v>
      </c>
      <c r="K639" s="737">
        <v>3820</v>
      </c>
      <c r="L639" s="744">
        <f t="shared" si="51"/>
        <v>17938.439999999999</v>
      </c>
      <c r="M639" s="742">
        <v>21758.44</v>
      </c>
      <c r="N639" s="843">
        <v>15296.18</v>
      </c>
      <c r="O639" s="710">
        <f t="shared" si="47"/>
        <v>91.777079999999998</v>
      </c>
      <c r="P639" s="711">
        <f t="shared" si="48"/>
        <v>2.8680337499999999</v>
      </c>
      <c r="Q639" s="712">
        <f t="shared" si="49"/>
        <v>214146.52</v>
      </c>
    </row>
    <row r="640" spans="1:17" ht="15.75" customHeight="1">
      <c r="A640" s="759" t="s">
        <v>2481</v>
      </c>
      <c r="B640" s="723">
        <v>45196</v>
      </c>
      <c r="C640" s="724" t="s">
        <v>1597</v>
      </c>
      <c r="D640" s="724" t="s">
        <v>1598</v>
      </c>
      <c r="E640" s="725">
        <v>6.2</v>
      </c>
      <c r="F640" s="722" t="s">
        <v>1599</v>
      </c>
      <c r="G640" s="722" t="s">
        <v>1600</v>
      </c>
      <c r="H640" s="722" t="s">
        <v>1884</v>
      </c>
      <c r="I640" s="727">
        <v>13413</v>
      </c>
      <c r="J640" s="726" t="s">
        <v>1599</v>
      </c>
      <c r="K640" s="728">
        <v>3860</v>
      </c>
      <c r="L640" s="743">
        <f t="shared" si="51"/>
        <v>11979</v>
      </c>
      <c r="M640" s="741">
        <v>15839</v>
      </c>
      <c r="N640" s="842">
        <v>11977</v>
      </c>
      <c r="O640" s="710">
        <f t="shared" si="47"/>
        <v>74.257400000000004</v>
      </c>
      <c r="P640" s="711">
        <f t="shared" si="48"/>
        <v>2.3205437500000001</v>
      </c>
      <c r="Q640" s="712">
        <f t="shared" si="49"/>
        <v>160647.50099999999</v>
      </c>
    </row>
    <row r="641" spans="1:17" ht="15.75" customHeight="1">
      <c r="A641" s="760" t="s">
        <v>2482</v>
      </c>
      <c r="B641" s="732">
        <v>45197</v>
      </c>
      <c r="C641" s="733" t="s">
        <v>1597</v>
      </c>
      <c r="D641" s="733" t="s">
        <v>1598</v>
      </c>
      <c r="E641" s="734">
        <v>11.9</v>
      </c>
      <c r="F641" s="731" t="s">
        <v>1599</v>
      </c>
      <c r="G641" s="731" t="s">
        <v>1600</v>
      </c>
      <c r="H641" s="731" t="s">
        <v>1828</v>
      </c>
      <c r="I641" s="736">
        <v>7448</v>
      </c>
      <c r="J641" s="735" t="s">
        <v>1599</v>
      </c>
      <c r="K641" s="737">
        <v>3660</v>
      </c>
      <c r="L641" s="744">
        <f t="shared" si="51"/>
        <v>20777</v>
      </c>
      <c r="M641" s="742">
        <v>24437</v>
      </c>
      <c r="N641" s="843">
        <v>18485</v>
      </c>
      <c r="O641" s="710">
        <f t="shared" si="47"/>
        <v>219.97149999999999</v>
      </c>
      <c r="P641" s="711">
        <f t="shared" si="48"/>
        <v>6.8741093749999997</v>
      </c>
      <c r="Q641" s="712">
        <f t="shared" si="49"/>
        <v>137676.28</v>
      </c>
    </row>
    <row r="642" spans="1:17" ht="15.75" customHeight="1">
      <c r="A642" s="759" t="s">
        <v>2483</v>
      </c>
      <c r="B642" s="723">
        <v>45195</v>
      </c>
      <c r="C642" s="724" t="s">
        <v>1597</v>
      </c>
      <c r="D642" s="724" t="s">
        <v>1598</v>
      </c>
      <c r="E642" s="725">
        <v>7.1</v>
      </c>
      <c r="F642" s="722" t="s">
        <v>1599</v>
      </c>
      <c r="G642" s="722" t="s">
        <v>1600</v>
      </c>
      <c r="H642" s="722" t="s">
        <v>1886</v>
      </c>
      <c r="I642" s="727">
        <v>13877</v>
      </c>
      <c r="J642" s="726" t="s">
        <v>1599</v>
      </c>
      <c r="K642" s="728">
        <v>3840</v>
      </c>
      <c r="L642" s="743">
        <f t="shared" si="51"/>
        <v>10189.799999999999</v>
      </c>
      <c r="M642" s="741">
        <v>14029.8</v>
      </c>
      <c r="N642" s="842">
        <v>7660</v>
      </c>
      <c r="O642" s="710">
        <f t="shared" si="47"/>
        <v>54.386000000000003</v>
      </c>
      <c r="P642" s="711">
        <f t="shared" si="48"/>
        <v>1.6995625000000001</v>
      </c>
      <c r="Q642" s="712">
        <f t="shared" si="49"/>
        <v>106297.82</v>
      </c>
    </row>
    <row r="643" spans="1:17" ht="15.75" customHeight="1">
      <c r="A643" s="760" t="s">
        <v>2484</v>
      </c>
      <c r="B643" s="732">
        <v>45195</v>
      </c>
      <c r="C643" s="733" t="s">
        <v>1597</v>
      </c>
      <c r="D643" s="733" t="s">
        <v>1598</v>
      </c>
      <c r="E643" s="734">
        <v>7.1</v>
      </c>
      <c r="F643" s="731" t="s">
        <v>1599</v>
      </c>
      <c r="G643" s="731" t="s">
        <v>1600</v>
      </c>
      <c r="H643" s="731" t="s">
        <v>1886</v>
      </c>
      <c r="I643" s="736">
        <v>13877</v>
      </c>
      <c r="J643" s="735" t="s">
        <v>1599</v>
      </c>
      <c r="K643" s="737">
        <v>3700</v>
      </c>
      <c r="L643" s="744">
        <f t="shared" si="51"/>
        <v>9774.2000000000007</v>
      </c>
      <c r="M643" s="742">
        <v>13474.2</v>
      </c>
      <c r="N643" s="843">
        <v>6917.4</v>
      </c>
      <c r="O643" s="710">
        <f t="shared" si="47"/>
        <v>49.113539999999993</v>
      </c>
      <c r="P643" s="711">
        <f t="shared" si="48"/>
        <v>1.5347981249999998</v>
      </c>
      <c r="Q643" s="712">
        <f t="shared" si="49"/>
        <v>95992.7598</v>
      </c>
    </row>
    <row r="644" spans="1:17" ht="15.75" customHeight="1">
      <c r="A644" s="759" t="s">
        <v>2485</v>
      </c>
      <c r="B644" s="723">
        <v>45197</v>
      </c>
      <c r="C644" s="724" t="s">
        <v>1597</v>
      </c>
      <c r="D644" s="724" t="s">
        <v>1598</v>
      </c>
      <c r="E644" s="725">
        <v>7.1</v>
      </c>
      <c r="F644" s="722" t="s">
        <v>1599</v>
      </c>
      <c r="G644" s="722" t="s">
        <v>1600</v>
      </c>
      <c r="H644" s="722" t="s">
        <v>1886</v>
      </c>
      <c r="I644" s="727">
        <v>13877</v>
      </c>
      <c r="J644" s="726" t="s">
        <v>1599</v>
      </c>
      <c r="K644" s="728">
        <v>3760</v>
      </c>
      <c r="L644" s="743">
        <f t="shared" si="51"/>
        <v>10726</v>
      </c>
      <c r="M644" s="741">
        <v>14486</v>
      </c>
      <c r="N644" s="842">
        <v>8196.2000000000007</v>
      </c>
      <c r="O644" s="710">
        <f t="shared" si="47"/>
        <v>58.193020000000004</v>
      </c>
      <c r="P644" s="711">
        <f t="shared" si="48"/>
        <v>1.8185318750000001</v>
      </c>
      <c r="Q644" s="712">
        <f t="shared" si="49"/>
        <v>113738.66740000001</v>
      </c>
    </row>
    <row r="645" spans="1:17" ht="15.75" customHeight="1">
      <c r="A645" s="760" t="s">
        <v>2486</v>
      </c>
      <c r="B645" s="732">
        <v>45195</v>
      </c>
      <c r="C645" s="733" t="s">
        <v>1597</v>
      </c>
      <c r="D645" s="733" t="s">
        <v>1598</v>
      </c>
      <c r="E645" s="734">
        <v>7.1</v>
      </c>
      <c r="F645" s="731" t="s">
        <v>1599</v>
      </c>
      <c r="G645" s="731" t="s">
        <v>1600</v>
      </c>
      <c r="H645" s="731" t="s">
        <v>1886</v>
      </c>
      <c r="I645" s="736">
        <v>13877</v>
      </c>
      <c r="J645" s="735" t="s">
        <v>1599</v>
      </c>
      <c r="K645" s="737">
        <v>3900</v>
      </c>
      <c r="L645" s="744">
        <f t="shared" si="51"/>
        <v>11294</v>
      </c>
      <c r="M645" s="742">
        <v>15194</v>
      </c>
      <c r="N645" s="843">
        <v>8988</v>
      </c>
      <c r="O645" s="710">
        <f t="shared" si="47"/>
        <v>63.814799999999998</v>
      </c>
      <c r="P645" s="711">
        <f t="shared" si="48"/>
        <v>1.9942124999999999</v>
      </c>
      <c r="Q645" s="712">
        <f t="shared" si="49"/>
        <v>124726.476</v>
      </c>
    </row>
    <row r="646" spans="1:17" ht="15.75" customHeight="1">
      <c r="A646" s="759" t="s">
        <v>2487</v>
      </c>
      <c r="B646" s="723">
        <v>45195</v>
      </c>
      <c r="C646" s="724" t="s">
        <v>1597</v>
      </c>
      <c r="D646" s="724" t="s">
        <v>1598</v>
      </c>
      <c r="E646" s="725">
        <v>7.1</v>
      </c>
      <c r="F646" s="722" t="s">
        <v>1599</v>
      </c>
      <c r="G646" s="722" t="s">
        <v>1600</v>
      </c>
      <c r="H646" s="722" t="s">
        <v>1886</v>
      </c>
      <c r="I646" s="727">
        <v>13877</v>
      </c>
      <c r="J646" s="726" t="s">
        <v>1599</v>
      </c>
      <c r="K646" s="728">
        <v>3770</v>
      </c>
      <c r="L646" s="743">
        <f t="shared" si="51"/>
        <v>10189.799999999999</v>
      </c>
      <c r="M646" s="741">
        <v>13959.8</v>
      </c>
      <c r="N646" s="842">
        <v>7660</v>
      </c>
      <c r="O646" s="710">
        <f t="shared" ref="O646:O709" si="52">N646*E646/1000</f>
        <v>54.386000000000003</v>
      </c>
      <c r="P646" s="711">
        <f t="shared" ref="P646:P709" si="53">O646/32</f>
        <v>1.6995625000000001</v>
      </c>
      <c r="Q646" s="712">
        <f t="shared" ref="Q646:Q709" si="54">N646*I646/1000</f>
        <v>106297.82</v>
      </c>
    </row>
    <row r="647" spans="1:17" ht="15.75" customHeight="1">
      <c r="A647" s="760" t="s">
        <v>2488</v>
      </c>
      <c r="B647" s="732">
        <v>45196</v>
      </c>
      <c r="C647" s="733" t="s">
        <v>1597</v>
      </c>
      <c r="D647" s="733" t="s">
        <v>1598</v>
      </c>
      <c r="E647" s="734">
        <v>11.9</v>
      </c>
      <c r="F647" s="731" t="s">
        <v>1599</v>
      </c>
      <c r="G647" s="731" t="s">
        <v>1600</v>
      </c>
      <c r="H647" s="731" t="s">
        <v>1825</v>
      </c>
      <c r="I647" s="736">
        <v>15486</v>
      </c>
      <c r="J647" s="735" t="s">
        <v>1599</v>
      </c>
      <c r="K647" s="737">
        <v>3800</v>
      </c>
      <c r="L647" s="744">
        <f t="shared" si="51"/>
        <v>11362</v>
      </c>
      <c r="M647" s="742">
        <v>15162</v>
      </c>
      <c r="N647" s="843">
        <v>8658</v>
      </c>
      <c r="O647" s="710">
        <f t="shared" si="52"/>
        <v>103.03019999999999</v>
      </c>
      <c r="P647" s="711">
        <f t="shared" si="53"/>
        <v>3.2196937499999998</v>
      </c>
      <c r="Q647" s="712">
        <f t="shared" si="54"/>
        <v>134077.788</v>
      </c>
    </row>
    <row r="648" spans="1:17" ht="15.75" customHeight="1">
      <c r="A648" s="759" t="s">
        <v>2489</v>
      </c>
      <c r="B648" s="723">
        <v>45197</v>
      </c>
      <c r="C648" s="724" t="s">
        <v>1597</v>
      </c>
      <c r="D648" s="724" t="s">
        <v>1598</v>
      </c>
      <c r="E648" s="725">
        <v>6.2</v>
      </c>
      <c r="F648" s="722" t="s">
        <v>1599</v>
      </c>
      <c r="G648" s="722" t="s">
        <v>1600</v>
      </c>
      <c r="H648" s="722" t="s">
        <v>1880</v>
      </c>
      <c r="I648" s="727">
        <v>13558</v>
      </c>
      <c r="J648" s="726" t="s">
        <v>1599</v>
      </c>
      <c r="K648" s="728">
        <v>3870</v>
      </c>
      <c r="L648" s="743">
        <f t="shared" si="51"/>
        <v>14514</v>
      </c>
      <c r="M648" s="741">
        <v>18384</v>
      </c>
      <c r="N648" s="842">
        <v>10844</v>
      </c>
      <c r="O648" s="710">
        <f t="shared" si="52"/>
        <v>67.232799999999997</v>
      </c>
      <c r="P648" s="711">
        <f t="shared" si="53"/>
        <v>2.1010249999999999</v>
      </c>
      <c r="Q648" s="712">
        <f t="shared" si="54"/>
        <v>147022.95199999999</v>
      </c>
    </row>
    <row r="649" spans="1:17" ht="15.75" customHeight="1">
      <c r="A649" s="760" t="s">
        <v>2490</v>
      </c>
      <c r="B649" s="732">
        <v>45196</v>
      </c>
      <c r="C649" s="733" t="s">
        <v>1597</v>
      </c>
      <c r="D649" s="733" t="s">
        <v>1598</v>
      </c>
      <c r="E649" s="734">
        <v>6.5</v>
      </c>
      <c r="F649" s="731" t="s">
        <v>1599</v>
      </c>
      <c r="G649" s="731" t="s">
        <v>1600</v>
      </c>
      <c r="H649" s="731" t="s">
        <v>1850</v>
      </c>
      <c r="I649" s="736">
        <v>9687</v>
      </c>
      <c r="J649" s="735" t="s">
        <v>1599</v>
      </c>
      <c r="K649" s="737">
        <v>3570</v>
      </c>
      <c r="L649" s="744">
        <f t="shared" si="51"/>
        <v>19877.3</v>
      </c>
      <c r="M649" s="742">
        <v>23447.3</v>
      </c>
      <c r="N649" s="843">
        <v>18582.3</v>
      </c>
      <c r="O649" s="710">
        <f t="shared" si="52"/>
        <v>120.78494999999999</v>
      </c>
      <c r="P649" s="711">
        <f t="shared" si="53"/>
        <v>3.7745296874999998</v>
      </c>
      <c r="Q649" s="712">
        <f t="shared" si="54"/>
        <v>180006.7401</v>
      </c>
    </row>
    <row r="650" spans="1:17" ht="15.75" customHeight="1">
      <c r="A650" s="759" t="s">
        <v>2491</v>
      </c>
      <c r="B650" s="723">
        <v>45196</v>
      </c>
      <c r="C650" s="724" t="s">
        <v>1597</v>
      </c>
      <c r="D650" s="724" t="s">
        <v>1598</v>
      </c>
      <c r="E650" s="725">
        <v>6.5</v>
      </c>
      <c r="F650" s="722" t="s">
        <v>1599</v>
      </c>
      <c r="G650" s="722" t="s">
        <v>1600</v>
      </c>
      <c r="H650" s="722" t="s">
        <v>1850</v>
      </c>
      <c r="I650" s="727">
        <v>9687</v>
      </c>
      <c r="J650" s="726" t="s">
        <v>1599</v>
      </c>
      <c r="K650" s="728">
        <v>3570</v>
      </c>
      <c r="L650" s="743">
        <f t="shared" si="51"/>
        <v>19897</v>
      </c>
      <c r="M650" s="741">
        <v>23467</v>
      </c>
      <c r="N650" s="842">
        <v>18561</v>
      </c>
      <c r="O650" s="710">
        <f t="shared" si="52"/>
        <v>120.6465</v>
      </c>
      <c r="P650" s="711">
        <f t="shared" si="53"/>
        <v>3.7702031250000001</v>
      </c>
      <c r="Q650" s="712">
        <f t="shared" si="54"/>
        <v>179800.40700000001</v>
      </c>
    </row>
    <row r="651" spans="1:17" ht="15.75" customHeight="1">
      <c r="A651" s="760" t="s">
        <v>2492</v>
      </c>
      <c r="B651" s="732">
        <v>45196</v>
      </c>
      <c r="C651" s="733" t="s">
        <v>1597</v>
      </c>
      <c r="D651" s="733" t="s">
        <v>1598</v>
      </c>
      <c r="E651" s="734">
        <v>6.5</v>
      </c>
      <c r="F651" s="731" t="s">
        <v>1599</v>
      </c>
      <c r="G651" s="731" t="s">
        <v>1600</v>
      </c>
      <c r="H651" s="731" t="s">
        <v>1850</v>
      </c>
      <c r="I651" s="736">
        <v>9687</v>
      </c>
      <c r="J651" s="735" t="s">
        <v>1599</v>
      </c>
      <c r="K651" s="737">
        <v>3640</v>
      </c>
      <c r="L651" s="744">
        <f t="shared" si="51"/>
        <v>19897</v>
      </c>
      <c r="M651" s="742">
        <v>23537</v>
      </c>
      <c r="N651" s="843">
        <v>18561</v>
      </c>
      <c r="O651" s="710">
        <f t="shared" si="52"/>
        <v>120.6465</v>
      </c>
      <c r="P651" s="711">
        <f t="shared" si="53"/>
        <v>3.7702031250000001</v>
      </c>
      <c r="Q651" s="712">
        <f t="shared" si="54"/>
        <v>179800.40700000001</v>
      </c>
    </row>
    <row r="652" spans="1:17" ht="15.75" customHeight="1">
      <c r="A652" s="722" t="s">
        <v>2493</v>
      </c>
      <c r="B652" s="723">
        <v>45204</v>
      </c>
      <c r="C652" s="724" t="s">
        <v>1597</v>
      </c>
      <c r="D652" s="724" t="s">
        <v>1598</v>
      </c>
      <c r="E652" s="725">
        <v>11.9</v>
      </c>
      <c r="F652" s="722" t="s">
        <v>1599</v>
      </c>
      <c r="G652" s="722" t="s">
        <v>1600</v>
      </c>
      <c r="H652" s="722" t="s">
        <v>1831</v>
      </c>
      <c r="I652" s="727">
        <v>7283</v>
      </c>
      <c r="J652" s="726" t="s">
        <v>1599</v>
      </c>
      <c r="K652" s="728">
        <v>3540</v>
      </c>
      <c r="L652" s="743">
        <f t="shared" si="51"/>
        <v>23902</v>
      </c>
      <c r="M652" s="730">
        <v>27442</v>
      </c>
      <c r="N652" s="842">
        <v>20473</v>
      </c>
      <c r="O652" s="710">
        <f t="shared" si="52"/>
        <v>243.62870000000001</v>
      </c>
      <c r="P652" s="711">
        <f t="shared" si="53"/>
        <v>7.6133968750000003</v>
      </c>
      <c r="Q652" s="712">
        <f t="shared" si="54"/>
        <v>149104.859</v>
      </c>
    </row>
    <row r="653" spans="1:17" ht="15.75" customHeight="1">
      <c r="A653" s="731" t="s">
        <v>2494</v>
      </c>
      <c r="B653" s="732">
        <v>45204</v>
      </c>
      <c r="C653" s="733" t="s">
        <v>1597</v>
      </c>
      <c r="D653" s="733" t="s">
        <v>1598</v>
      </c>
      <c r="E653" s="734">
        <v>11.9</v>
      </c>
      <c r="F653" s="731" t="s">
        <v>1599</v>
      </c>
      <c r="G653" s="731" t="s">
        <v>1600</v>
      </c>
      <c r="H653" s="731" t="s">
        <v>1831</v>
      </c>
      <c r="I653" s="736">
        <v>7283</v>
      </c>
      <c r="J653" s="735" t="s">
        <v>1599</v>
      </c>
      <c r="K653" s="737">
        <v>3640</v>
      </c>
      <c r="L653" s="744">
        <f t="shared" si="51"/>
        <v>23952</v>
      </c>
      <c r="M653" s="739">
        <v>27592</v>
      </c>
      <c r="N653" s="843">
        <v>19071</v>
      </c>
      <c r="O653" s="710">
        <f t="shared" si="52"/>
        <v>226.94489999999999</v>
      </c>
      <c r="P653" s="711">
        <f t="shared" si="53"/>
        <v>7.0920281249999997</v>
      </c>
      <c r="Q653" s="712">
        <f t="shared" si="54"/>
        <v>138894.09299999999</v>
      </c>
    </row>
    <row r="654" spans="1:17" ht="15.75" customHeight="1">
      <c r="A654" s="722" t="s">
        <v>2495</v>
      </c>
      <c r="B654" s="723">
        <v>45204</v>
      </c>
      <c r="C654" s="724" t="s">
        <v>1597</v>
      </c>
      <c r="D654" s="724" t="s">
        <v>1598</v>
      </c>
      <c r="E654" s="725">
        <v>11.9</v>
      </c>
      <c r="F654" s="722" t="s">
        <v>1599</v>
      </c>
      <c r="G654" s="722" t="s">
        <v>1600</v>
      </c>
      <c r="H654" s="722" t="s">
        <v>1831</v>
      </c>
      <c r="I654" s="727">
        <v>7283</v>
      </c>
      <c r="J654" s="726" t="s">
        <v>1599</v>
      </c>
      <c r="K654" s="728">
        <v>3540</v>
      </c>
      <c r="L654" s="743">
        <f t="shared" si="51"/>
        <v>23952</v>
      </c>
      <c r="M654" s="730">
        <v>27492</v>
      </c>
      <c r="N654" s="842">
        <v>20286</v>
      </c>
      <c r="O654" s="710">
        <f t="shared" si="52"/>
        <v>241.4034</v>
      </c>
      <c r="P654" s="711">
        <f t="shared" si="53"/>
        <v>7.5438562500000002</v>
      </c>
      <c r="Q654" s="712">
        <f t="shared" si="54"/>
        <v>147742.93799999999</v>
      </c>
    </row>
    <row r="655" spans="1:17" ht="15.75" customHeight="1">
      <c r="A655" s="731" t="s">
        <v>2496</v>
      </c>
      <c r="B655" s="732">
        <v>45201</v>
      </c>
      <c r="C655" s="733" t="s">
        <v>1597</v>
      </c>
      <c r="D655" s="733" t="s">
        <v>1598</v>
      </c>
      <c r="E655" s="734">
        <v>7.1</v>
      </c>
      <c r="F655" s="731" t="s">
        <v>1599</v>
      </c>
      <c r="G655" s="731" t="s">
        <v>1600</v>
      </c>
      <c r="H655" s="731" t="s">
        <v>1886</v>
      </c>
      <c r="I655" s="736">
        <v>13877</v>
      </c>
      <c r="J655" s="735" t="s">
        <v>1599</v>
      </c>
      <c r="K655" s="737">
        <v>3770</v>
      </c>
      <c r="L655" s="744">
        <f t="shared" si="51"/>
        <v>9774.2000000000007</v>
      </c>
      <c r="M655" s="739">
        <v>13544.2</v>
      </c>
      <c r="N655" s="843">
        <v>6917.4</v>
      </c>
      <c r="O655" s="710">
        <f t="shared" si="52"/>
        <v>49.113539999999993</v>
      </c>
      <c r="P655" s="711">
        <f t="shared" si="53"/>
        <v>1.5347981249999998</v>
      </c>
      <c r="Q655" s="712">
        <f t="shared" si="54"/>
        <v>95992.7598</v>
      </c>
    </row>
    <row r="656" spans="1:17" ht="15.75" customHeight="1">
      <c r="A656" s="722" t="s">
        <v>2497</v>
      </c>
      <c r="B656" s="723">
        <v>45201</v>
      </c>
      <c r="C656" s="724" t="s">
        <v>1597</v>
      </c>
      <c r="D656" s="724" t="s">
        <v>1598</v>
      </c>
      <c r="E656" s="725">
        <v>7.1</v>
      </c>
      <c r="F656" s="722" t="s">
        <v>1599</v>
      </c>
      <c r="G656" s="722" t="s">
        <v>1600</v>
      </c>
      <c r="H656" s="722" t="s">
        <v>1886</v>
      </c>
      <c r="I656" s="727">
        <v>13877</v>
      </c>
      <c r="J656" s="726" t="s">
        <v>1599</v>
      </c>
      <c r="K656" s="728">
        <v>3820</v>
      </c>
      <c r="L656" s="743">
        <f t="shared" si="51"/>
        <v>12014</v>
      </c>
      <c r="M656" s="730">
        <v>15834</v>
      </c>
      <c r="N656" s="842">
        <v>8988</v>
      </c>
      <c r="O656" s="710">
        <f t="shared" si="52"/>
        <v>63.814799999999998</v>
      </c>
      <c r="P656" s="711">
        <f t="shared" si="53"/>
        <v>1.9942124999999999</v>
      </c>
      <c r="Q656" s="712">
        <f t="shared" si="54"/>
        <v>124726.476</v>
      </c>
    </row>
    <row r="657" spans="1:17" ht="15.75" customHeight="1">
      <c r="A657" s="731" t="s">
        <v>2498</v>
      </c>
      <c r="B657" s="732">
        <v>45201</v>
      </c>
      <c r="C657" s="733" t="s">
        <v>1597</v>
      </c>
      <c r="D657" s="733" t="s">
        <v>1598</v>
      </c>
      <c r="E657" s="734">
        <v>6.5</v>
      </c>
      <c r="F657" s="731" t="s">
        <v>1599</v>
      </c>
      <c r="G657" s="731" t="s">
        <v>1600</v>
      </c>
      <c r="H657" s="731" t="s">
        <v>1884</v>
      </c>
      <c r="I657" s="736">
        <v>13413</v>
      </c>
      <c r="J657" s="735" t="s">
        <v>1599</v>
      </c>
      <c r="K657" s="737">
        <v>3910</v>
      </c>
      <c r="L657" s="744">
        <f t="shared" si="51"/>
        <v>12483</v>
      </c>
      <c r="M657" s="739">
        <v>16393</v>
      </c>
      <c r="N657" s="843">
        <v>9027</v>
      </c>
      <c r="O657" s="710">
        <f t="shared" si="52"/>
        <v>58.6755</v>
      </c>
      <c r="P657" s="711">
        <f t="shared" si="53"/>
        <v>1.833609375</v>
      </c>
      <c r="Q657" s="712">
        <f t="shared" si="54"/>
        <v>121079.151</v>
      </c>
    </row>
    <row r="658" spans="1:17" ht="15.75" customHeight="1">
      <c r="A658" s="722" t="s">
        <v>2499</v>
      </c>
      <c r="B658" s="723">
        <v>45201</v>
      </c>
      <c r="C658" s="724" t="s">
        <v>1597</v>
      </c>
      <c r="D658" s="724" t="s">
        <v>1598</v>
      </c>
      <c r="E658" s="725">
        <v>11.9</v>
      </c>
      <c r="F658" s="724" t="s">
        <v>1599</v>
      </c>
      <c r="G658" s="724" t="s">
        <v>1600</v>
      </c>
      <c r="H658" s="722" t="s">
        <v>1807</v>
      </c>
      <c r="I658" s="727">
        <v>1734</v>
      </c>
      <c r="J658" s="753" t="s">
        <v>1599</v>
      </c>
      <c r="K658" s="728">
        <v>2140</v>
      </c>
      <c r="L658" s="743">
        <f t="shared" si="51"/>
        <v>6064</v>
      </c>
      <c r="M658" s="730">
        <v>8204</v>
      </c>
      <c r="N658" s="842">
        <v>4737</v>
      </c>
      <c r="O658" s="710">
        <f t="shared" si="52"/>
        <v>56.3703</v>
      </c>
      <c r="P658" s="711">
        <f t="shared" si="53"/>
        <v>1.761571875</v>
      </c>
      <c r="Q658" s="712">
        <f t="shared" si="54"/>
        <v>8213.9580000000005</v>
      </c>
    </row>
    <row r="659" spans="1:17" ht="15.75" customHeight="1">
      <c r="A659" s="731" t="s">
        <v>2500</v>
      </c>
      <c r="B659" s="732">
        <v>45203</v>
      </c>
      <c r="C659" s="733" t="s">
        <v>1597</v>
      </c>
      <c r="D659" s="733" t="s">
        <v>1598</v>
      </c>
      <c r="E659" s="734">
        <v>6.2</v>
      </c>
      <c r="F659" s="731" t="s">
        <v>1599</v>
      </c>
      <c r="G659" s="731" t="s">
        <v>1600</v>
      </c>
      <c r="H659" s="731" t="s">
        <v>1815</v>
      </c>
      <c r="I659" s="736">
        <v>17387</v>
      </c>
      <c r="J659" s="735" t="s">
        <v>1599</v>
      </c>
      <c r="K659" s="737">
        <v>3700</v>
      </c>
      <c r="L659" s="744">
        <f t="shared" si="51"/>
        <v>18099.28</v>
      </c>
      <c r="M659" s="739">
        <v>21799.279999999999</v>
      </c>
      <c r="N659" s="843">
        <v>15536</v>
      </c>
      <c r="O659" s="710">
        <f t="shared" si="52"/>
        <v>96.3232</v>
      </c>
      <c r="P659" s="711">
        <f t="shared" si="53"/>
        <v>3.0101</v>
      </c>
      <c r="Q659" s="712">
        <f t="shared" si="54"/>
        <v>270124.43199999997</v>
      </c>
    </row>
    <row r="660" spans="1:17" ht="15.75" customHeight="1">
      <c r="A660" s="722" t="s">
        <v>2501</v>
      </c>
      <c r="B660" s="723">
        <v>45203</v>
      </c>
      <c r="C660" s="724" t="s">
        <v>1597</v>
      </c>
      <c r="D660" s="724" t="s">
        <v>1598</v>
      </c>
      <c r="E660" s="725">
        <v>6.2</v>
      </c>
      <c r="F660" s="722" t="s">
        <v>1599</v>
      </c>
      <c r="G660" s="722" t="s">
        <v>1600</v>
      </c>
      <c r="H660" s="722" t="s">
        <v>1815</v>
      </c>
      <c r="I660" s="727">
        <v>17387</v>
      </c>
      <c r="J660" s="726" t="s">
        <v>1599</v>
      </c>
      <c r="K660" s="728">
        <v>3900</v>
      </c>
      <c r="L660" s="743">
        <f t="shared" si="51"/>
        <v>17963.48</v>
      </c>
      <c r="M660" s="730">
        <v>21863.48</v>
      </c>
      <c r="N660" s="842">
        <v>15403.24</v>
      </c>
      <c r="O660" s="710">
        <f t="shared" si="52"/>
        <v>95.500088000000005</v>
      </c>
      <c r="P660" s="711">
        <f t="shared" si="53"/>
        <v>2.9843777500000002</v>
      </c>
      <c r="Q660" s="712">
        <f t="shared" si="54"/>
        <v>267816.13387999998</v>
      </c>
    </row>
    <row r="661" spans="1:17" ht="15.75" customHeight="1">
      <c r="A661" s="731" t="s">
        <v>2502</v>
      </c>
      <c r="B661" s="732">
        <v>45201</v>
      </c>
      <c r="C661" s="733" t="s">
        <v>1597</v>
      </c>
      <c r="D661" s="733" t="s">
        <v>1598</v>
      </c>
      <c r="E661" s="734">
        <v>11.9</v>
      </c>
      <c r="F661" s="731" t="s">
        <v>1599</v>
      </c>
      <c r="G661" s="731" t="s">
        <v>1600</v>
      </c>
      <c r="H661" s="731" t="s">
        <v>1854</v>
      </c>
      <c r="I661" s="736">
        <v>8865</v>
      </c>
      <c r="J661" s="735" t="s">
        <v>1599</v>
      </c>
      <c r="K661" s="737">
        <v>2280</v>
      </c>
      <c r="L661" s="744">
        <f t="shared" si="51"/>
        <v>11845.2</v>
      </c>
      <c r="M661" s="739">
        <v>14125.2</v>
      </c>
      <c r="N661" s="843">
        <v>8398</v>
      </c>
      <c r="O661" s="710">
        <f t="shared" si="52"/>
        <v>99.936199999999999</v>
      </c>
      <c r="P661" s="711">
        <f t="shared" si="53"/>
        <v>3.12300625</v>
      </c>
      <c r="Q661" s="712">
        <f t="shared" si="54"/>
        <v>74448.27</v>
      </c>
    </row>
    <row r="662" spans="1:17" ht="15.75" customHeight="1">
      <c r="A662" s="722" t="s">
        <v>2503</v>
      </c>
      <c r="B662" s="723">
        <v>45204</v>
      </c>
      <c r="C662" s="724" t="s">
        <v>1597</v>
      </c>
      <c r="D662" s="724" t="s">
        <v>1598</v>
      </c>
      <c r="E662" s="725">
        <v>6.2</v>
      </c>
      <c r="F662" s="722" t="s">
        <v>1599</v>
      </c>
      <c r="G662" s="722" t="s">
        <v>1600</v>
      </c>
      <c r="H662" s="722" t="s">
        <v>1880</v>
      </c>
      <c r="I662" s="727">
        <v>13558</v>
      </c>
      <c r="J662" s="726" t="s">
        <v>1599</v>
      </c>
      <c r="K662" s="728">
        <v>3840</v>
      </c>
      <c r="L662" s="743">
        <f t="shared" si="51"/>
        <v>13432</v>
      </c>
      <c r="M662" s="730">
        <v>17272</v>
      </c>
      <c r="N662" s="842">
        <v>10172</v>
      </c>
      <c r="O662" s="710">
        <f t="shared" si="52"/>
        <v>63.066400000000002</v>
      </c>
      <c r="P662" s="711">
        <f t="shared" si="53"/>
        <v>1.970825</v>
      </c>
      <c r="Q662" s="712">
        <f t="shared" si="54"/>
        <v>137911.976</v>
      </c>
    </row>
    <row r="663" spans="1:17" ht="15.75" customHeight="1">
      <c r="A663" s="731" t="s">
        <v>2504</v>
      </c>
      <c r="B663" s="732">
        <v>45211</v>
      </c>
      <c r="C663" s="733" t="s">
        <v>1597</v>
      </c>
      <c r="D663" s="733" t="s">
        <v>1598</v>
      </c>
      <c r="E663" s="734">
        <v>11.9</v>
      </c>
      <c r="F663" s="731" t="s">
        <v>1599</v>
      </c>
      <c r="G663" s="731" t="s">
        <v>1600</v>
      </c>
      <c r="H663" s="731" t="s">
        <v>1873</v>
      </c>
      <c r="I663" s="736">
        <v>3824</v>
      </c>
      <c r="J663" s="735" t="s">
        <v>1599</v>
      </c>
      <c r="K663" s="737">
        <v>3750</v>
      </c>
      <c r="L663" s="744">
        <f t="shared" si="51"/>
        <v>10321.4</v>
      </c>
      <c r="M663" s="739">
        <v>14071.4</v>
      </c>
      <c r="N663" s="843">
        <v>10319.4</v>
      </c>
      <c r="O663" s="710">
        <f t="shared" si="52"/>
        <v>122.80086</v>
      </c>
      <c r="P663" s="711">
        <f t="shared" si="53"/>
        <v>3.837526875</v>
      </c>
      <c r="Q663" s="712">
        <f t="shared" si="54"/>
        <v>39461.385600000001</v>
      </c>
    </row>
    <row r="664" spans="1:17" ht="15.75" customHeight="1">
      <c r="A664" s="722" t="s">
        <v>2505</v>
      </c>
      <c r="B664" s="723">
        <v>45208</v>
      </c>
      <c r="C664" s="724" t="s">
        <v>1597</v>
      </c>
      <c r="D664" s="724" t="s">
        <v>1598</v>
      </c>
      <c r="E664" s="725">
        <v>7.1</v>
      </c>
      <c r="F664" s="722" t="s">
        <v>1599</v>
      </c>
      <c r="G664" s="722" t="s">
        <v>1600</v>
      </c>
      <c r="H664" s="722" t="s">
        <v>1798</v>
      </c>
      <c r="I664" s="727">
        <v>1931</v>
      </c>
      <c r="J664" s="726" t="s">
        <v>1599</v>
      </c>
      <c r="K664" s="728">
        <v>4801.2</v>
      </c>
      <c r="L664" s="743">
        <f t="shared" si="51"/>
        <v>1186.8000000000002</v>
      </c>
      <c r="M664" s="730">
        <v>5988</v>
      </c>
      <c r="N664" s="842">
        <v>4801.2</v>
      </c>
      <c r="O664" s="710">
        <f t="shared" si="52"/>
        <v>34.088519999999995</v>
      </c>
      <c r="P664" s="711">
        <f t="shared" si="53"/>
        <v>1.0652662499999999</v>
      </c>
      <c r="Q664" s="712">
        <f t="shared" si="54"/>
        <v>9271.1171999999988</v>
      </c>
    </row>
    <row r="665" spans="1:17" ht="15.75" customHeight="1">
      <c r="A665" s="731" t="s">
        <v>2506</v>
      </c>
      <c r="B665" s="732">
        <v>45208</v>
      </c>
      <c r="C665" s="733" t="s">
        <v>1597</v>
      </c>
      <c r="D665" s="733" t="s">
        <v>1598</v>
      </c>
      <c r="E665" s="734">
        <v>5.3</v>
      </c>
      <c r="F665" s="731" t="s">
        <v>1599</v>
      </c>
      <c r="G665" s="731" t="s">
        <v>1600</v>
      </c>
      <c r="H665" s="731" t="s">
        <v>1932</v>
      </c>
      <c r="I665" s="736">
        <v>4823</v>
      </c>
      <c r="J665" s="735" t="s">
        <v>1599</v>
      </c>
      <c r="K665" s="737">
        <v>2180</v>
      </c>
      <c r="L665" s="744">
        <f t="shared" si="51"/>
        <v>5543.05</v>
      </c>
      <c r="M665" s="739">
        <v>7723.05</v>
      </c>
      <c r="N665" s="843">
        <v>4472.8500000000004</v>
      </c>
      <c r="O665" s="710">
        <f t="shared" si="52"/>
        <v>23.706105000000001</v>
      </c>
      <c r="P665" s="711">
        <f t="shared" si="53"/>
        <v>0.74081578125000003</v>
      </c>
      <c r="Q665" s="712">
        <f t="shared" si="54"/>
        <v>21572.555550000001</v>
      </c>
    </row>
    <row r="666" spans="1:17" ht="15.75" customHeight="1">
      <c r="A666" s="722" t="s">
        <v>2507</v>
      </c>
      <c r="B666" s="723">
        <v>45215</v>
      </c>
      <c r="C666" s="724" t="s">
        <v>1597</v>
      </c>
      <c r="D666" s="724" t="s">
        <v>1598</v>
      </c>
      <c r="E666" s="725">
        <v>3.6</v>
      </c>
      <c r="F666" s="722" t="s">
        <v>1599</v>
      </c>
      <c r="G666" s="722" t="s">
        <v>1600</v>
      </c>
      <c r="H666" s="722" t="s">
        <v>1965</v>
      </c>
      <c r="I666" s="727">
        <v>5092</v>
      </c>
      <c r="J666" s="726" t="s">
        <v>1599</v>
      </c>
      <c r="K666" s="728">
        <v>2180</v>
      </c>
      <c r="L666" s="743">
        <f t="shared" si="51"/>
        <v>5551.55</v>
      </c>
      <c r="M666" s="730">
        <v>7731.55</v>
      </c>
      <c r="N666" s="842">
        <v>4482.51</v>
      </c>
      <c r="O666" s="710">
        <f t="shared" si="52"/>
        <v>16.137036000000002</v>
      </c>
      <c r="P666" s="711">
        <f t="shared" si="53"/>
        <v>0.50428237500000006</v>
      </c>
      <c r="Q666" s="712">
        <f t="shared" si="54"/>
        <v>22824.940920000001</v>
      </c>
    </row>
    <row r="667" spans="1:17" ht="15.75" customHeight="1">
      <c r="A667" s="731" t="s">
        <v>2508</v>
      </c>
      <c r="B667" s="732">
        <v>45213</v>
      </c>
      <c r="C667" s="733" t="s">
        <v>1597</v>
      </c>
      <c r="D667" s="733" t="s">
        <v>1598</v>
      </c>
      <c r="E667" s="734">
        <v>6</v>
      </c>
      <c r="F667" s="731" t="s">
        <v>1599</v>
      </c>
      <c r="G667" s="731" t="s">
        <v>1600</v>
      </c>
      <c r="H667" s="731" t="s">
        <v>1818</v>
      </c>
      <c r="I667" s="736">
        <v>14000</v>
      </c>
      <c r="J667" s="735" t="s">
        <v>1599</v>
      </c>
      <c r="K667" s="737">
        <v>3750</v>
      </c>
      <c r="L667" s="744">
        <f t="shared" si="51"/>
        <v>18069.560000000001</v>
      </c>
      <c r="M667" s="739">
        <v>21819.56</v>
      </c>
      <c r="N667" s="843">
        <v>15720.96</v>
      </c>
      <c r="O667" s="710">
        <f t="shared" si="52"/>
        <v>94.325759999999988</v>
      </c>
      <c r="P667" s="711">
        <f t="shared" si="53"/>
        <v>2.9476799999999996</v>
      </c>
      <c r="Q667" s="712">
        <f t="shared" si="54"/>
        <v>220093.44</v>
      </c>
    </row>
    <row r="668" spans="1:17" ht="15.75" customHeight="1">
      <c r="A668" s="722" t="s">
        <v>2509</v>
      </c>
      <c r="B668" s="723">
        <v>45213</v>
      </c>
      <c r="C668" s="724" t="s">
        <v>1597</v>
      </c>
      <c r="D668" s="724" t="s">
        <v>1598</v>
      </c>
      <c r="E668" s="725">
        <v>6</v>
      </c>
      <c r="F668" s="722" t="s">
        <v>1599</v>
      </c>
      <c r="G668" s="722" t="s">
        <v>1600</v>
      </c>
      <c r="H668" s="722" t="s">
        <v>1818</v>
      </c>
      <c r="I668" s="727">
        <v>14000</v>
      </c>
      <c r="J668" s="726" t="s">
        <v>1599</v>
      </c>
      <c r="K668" s="728">
        <v>3700</v>
      </c>
      <c r="L668" s="743">
        <f t="shared" si="51"/>
        <v>17743.599999999999</v>
      </c>
      <c r="M668" s="730">
        <v>21443.599999999999</v>
      </c>
      <c r="N668" s="842">
        <v>15139.84</v>
      </c>
      <c r="O668" s="710">
        <f t="shared" si="52"/>
        <v>90.839040000000011</v>
      </c>
      <c r="P668" s="711">
        <f t="shared" si="53"/>
        <v>2.8387200000000004</v>
      </c>
      <c r="Q668" s="712">
        <f t="shared" si="54"/>
        <v>211957.76000000001</v>
      </c>
    </row>
    <row r="669" spans="1:17" ht="15.75" customHeight="1">
      <c r="A669" s="731" t="s">
        <v>2510</v>
      </c>
      <c r="B669" s="732">
        <v>45213</v>
      </c>
      <c r="C669" s="733" t="s">
        <v>1597</v>
      </c>
      <c r="D669" s="733" t="s">
        <v>1598</v>
      </c>
      <c r="E669" s="734">
        <v>6</v>
      </c>
      <c r="F669" s="731" t="s">
        <v>1599</v>
      </c>
      <c r="G669" s="731" t="s">
        <v>1600</v>
      </c>
      <c r="H669" s="731" t="s">
        <v>1818</v>
      </c>
      <c r="I669" s="736">
        <v>14000</v>
      </c>
      <c r="J669" s="735" t="s">
        <v>1599</v>
      </c>
      <c r="K669" s="737">
        <v>3820</v>
      </c>
      <c r="L669" s="744">
        <f t="shared" si="51"/>
        <v>17976.3</v>
      </c>
      <c r="M669" s="739">
        <v>21796.3</v>
      </c>
      <c r="N669" s="843">
        <v>15445.6</v>
      </c>
      <c r="O669" s="710">
        <f t="shared" si="52"/>
        <v>92.673600000000008</v>
      </c>
      <c r="P669" s="711">
        <f t="shared" si="53"/>
        <v>2.8960500000000002</v>
      </c>
      <c r="Q669" s="712">
        <f t="shared" si="54"/>
        <v>216238.4</v>
      </c>
    </row>
    <row r="670" spans="1:17" ht="15.75" customHeight="1">
      <c r="A670" s="722" t="s">
        <v>2511</v>
      </c>
      <c r="B670" s="723">
        <v>45218</v>
      </c>
      <c r="C670" s="724" t="s">
        <v>1597</v>
      </c>
      <c r="D670" s="724" t="s">
        <v>1598</v>
      </c>
      <c r="E670" s="725">
        <v>6.5</v>
      </c>
      <c r="F670" s="722" t="s">
        <v>1599</v>
      </c>
      <c r="G670" s="722" t="s">
        <v>1600</v>
      </c>
      <c r="H670" s="722" t="s">
        <v>1850</v>
      </c>
      <c r="I670" s="727">
        <v>9687</v>
      </c>
      <c r="J670" s="726" t="s">
        <v>1599</v>
      </c>
      <c r="K670" s="728">
        <v>3670</v>
      </c>
      <c r="L670" s="743">
        <f t="shared" si="51"/>
        <v>25027</v>
      </c>
      <c r="M670" s="730">
        <v>28697</v>
      </c>
      <c r="N670" s="842">
        <v>23842</v>
      </c>
      <c r="O670" s="710">
        <f t="shared" si="52"/>
        <v>154.97300000000001</v>
      </c>
      <c r="P670" s="711">
        <f t="shared" si="53"/>
        <v>4.8429062500000004</v>
      </c>
      <c r="Q670" s="712">
        <f t="shared" si="54"/>
        <v>230957.454</v>
      </c>
    </row>
    <row r="671" spans="1:17" ht="15.75" customHeight="1">
      <c r="A671" s="731" t="s">
        <v>2512</v>
      </c>
      <c r="B671" s="732">
        <v>45226</v>
      </c>
      <c r="C671" s="733" t="s">
        <v>1597</v>
      </c>
      <c r="D671" s="733" t="s">
        <v>1598</v>
      </c>
      <c r="E671" s="734">
        <v>7.1</v>
      </c>
      <c r="F671" s="731" t="s">
        <v>1599</v>
      </c>
      <c r="G671" s="731" t="s">
        <v>1600</v>
      </c>
      <c r="H671" s="731" t="s">
        <v>1846</v>
      </c>
      <c r="I671" s="736">
        <v>5317</v>
      </c>
      <c r="J671" s="735" t="s">
        <v>1599</v>
      </c>
      <c r="K671" s="737">
        <v>2200</v>
      </c>
      <c r="L671" s="744">
        <f t="shared" si="51"/>
        <v>4233.2</v>
      </c>
      <c r="M671" s="739">
        <v>6433.2</v>
      </c>
      <c r="N671" s="843">
        <v>3230.64</v>
      </c>
      <c r="O671" s="710">
        <f t="shared" si="52"/>
        <v>22.937543999999999</v>
      </c>
      <c r="P671" s="711">
        <f t="shared" si="53"/>
        <v>0.71679824999999997</v>
      </c>
      <c r="Q671" s="712">
        <f t="shared" si="54"/>
        <v>17177.312879999998</v>
      </c>
    </row>
    <row r="672" spans="1:17" ht="15.75" customHeight="1">
      <c r="A672" s="722" t="s">
        <v>2513</v>
      </c>
      <c r="B672" s="723">
        <v>45215</v>
      </c>
      <c r="C672" s="724" t="s">
        <v>1597</v>
      </c>
      <c r="D672" s="724" t="s">
        <v>1598</v>
      </c>
      <c r="E672" s="725">
        <v>7.1</v>
      </c>
      <c r="F672" s="722" t="s">
        <v>1599</v>
      </c>
      <c r="G672" s="722" t="s">
        <v>1600</v>
      </c>
      <c r="H672" s="722" t="s">
        <v>1807</v>
      </c>
      <c r="I672" s="727">
        <v>1734</v>
      </c>
      <c r="J672" s="726" t="s">
        <v>1599</v>
      </c>
      <c r="K672" s="728">
        <v>3600</v>
      </c>
      <c r="L672" s="743">
        <f t="shared" si="51"/>
        <v>11771.8</v>
      </c>
      <c r="M672" s="730">
        <v>15371.8</v>
      </c>
      <c r="N672" s="842">
        <v>9253.6</v>
      </c>
      <c r="O672" s="710">
        <f t="shared" si="52"/>
        <v>65.700559999999996</v>
      </c>
      <c r="P672" s="711">
        <f t="shared" si="53"/>
        <v>2.0531424999999999</v>
      </c>
      <c r="Q672" s="712">
        <f t="shared" si="54"/>
        <v>16045.742400000001</v>
      </c>
    </row>
    <row r="673" spans="1:17" ht="15.75" customHeight="1">
      <c r="A673" s="731" t="s">
        <v>2514</v>
      </c>
      <c r="B673" s="732">
        <v>45226</v>
      </c>
      <c r="C673" s="733" t="s">
        <v>1597</v>
      </c>
      <c r="D673" s="733" t="s">
        <v>1598</v>
      </c>
      <c r="E673" s="734">
        <v>6</v>
      </c>
      <c r="F673" s="731" t="s">
        <v>1599</v>
      </c>
      <c r="G673" s="731" t="s">
        <v>1600</v>
      </c>
      <c r="H673" s="731" t="s">
        <v>1846</v>
      </c>
      <c r="I673" s="736">
        <v>5317</v>
      </c>
      <c r="J673" s="735" t="s">
        <v>1599</v>
      </c>
      <c r="K673" s="737">
        <v>2160</v>
      </c>
      <c r="L673" s="744">
        <f t="shared" si="51"/>
        <v>6861.7000000000007</v>
      </c>
      <c r="M673" s="739">
        <v>9021.7000000000007</v>
      </c>
      <c r="N673" s="843">
        <v>5743.62</v>
      </c>
      <c r="O673" s="710">
        <f t="shared" si="52"/>
        <v>34.46172</v>
      </c>
      <c r="P673" s="711">
        <f t="shared" si="53"/>
        <v>1.07692875</v>
      </c>
      <c r="Q673" s="712">
        <f t="shared" si="54"/>
        <v>30538.827539999998</v>
      </c>
    </row>
    <row r="674" spans="1:17" ht="15.75" customHeight="1">
      <c r="A674" s="722" t="s">
        <v>2515</v>
      </c>
      <c r="B674" s="723">
        <v>45217</v>
      </c>
      <c r="C674" s="724" t="s">
        <v>1597</v>
      </c>
      <c r="D674" s="724" t="s">
        <v>1598</v>
      </c>
      <c r="E674" s="725">
        <v>6.2</v>
      </c>
      <c r="F674" s="722" t="s">
        <v>1599</v>
      </c>
      <c r="G674" s="722" t="s">
        <v>1600</v>
      </c>
      <c r="H674" s="722" t="s">
        <v>1809</v>
      </c>
      <c r="I674" s="727">
        <v>15168</v>
      </c>
      <c r="J674" s="726" t="s">
        <v>1599</v>
      </c>
      <c r="K674" s="728">
        <v>3300</v>
      </c>
      <c r="L674" s="743">
        <f t="shared" si="51"/>
        <v>20824.599999999999</v>
      </c>
      <c r="M674" s="730">
        <v>24124.6</v>
      </c>
      <c r="N674" s="842">
        <v>15523.2</v>
      </c>
      <c r="O674" s="710">
        <f t="shared" si="52"/>
        <v>96.243840000000006</v>
      </c>
      <c r="P674" s="711">
        <f t="shared" si="53"/>
        <v>3.0076200000000002</v>
      </c>
      <c r="Q674" s="712">
        <f t="shared" si="54"/>
        <v>235455.89760000003</v>
      </c>
    </row>
    <row r="675" spans="1:17" ht="15.75" customHeight="1">
      <c r="A675" s="731" t="s">
        <v>2516</v>
      </c>
      <c r="B675" s="732">
        <v>45213</v>
      </c>
      <c r="C675" s="733" t="s">
        <v>1597</v>
      </c>
      <c r="D675" s="733" t="s">
        <v>1598</v>
      </c>
      <c r="E675" s="734">
        <v>11.9</v>
      </c>
      <c r="F675" s="731" t="s">
        <v>1599</v>
      </c>
      <c r="G675" s="731" t="s">
        <v>1600</v>
      </c>
      <c r="H675" s="731" t="s">
        <v>1854</v>
      </c>
      <c r="I675" s="736">
        <v>8865</v>
      </c>
      <c r="J675" s="735" t="s">
        <v>1599</v>
      </c>
      <c r="K675" s="737">
        <v>2160</v>
      </c>
      <c r="L675" s="744">
        <f t="shared" si="51"/>
        <v>11107.25</v>
      </c>
      <c r="M675" s="739">
        <v>13267.25</v>
      </c>
      <c r="N675" s="843">
        <v>10472.950000000001</v>
      </c>
      <c r="O675" s="710">
        <f t="shared" si="52"/>
        <v>124.62810500000001</v>
      </c>
      <c r="P675" s="711">
        <f t="shared" si="53"/>
        <v>3.8946282812500002</v>
      </c>
      <c r="Q675" s="712">
        <f t="shared" si="54"/>
        <v>92842.701749999993</v>
      </c>
    </row>
    <row r="676" spans="1:17" ht="15.75" customHeight="1">
      <c r="A676" s="722" t="s">
        <v>2517</v>
      </c>
      <c r="B676" s="723">
        <v>45230</v>
      </c>
      <c r="C676" s="724" t="s">
        <v>1597</v>
      </c>
      <c r="D676" s="724" t="s">
        <v>1598</v>
      </c>
      <c r="E676" s="725">
        <v>7.1</v>
      </c>
      <c r="F676" s="722" t="s">
        <v>1599</v>
      </c>
      <c r="G676" s="722" t="s">
        <v>1600</v>
      </c>
      <c r="H676" s="722" t="s">
        <v>1809</v>
      </c>
      <c r="I676" s="727">
        <v>15168</v>
      </c>
      <c r="J676" s="726" t="s">
        <v>1599</v>
      </c>
      <c r="K676" s="728">
        <v>3700</v>
      </c>
      <c r="L676" s="743">
        <f t="shared" si="51"/>
        <v>20662.599999999999</v>
      </c>
      <c r="M676" s="730">
        <v>24362.6</v>
      </c>
      <c r="N676" s="842">
        <v>16464</v>
      </c>
      <c r="O676" s="710">
        <f t="shared" si="52"/>
        <v>116.89439999999999</v>
      </c>
      <c r="P676" s="711">
        <f t="shared" si="53"/>
        <v>3.6529499999999997</v>
      </c>
      <c r="Q676" s="712">
        <f t="shared" si="54"/>
        <v>249725.95199999999</v>
      </c>
    </row>
    <row r="677" spans="1:17" ht="15.75" customHeight="1">
      <c r="A677" s="731" t="s">
        <v>2518</v>
      </c>
      <c r="B677" s="732">
        <v>45219</v>
      </c>
      <c r="C677" s="733" t="s">
        <v>1597</v>
      </c>
      <c r="D677" s="733" t="s">
        <v>1598</v>
      </c>
      <c r="E677" s="734">
        <v>6</v>
      </c>
      <c r="F677" s="731" t="s">
        <v>1599</v>
      </c>
      <c r="G677" s="731" t="s">
        <v>1600</v>
      </c>
      <c r="H677" s="731" t="s">
        <v>1818</v>
      </c>
      <c r="I677" s="736">
        <v>14000</v>
      </c>
      <c r="J677" s="735" t="s">
        <v>1599</v>
      </c>
      <c r="K677" s="737">
        <v>3900</v>
      </c>
      <c r="L677" s="744">
        <f t="shared" si="51"/>
        <v>16738.490000000002</v>
      </c>
      <c r="M677" s="739">
        <v>20638.490000000002</v>
      </c>
      <c r="N677" s="843">
        <v>14450.05</v>
      </c>
      <c r="O677" s="710">
        <f t="shared" si="52"/>
        <v>86.700299999999984</v>
      </c>
      <c r="P677" s="711">
        <f t="shared" si="53"/>
        <v>2.7093843749999995</v>
      </c>
      <c r="Q677" s="712">
        <f t="shared" si="54"/>
        <v>202300.7</v>
      </c>
    </row>
    <row r="678" spans="1:17" ht="15.75" customHeight="1">
      <c r="A678" s="722" t="s">
        <v>2519</v>
      </c>
      <c r="B678" s="723">
        <v>45219</v>
      </c>
      <c r="C678" s="724" t="s">
        <v>1597</v>
      </c>
      <c r="D678" s="724" t="s">
        <v>1598</v>
      </c>
      <c r="E678" s="725">
        <v>6</v>
      </c>
      <c r="F678" s="722" t="s">
        <v>1599</v>
      </c>
      <c r="G678" s="722" t="s">
        <v>1600</v>
      </c>
      <c r="H678" s="722" t="s">
        <v>1818</v>
      </c>
      <c r="I678" s="727">
        <v>14000</v>
      </c>
      <c r="J678" s="726" t="s">
        <v>1599</v>
      </c>
      <c r="K678" s="728">
        <v>3900</v>
      </c>
      <c r="L678" s="743">
        <f t="shared" si="51"/>
        <v>18548.560000000001</v>
      </c>
      <c r="M678" s="730">
        <v>22448.560000000001</v>
      </c>
      <c r="N678" s="842">
        <v>15930.62</v>
      </c>
      <c r="O678" s="710">
        <f t="shared" si="52"/>
        <v>95.58372</v>
      </c>
      <c r="P678" s="711">
        <f t="shared" si="53"/>
        <v>2.98699125</v>
      </c>
      <c r="Q678" s="712">
        <f t="shared" si="54"/>
        <v>223028.68</v>
      </c>
    </row>
    <row r="679" spans="1:17" ht="15.75" customHeight="1">
      <c r="A679" s="731" t="s">
        <v>2520</v>
      </c>
      <c r="B679" s="732">
        <v>45230</v>
      </c>
      <c r="C679" s="733" t="s">
        <v>1597</v>
      </c>
      <c r="D679" s="733" t="s">
        <v>1598</v>
      </c>
      <c r="E679" s="734">
        <v>7.1</v>
      </c>
      <c r="F679" s="731" t="s">
        <v>1599</v>
      </c>
      <c r="G679" s="731" t="s">
        <v>1600</v>
      </c>
      <c r="H679" s="731" t="s">
        <v>1809</v>
      </c>
      <c r="I679" s="736">
        <v>15168</v>
      </c>
      <c r="J679" s="735" t="s">
        <v>1599</v>
      </c>
      <c r="K679" s="737">
        <v>3840</v>
      </c>
      <c r="L679" s="744">
        <f t="shared" si="51"/>
        <v>20662.599999999999</v>
      </c>
      <c r="M679" s="739">
        <v>24502.6</v>
      </c>
      <c r="N679" s="843">
        <v>16464</v>
      </c>
      <c r="O679" s="710">
        <f t="shared" si="52"/>
        <v>116.89439999999999</v>
      </c>
      <c r="P679" s="711">
        <f t="shared" si="53"/>
        <v>3.6529499999999997</v>
      </c>
      <c r="Q679" s="712">
        <f t="shared" si="54"/>
        <v>249725.95199999999</v>
      </c>
    </row>
    <row r="680" spans="1:17" ht="15.75" customHeight="1">
      <c r="A680" s="722" t="s">
        <v>2521</v>
      </c>
      <c r="B680" s="723">
        <v>45216</v>
      </c>
      <c r="C680" s="724" t="s">
        <v>1597</v>
      </c>
      <c r="D680" s="724" t="s">
        <v>1598</v>
      </c>
      <c r="E680" s="725">
        <v>7.1</v>
      </c>
      <c r="F680" s="722" t="s">
        <v>1599</v>
      </c>
      <c r="G680" s="722" t="s">
        <v>1600</v>
      </c>
      <c r="H680" s="722" t="s">
        <v>1886</v>
      </c>
      <c r="I680" s="727">
        <v>13877</v>
      </c>
      <c r="J680" s="726" t="s">
        <v>1599</v>
      </c>
      <c r="K680" s="728">
        <v>3840</v>
      </c>
      <c r="L680" s="743">
        <f t="shared" si="51"/>
        <v>19599.5</v>
      </c>
      <c r="M680" s="730">
        <v>23439.5</v>
      </c>
      <c r="N680" s="842">
        <v>15795</v>
      </c>
      <c r="O680" s="710">
        <f t="shared" si="52"/>
        <v>112.14449999999999</v>
      </c>
      <c r="P680" s="711">
        <f t="shared" si="53"/>
        <v>3.5045156249999998</v>
      </c>
      <c r="Q680" s="712">
        <f t="shared" si="54"/>
        <v>219187.215</v>
      </c>
    </row>
    <row r="681" spans="1:17" ht="15.75" customHeight="1">
      <c r="A681" s="731" t="s">
        <v>2522</v>
      </c>
      <c r="B681" s="732">
        <v>45230</v>
      </c>
      <c r="C681" s="733" t="s">
        <v>1597</v>
      </c>
      <c r="D681" s="733" t="s">
        <v>1598</v>
      </c>
      <c r="E681" s="734">
        <v>5.8</v>
      </c>
      <c r="F681" s="731" t="s">
        <v>1599</v>
      </c>
      <c r="G681" s="731" t="s">
        <v>1600</v>
      </c>
      <c r="H681" s="731" t="s">
        <v>2523</v>
      </c>
      <c r="I681" s="736">
        <v>3782</v>
      </c>
      <c r="J681" s="735" t="s">
        <v>1599</v>
      </c>
      <c r="K681" s="734">
        <v>2220</v>
      </c>
      <c r="L681" s="744">
        <f t="shared" si="51"/>
        <v>4440.5</v>
      </c>
      <c r="M681" s="739">
        <v>6660.5</v>
      </c>
      <c r="N681" s="895">
        <v>12460.53</v>
      </c>
      <c r="O681" s="710">
        <f t="shared" si="52"/>
        <v>72.271074000000013</v>
      </c>
      <c r="P681" s="711">
        <f t="shared" si="53"/>
        <v>2.2584710625000004</v>
      </c>
      <c r="Q681" s="712">
        <f t="shared" si="54"/>
        <v>47125.724459999998</v>
      </c>
    </row>
    <row r="682" spans="1:17" ht="15.75" customHeight="1">
      <c r="A682" s="722" t="s">
        <v>2524</v>
      </c>
      <c r="B682" s="723">
        <v>45229</v>
      </c>
      <c r="C682" s="724" t="s">
        <v>1597</v>
      </c>
      <c r="D682" s="724" t="s">
        <v>1598</v>
      </c>
      <c r="E682" s="725">
        <v>7.1</v>
      </c>
      <c r="F682" s="722" t="s">
        <v>1599</v>
      </c>
      <c r="G682" s="722" t="s">
        <v>1600</v>
      </c>
      <c r="H682" s="722" t="s">
        <v>1893</v>
      </c>
      <c r="I682" s="727">
        <v>2167</v>
      </c>
      <c r="J682" s="726" t="s">
        <v>1599</v>
      </c>
      <c r="K682" s="728">
        <v>3640</v>
      </c>
      <c r="L682" s="743">
        <f t="shared" si="51"/>
        <v>9492.2999999999993</v>
      </c>
      <c r="M682" s="730">
        <v>13132.3</v>
      </c>
      <c r="N682" s="842">
        <v>7156.7</v>
      </c>
      <c r="O682" s="710">
        <f t="shared" si="52"/>
        <v>50.812570000000001</v>
      </c>
      <c r="P682" s="711">
        <f t="shared" si="53"/>
        <v>1.5878928125</v>
      </c>
      <c r="Q682" s="712">
        <f t="shared" si="54"/>
        <v>15508.5689</v>
      </c>
    </row>
    <row r="683" spans="1:17" ht="15.75" customHeight="1">
      <c r="A683" s="731" t="s">
        <v>2525</v>
      </c>
      <c r="B683" s="732">
        <v>45224</v>
      </c>
      <c r="C683" s="733" t="s">
        <v>1597</v>
      </c>
      <c r="D683" s="733" t="s">
        <v>1598</v>
      </c>
      <c r="E683" s="734">
        <v>6.2</v>
      </c>
      <c r="F683" s="731" t="s">
        <v>1599</v>
      </c>
      <c r="G683" s="731" t="s">
        <v>1600</v>
      </c>
      <c r="H683" s="731" t="s">
        <v>1880</v>
      </c>
      <c r="I683" s="736">
        <v>13558</v>
      </c>
      <c r="J683" s="735" t="s">
        <v>1599</v>
      </c>
      <c r="K683" s="737">
        <v>3900</v>
      </c>
      <c r="L683" s="744">
        <f t="shared" si="51"/>
        <v>9714.5</v>
      </c>
      <c r="M683" s="739">
        <v>13614.5</v>
      </c>
      <c r="N683" s="843">
        <v>6937.5</v>
      </c>
      <c r="O683" s="710">
        <f t="shared" si="52"/>
        <v>43.012500000000003</v>
      </c>
      <c r="P683" s="711">
        <f t="shared" si="53"/>
        <v>1.3441406250000001</v>
      </c>
      <c r="Q683" s="712">
        <f t="shared" si="54"/>
        <v>94058.625</v>
      </c>
    </row>
    <row r="684" spans="1:17" ht="15.75" customHeight="1">
      <c r="A684" s="722" t="s">
        <v>2526</v>
      </c>
      <c r="B684" s="723">
        <v>45224</v>
      </c>
      <c r="C684" s="724" t="s">
        <v>1597</v>
      </c>
      <c r="D684" s="724" t="s">
        <v>1598</v>
      </c>
      <c r="E684" s="725">
        <v>11.9</v>
      </c>
      <c r="F684" s="722" t="s">
        <v>1599</v>
      </c>
      <c r="G684" s="722" t="s">
        <v>1600</v>
      </c>
      <c r="H684" s="722" t="s">
        <v>1828</v>
      </c>
      <c r="I684" s="727">
        <v>7448</v>
      </c>
      <c r="J684" s="726" t="s">
        <v>1599</v>
      </c>
      <c r="K684" s="728">
        <v>3740</v>
      </c>
      <c r="L684" s="743">
        <f t="shared" si="51"/>
        <v>23627</v>
      </c>
      <c r="M684" s="730">
        <v>27367</v>
      </c>
      <c r="N684" s="842">
        <v>21681</v>
      </c>
      <c r="O684" s="710">
        <f t="shared" si="52"/>
        <v>258.00389999999999</v>
      </c>
      <c r="P684" s="711">
        <f t="shared" si="53"/>
        <v>8.0626218749999996</v>
      </c>
      <c r="Q684" s="712">
        <f t="shared" si="54"/>
        <v>161480.08799999999</v>
      </c>
    </row>
    <row r="685" spans="1:17" ht="15.75" customHeight="1">
      <c r="A685" s="731" t="s">
        <v>2527</v>
      </c>
      <c r="B685" s="732">
        <v>45224</v>
      </c>
      <c r="C685" s="733" t="s">
        <v>1597</v>
      </c>
      <c r="D685" s="733" t="s">
        <v>1598</v>
      </c>
      <c r="E685" s="734">
        <v>11.9</v>
      </c>
      <c r="F685" s="731" t="s">
        <v>1599</v>
      </c>
      <c r="G685" s="731" t="s">
        <v>1600</v>
      </c>
      <c r="H685" s="731" t="s">
        <v>1828</v>
      </c>
      <c r="I685" s="736">
        <v>7448</v>
      </c>
      <c r="J685" s="735" t="s">
        <v>1599</v>
      </c>
      <c r="K685" s="737">
        <v>2540</v>
      </c>
      <c r="L685" s="744">
        <f t="shared" si="51"/>
        <v>25102</v>
      </c>
      <c r="M685" s="739">
        <v>27642</v>
      </c>
      <c r="N685" s="843">
        <v>20794</v>
      </c>
      <c r="O685" s="710">
        <f t="shared" si="52"/>
        <v>247.4486</v>
      </c>
      <c r="P685" s="711">
        <f t="shared" si="53"/>
        <v>7.73276875</v>
      </c>
      <c r="Q685" s="712">
        <f t="shared" si="54"/>
        <v>154873.712</v>
      </c>
    </row>
    <row r="686" spans="1:17" ht="15.75" customHeight="1">
      <c r="A686" s="722" t="s">
        <v>2528</v>
      </c>
      <c r="B686" s="723">
        <v>45224</v>
      </c>
      <c r="C686" s="724" t="s">
        <v>1597</v>
      </c>
      <c r="D686" s="724" t="s">
        <v>1598</v>
      </c>
      <c r="E686" s="725">
        <v>11.9</v>
      </c>
      <c r="F686" s="722" t="s">
        <v>1599</v>
      </c>
      <c r="G686" s="722" t="s">
        <v>1600</v>
      </c>
      <c r="H686" s="722" t="s">
        <v>1828</v>
      </c>
      <c r="I686" s="727">
        <v>7448</v>
      </c>
      <c r="J686" s="726" t="s">
        <v>1599</v>
      </c>
      <c r="K686" s="728">
        <v>3700</v>
      </c>
      <c r="L686" s="743">
        <f t="shared" si="51"/>
        <v>23652</v>
      </c>
      <c r="M686" s="730">
        <v>27352</v>
      </c>
      <c r="N686" s="842">
        <v>17565</v>
      </c>
      <c r="O686" s="710">
        <f t="shared" si="52"/>
        <v>209.02350000000001</v>
      </c>
      <c r="P686" s="711">
        <f t="shared" si="53"/>
        <v>6.5319843750000004</v>
      </c>
      <c r="Q686" s="712">
        <f t="shared" si="54"/>
        <v>130824.12</v>
      </c>
    </row>
    <row r="687" spans="1:17" ht="15.75" customHeight="1">
      <c r="A687" s="731" t="s">
        <v>2529</v>
      </c>
      <c r="B687" s="732">
        <v>45209</v>
      </c>
      <c r="C687" s="733" t="s">
        <v>1597</v>
      </c>
      <c r="D687" s="733" t="s">
        <v>1598</v>
      </c>
      <c r="E687" s="734">
        <v>7.1</v>
      </c>
      <c r="F687" s="731" t="s">
        <v>1599</v>
      </c>
      <c r="G687" s="731" t="s">
        <v>1600</v>
      </c>
      <c r="H687" s="731" t="s">
        <v>1825</v>
      </c>
      <c r="I687" s="736">
        <v>15486</v>
      </c>
      <c r="J687" s="735" t="s">
        <v>1599</v>
      </c>
      <c r="K687" s="737">
        <v>3890</v>
      </c>
      <c r="L687" s="744">
        <f t="shared" si="51"/>
        <v>10323.6</v>
      </c>
      <c r="M687" s="739">
        <v>14213.6</v>
      </c>
      <c r="N687" s="843">
        <v>10472.950000000001</v>
      </c>
      <c r="O687" s="710">
        <f t="shared" si="52"/>
        <v>74.357945000000001</v>
      </c>
      <c r="P687" s="711">
        <f t="shared" si="53"/>
        <v>2.32368578125</v>
      </c>
      <c r="Q687" s="712">
        <f t="shared" si="54"/>
        <v>162184.10370000001</v>
      </c>
    </row>
    <row r="688" spans="1:17" ht="15.75" customHeight="1">
      <c r="A688" s="722" t="s">
        <v>2530</v>
      </c>
      <c r="B688" s="723">
        <v>45224</v>
      </c>
      <c r="C688" s="724" t="s">
        <v>1597</v>
      </c>
      <c r="D688" s="724" t="s">
        <v>1598</v>
      </c>
      <c r="E688" s="725">
        <v>11.9</v>
      </c>
      <c r="F688" s="722" t="s">
        <v>1599</v>
      </c>
      <c r="G688" s="722" t="s">
        <v>1600</v>
      </c>
      <c r="H688" s="722" t="s">
        <v>1815</v>
      </c>
      <c r="I688" s="727">
        <v>17387</v>
      </c>
      <c r="J688" s="726" t="s">
        <v>1599</v>
      </c>
      <c r="K688" s="728">
        <v>3830</v>
      </c>
      <c r="L688" s="743">
        <f t="shared" si="51"/>
        <v>18134.16</v>
      </c>
      <c r="M688" s="730">
        <v>21964.16</v>
      </c>
      <c r="N688" s="842">
        <v>15814.32</v>
      </c>
      <c r="O688" s="710">
        <f t="shared" si="52"/>
        <v>188.19040799999999</v>
      </c>
      <c r="P688" s="711">
        <f t="shared" si="53"/>
        <v>5.8809502499999997</v>
      </c>
      <c r="Q688" s="712">
        <f t="shared" si="54"/>
        <v>274963.58184</v>
      </c>
    </row>
    <row r="689" spans="1:17" ht="15.75" customHeight="1">
      <c r="A689" s="731" t="s">
        <v>2531</v>
      </c>
      <c r="B689" s="732">
        <v>45224</v>
      </c>
      <c r="C689" s="733" t="s">
        <v>1597</v>
      </c>
      <c r="D689" s="733" t="s">
        <v>1598</v>
      </c>
      <c r="E689" s="734">
        <v>6.2</v>
      </c>
      <c r="F689" s="731" t="s">
        <v>1599</v>
      </c>
      <c r="G689" s="731" t="s">
        <v>1600</v>
      </c>
      <c r="H689" s="731" t="s">
        <v>1815</v>
      </c>
      <c r="I689" s="736">
        <v>17387</v>
      </c>
      <c r="J689" s="735" t="s">
        <v>1599</v>
      </c>
      <c r="K689" s="737">
        <v>3860</v>
      </c>
      <c r="L689" s="744">
        <f t="shared" si="51"/>
        <v>19095.28</v>
      </c>
      <c r="M689" s="739">
        <v>22955.279999999999</v>
      </c>
      <c r="N689" s="843">
        <v>16791.82</v>
      </c>
      <c r="O689" s="710">
        <f t="shared" si="52"/>
        <v>104.109284</v>
      </c>
      <c r="P689" s="711">
        <f t="shared" si="53"/>
        <v>3.2534151250000001</v>
      </c>
      <c r="Q689" s="712">
        <f t="shared" si="54"/>
        <v>291959.37433999998</v>
      </c>
    </row>
    <row r="690" spans="1:17" ht="15.75" customHeight="1">
      <c r="A690" s="722" t="s">
        <v>2532</v>
      </c>
      <c r="B690" s="723">
        <v>45215</v>
      </c>
      <c r="C690" s="724" t="s">
        <v>1597</v>
      </c>
      <c r="D690" s="724" t="s">
        <v>1598</v>
      </c>
      <c r="E690" s="725">
        <v>3.6</v>
      </c>
      <c r="F690" s="722" t="s">
        <v>1599</v>
      </c>
      <c r="G690" s="722" t="s">
        <v>1600</v>
      </c>
      <c r="H690" s="722" t="s">
        <v>2043</v>
      </c>
      <c r="I690" s="727">
        <v>4220</v>
      </c>
      <c r="J690" s="726" t="s">
        <v>1599</v>
      </c>
      <c r="K690" s="728">
        <v>2210</v>
      </c>
      <c r="L690" s="743">
        <f t="shared" si="51"/>
        <v>5640</v>
      </c>
      <c r="M690" s="730">
        <v>7850</v>
      </c>
      <c r="N690" s="842">
        <v>4491.6400000000003</v>
      </c>
      <c r="O690" s="710">
        <f t="shared" si="52"/>
        <v>16.169904000000002</v>
      </c>
      <c r="P690" s="711">
        <f t="shared" si="53"/>
        <v>0.50530950000000008</v>
      </c>
      <c r="Q690" s="712">
        <f t="shared" si="54"/>
        <v>18954.720799999999</v>
      </c>
    </row>
    <row r="691" spans="1:17" ht="15.75" customHeight="1">
      <c r="A691" s="731" t="s">
        <v>2533</v>
      </c>
      <c r="B691" s="732">
        <v>45218</v>
      </c>
      <c r="C691" s="733" t="s">
        <v>1597</v>
      </c>
      <c r="D691" s="733" t="s">
        <v>1598</v>
      </c>
      <c r="E691" s="734">
        <v>6.5</v>
      </c>
      <c r="F691" s="731" t="s">
        <v>1599</v>
      </c>
      <c r="G691" s="731" t="s">
        <v>1600</v>
      </c>
      <c r="H691" s="731" t="s">
        <v>1801</v>
      </c>
      <c r="I691" s="736">
        <v>9292</v>
      </c>
      <c r="J691" s="735" t="s">
        <v>1599</v>
      </c>
      <c r="K691" s="737">
        <v>2230</v>
      </c>
      <c r="L691" s="744">
        <f t="shared" si="51"/>
        <v>14805</v>
      </c>
      <c r="M691" s="739">
        <v>17035</v>
      </c>
      <c r="N691" s="843">
        <v>14226</v>
      </c>
      <c r="O691" s="710">
        <f t="shared" si="52"/>
        <v>92.468999999999994</v>
      </c>
      <c r="P691" s="711">
        <f t="shared" si="53"/>
        <v>2.8896562499999998</v>
      </c>
      <c r="Q691" s="712">
        <f t="shared" si="54"/>
        <v>132187.992</v>
      </c>
    </row>
    <row r="692" spans="1:17" ht="15.75" customHeight="1">
      <c r="A692" s="722" t="s">
        <v>2534</v>
      </c>
      <c r="B692" s="723">
        <v>45226</v>
      </c>
      <c r="C692" s="724" t="s">
        <v>1597</v>
      </c>
      <c r="D692" s="724" t="s">
        <v>1598</v>
      </c>
      <c r="E692" s="725">
        <v>4.0999999999999996</v>
      </c>
      <c r="F692" s="722" t="s">
        <v>1599</v>
      </c>
      <c r="G692" s="722" t="s">
        <v>1600</v>
      </c>
      <c r="H692" s="722" t="s">
        <v>1850</v>
      </c>
      <c r="I692" s="727">
        <v>9687</v>
      </c>
      <c r="J692" s="726" t="s">
        <v>1599</v>
      </c>
      <c r="K692" s="728">
        <v>2200</v>
      </c>
      <c r="L692" s="743">
        <f t="shared" si="51"/>
        <v>5777</v>
      </c>
      <c r="M692" s="730">
        <v>7977</v>
      </c>
      <c r="N692" s="842">
        <v>4550</v>
      </c>
      <c r="O692" s="710">
        <f t="shared" si="52"/>
        <v>18.655000000000001</v>
      </c>
      <c r="P692" s="711">
        <f t="shared" si="53"/>
        <v>0.58296875000000004</v>
      </c>
      <c r="Q692" s="712">
        <f t="shared" si="54"/>
        <v>44075.85</v>
      </c>
    </row>
    <row r="693" spans="1:17" ht="15.75" customHeight="1">
      <c r="A693" s="731" t="s">
        <v>2535</v>
      </c>
      <c r="B693" s="732">
        <v>45216</v>
      </c>
      <c r="C693" s="733" t="s">
        <v>1597</v>
      </c>
      <c r="D693" s="733" t="s">
        <v>1598</v>
      </c>
      <c r="E693" s="734">
        <v>11.9</v>
      </c>
      <c r="F693" s="731" t="s">
        <v>1599</v>
      </c>
      <c r="G693" s="731" t="s">
        <v>1600</v>
      </c>
      <c r="H693" s="731" t="s">
        <v>2536</v>
      </c>
      <c r="I693" s="736">
        <v>3943</v>
      </c>
      <c r="J693" s="735" t="s">
        <v>1599</v>
      </c>
      <c r="K693" s="737">
        <v>3900</v>
      </c>
      <c r="L693" s="744">
        <f t="shared" si="51"/>
        <v>13492.599999999999</v>
      </c>
      <c r="M693" s="739">
        <v>17392.599999999999</v>
      </c>
      <c r="N693" s="843">
        <v>10281.6</v>
      </c>
      <c r="O693" s="710">
        <f t="shared" si="52"/>
        <v>122.35104000000001</v>
      </c>
      <c r="P693" s="711">
        <f t="shared" si="53"/>
        <v>3.8234700000000004</v>
      </c>
      <c r="Q693" s="712">
        <f t="shared" si="54"/>
        <v>40540.348800000007</v>
      </c>
    </row>
    <row r="694" spans="1:17" ht="15.75" customHeight="1">
      <c r="A694" s="722" t="s">
        <v>2537</v>
      </c>
      <c r="B694" s="723">
        <v>45219</v>
      </c>
      <c r="C694" s="724" t="s">
        <v>1597</v>
      </c>
      <c r="D694" s="724" t="s">
        <v>1598</v>
      </c>
      <c r="E694" s="725">
        <v>11.9</v>
      </c>
      <c r="F694" s="722" t="s">
        <v>1599</v>
      </c>
      <c r="G694" s="722" t="s">
        <v>1600</v>
      </c>
      <c r="H694" s="722" t="s">
        <v>2536</v>
      </c>
      <c r="I694" s="727">
        <v>3943</v>
      </c>
      <c r="J694" s="726" t="s">
        <v>1599</v>
      </c>
      <c r="K694" s="728">
        <v>3830</v>
      </c>
      <c r="L694" s="743">
        <f t="shared" si="51"/>
        <v>13491.599999999999</v>
      </c>
      <c r="M694" s="730">
        <v>17321.599999999999</v>
      </c>
      <c r="N694" s="842">
        <v>10281.6</v>
      </c>
      <c r="O694" s="710">
        <f t="shared" si="52"/>
        <v>122.35104000000001</v>
      </c>
      <c r="P694" s="711">
        <f t="shared" si="53"/>
        <v>3.8234700000000004</v>
      </c>
      <c r="Q694" s="712">
        <f t="shared" si="54"/>
        <v>40540.348800000007</v>
      </c>
    </row>
    <row r="695" spans="1:17" ht="15.75" customHeight="1">
      <c r="A695" s="731" t="s">
        <v>2538</v>
      </c>
      <c r="B695" s="732">
        <v>45223</v>
      </c>
      <c r="C695" s="733" t="s">
        <v>1597</v>
      </c>
      <c r="D695" s="733" t="s">
        <v>1598</v>
      </c>
      <c r="E695" s="734">
        <v>11.9</v>
      </c>
      <c r="F695" s="731" t="s">
        <v>1599</v>
      </c>
      <c r="G695" s="731" t="s">
        <v>1600</v>
      </c>
      <c r="H695" s="731" t="s">
        <v>2539</v>
      </c>
      <c r="I695" s="736">
        <v>2687</v>
      </c>
      <c r="J695" s="735" t="s">
        <v>1599</v>
      </c>
      <c r="K695" s="737">
        <v>3830</v>
      </c>
      <c r="L695" s="744">
        <f t="shared" ref="L695:L715" si="55">M695-K695</f>
        <v>13491.599999999999</v>
      </c>
      <c r="M695" s="739">
        <v>17321.599999999999</v>
      </c>
      <c r="N695" s="843">
        <v>10281.6</v>
      </c>
      <c r="O695" s="710">
        <f t="shared" si="52"/>
        <v>122.35104000000001</v>
      </c>
      <c r="P695" s="711">
        <f t="shared" si="53"/>
        <v>3.8234700000000004</v>
      </c>
      <c r="Q695" s="712">
        <f t="shared" si="54"/>
        <v>27626.659199999998</v>
      </c>
    </row>
    <row r="696" spans="1:17" ht="15.75" customHeight="1">
      <c r="A696" s="722" t="s">
        <v>2540</v>
      </c>
      <c r="B696" s="723">
        <v>45224</v>
      </c>
      <c r="C696" s="724" t="s">
        <v>1597</v>
      </c>
      <c r="D696" s="724" t="s">
        <v>1598</v>
      </c>
      <c r="E696" s="725">
        <v>11.9</v>
      </c>
      <c r="F696" s="722" t="s">
        <v>1599</v>
      </c>
      <c r="G696" s="722" t="s">
        <v>1600</v>
      </c>
      <c r="H696" s="722" t="s">
        <v>1798</v>
      </c>
      <c r="I696" s="727">
        <v>1931</v>
      </c>
      <c r="J696" s="726" t="s">
        <v>1599</v>
      </c>
      <c r="K696" s="728">
        <v>5293</v>
      </c>
      <c r="L696" s="743">
        <f t="shared" si="55"/>
        <v>891</v>
      </c>
      <c r="M696" s="730">
        <v>6184</v>
      </c>
      <c r="N696" s="842">
        <v>5293</v>
      </c>
      <c r="O696" s="710">
        <f t="shared" si="52"/>
        <v>62.986700000000006</v>
      </c>
      <c r="P696" s="711">
        <f t="shared" si="53"/>
        <v>1.9683343750000002</v>
      </c>
      <c r="Q696" s="712">
        <f t="shared" si="54"/>
        <v>10220.782999999999</v>
      </c>
    </row>
    <row r="697" spans="1:17" ht="15.75" customHeight="1">
      <c r="A697" s="731" t="s">
        <v>2541</v>
      </c>
      <c r="B697" s="732">
        <v>45227</v>
      </c>
      <c r="C697" s="733" t="s">
        <v>1597</v>
      </c>
      <c r="D697" s="733" t="s">
        <v>1598</v>
      </c>
      <c r="E697" s="734">
        <v>6.5</v>
      </c>
      <c r="F697" s="731" t="s">
        <v>1599</v>
      </c>
      <c r="G697" s="731" t="s">
        <v>1600</v>
      </c>
      <c r="H697" s="731" t="s">
        <v>1884</v>
      </c>
      <c r="I697" s="736">
        <v>13413</v>
      </c>
      <c r="J697" s="735" t="s">
        <v>1599</v>
      </c>
      <c r="K697" s="737">
        <v>3700</v>
      </c>
      <c r="L697" s="744">
        <f t="shared" si="55"/>
        <v>9714.5</v>
      </c>
      <c r="M697" s="739">
        <v>13414.5</v>
      </c>
      <c r="N697" s="843">
        <v>6937.5</v>
      </c>
      <c r="O697" s="710">
        <f t="shared" si="52"/>
        <v>45.09375</v>
      </c>
      <c r="P697" s="711">
        <f t="shared" si="53"/>
        <v>1.4091796875</v>
      </c>
      <c r="Q697" s="712">
        <f t="shared" si="54"/>
        <v>93052.6875</v>
      </c>
    </row>
    <row r="698" spans="1:17" ht="15.75" customHeight="1">
      <c r="A698" s="722" t="s">
        <v>2542</v>
      </c>
      <c r="B698" s="723">
        <v>45230</v>
      </c>
      <c r="C698" s="724" t="s">
        <v>1597</v>
      </c>
      <c r="D698" s="724" t="s">
        <v>1598</v>
      </c>
      <c r="E698" s="725">
        <v>11.9</v>
      </c>
      <c r="F698" s="722" t="s">
        <v>1599</v>
      </c>
      <c r="G698" s="722" t="s">
        <v>1600</v>
      </c>
      <c r="H698" s="722" t="s">
        <v>2539</v>
      </c>
      <c r="I698" s="727">
        <v>2687</v>
      </c>
      <c r="J698" s="726" t="s">
        <v>1599</v>
      </c>
      <c r="K698" s="728">
        <v>3620</v>
      </c>
      <c r="L698" s="743">
        <f t="shared" si="55"/>
        <v>13492.599999999999</v>
      </c>
      <c r="M698" s="730">
        <v>17112.599999999999</v>
      </c>
      <c r="N698" s="841">
        <v>10281.6</v>
      </c>
      <c r="O698" s="710">
        <f t="shared" si="52"/>
        <v>122.35104000000001</v>
      </c>
      <c r="P698" s="711">
        <f t="shared" si="53"/>
        <v>3.8234700000000004</v>
      </c>
      <c r="Q698" s="712">
        <f t="shared" si="54"/>
        <v>27626.659199999998</v>
      </c>
    </row>
    <row r="699" spans="1:17" ht="15.75" customHeight="1">
      <c r="A699" s="731" t="s">
        <v>2543</v>
      </c>
      <c r="B699" s="732">
        <v>45230</v>
      </c>
      <c r="C699" s="733" t="s">
        <v>1597</v>
      </c>
      <c r="D699" s="733" t="s">
        <v>1598</v>
      </c>
      <c r="E699" s="734">
        <v>6.2</v>
      </c>
      <c r="F699" s="731" t="s">
        <v>1599</v>
      </c>
      <c r="G699" s="731" t="s">
        <v>1600</v>
      </c>
      <c r="H699" s="731" t="s">
        <v>1836</v>
      </c>
      <c r="I699" s="736">
        <v>14544</v>
      </c>
      <c r="J699" s="735" t="s">
        <v>1599</v>
      </c>
      <c r="K699" s="737">
        <v>3870</v>
      </c>
      <c r="L699" s="744">
        <f t="shared" si="55"/>
        <v>15719.150000000001</v>
      </c>
      <c r="M699" s="739">
        <v>19589.150000000001</v>
      </c>
      <c r="N699" s="843">
        <v>12460.53</v>
      </c>
      <c r="O699" s="710">
        <f t="shared" si="52"/>
        <v>77.255286000000012</v>
      </c>
      <c r="P699" s="711">
        <f t="shared" si="53"/>
        <v>2.4142276875000004</v>
      </c>
      <c r="Q699" s="712">
        <f t="shared" si="54"/>
        <v>181225.94832000002</v>
      </c>
    </row>
    <row r="700" spans="1:17" ht="15.75" customHeight="1">
      <c r="A700" s="722" t="s">
        <v>2544</v>
      </c>
      <c r="B700" s="723">
        <v>45226</v>
      </c>
      <c r="C700" s="724" t="s">
        <v>1597</v>
      </c>
      <c r="D700" s="724" t="s">
        <v>1598</v>
      </c>
      <c r="E700" s="725">
        <v>6</v>
      </c>
      <c r="F700" s="722" t="s">
        <v>1599</v>
      </c>
      <c r="G700" s="722" t="s">
        <v>1600</v>
      </c>
      <c r="H700" s="722" t="s">
        <v>1844</v>
      </c>
      <c r="I700" s="727">
        <v>5727</v>
      </c>
      <c r="J700" s="726" t="s">
        <v>1599</v>
      </c>
      <c r="K700" s="728">
        <v>2185</v>
      </c>
      <c r="L700" s="743">
        <f t="shared" si="55"/>
        <v>6823.5300000000007</v>
      </c>
      <c r="M700" s="730">
        <v>9008.5300000000007</v>
      </c>
      <c r="N700" s="842">
        <v>5744.38</v>
      </c>
      <c r="O700" s="710">
        <f t="shared" si="52"/>
        <v>34.466279999999998</v>
      </c>
      <c r="P700" s="711">
        <f t="shared" si="53"/>
        <v>1.0770712499999999</v>
      </c>
      <c r="Q700" s="712">
        <f t="shared" si="54"/>
        <v>32898.064259999999</v>
      </c>
    </row>
    <row r="701" spans="1:17" ht="15.75" customHeight="1">
      <c r="A701" s="731" t="s">
        <v>2545</v>
      </c>
      <c r="B701" s="732">
        <v>45215</v>
      </c>
      <c r="C701" s="733" t="s">
        <v>1597</v>
      </c>
      <c r="D701" s="733" t="s">
        <v>1598</v>
      </c>
      <c r="E701" s="734">
        <v>6</v>
      </c>
      <c r="F701" s="731" t="s">
        <v>1599</v>
      </c>
      <c r="G701" s="731" t="s">
        <v>1600</v>
      </c>
      <c r="H701" s="731" t="s">
        <v>1833</v>
      </c>
      <c r="I701" s="736">
        <v>4795</v>
      </c>
      <c r="J701" s="735" t="s">
        <v>1599</v>
      </c>
      <c r="K701" s="737">
        <v>2150</v>
      </c>
      <c r="L701" s="744">
        <f t="shared" si="55"/>
        <v>3764.29</v>
      </c>
      <c r="M701" s="739">
        <v>5914.29</v>
      </c>
      <c r="N701" s="843">
        <v>2762.28</v>
      </c>
      <c r="O701" s="710">
        <f t="shared" si="52"/>
        <v>16.57368</v>
      </c>
      <c r="P701" s="711">
        <f t="shared" si="53"/>
        <v>0.51792749999999999</v>
      </c>
      <c r="Q701" s="712">
        <f t="shared" si="54"/>
        <v>13245.132600000001</v>
      </c>
    </row>
    <row r="702" spans="1:17" ht="15.75" customHeight="1">
      <c r="A702" s="722" t="s">
        <v>2546</v>
      </c>
      <c r="B702" s="723">
        <v>45218</v>
      </c>
      <c r="C702" s="724" t="s">
        <v>1597</v>
      </c>
      <c r="D702" s="724" t="s">
        <v>1598</v>
      </c>
      <c r="E702" s="725">
        <v>6.5</v>
      </c>
      <c r="F702" s="722" t="s">
        <v>1599</v>
      </c>
      <c r="G702" s="722" t="s">
        <v>1600</v>
      </c>
      <c r="H702" s="722" t="s">
        <v>1822</v>
      </c>
      <c r="I702" s="727">
        <v>13787</v>
      </c>
      <c r="J702" s="726" t="s">
        <v>1599</v>
      </c>
      <c r="K702" s="728">
        <v>3700</v>
      </c>
      <c r="L702" s="743">
        <f t="shared" si="55"/>
        <v>9602</v>
      </c>
      <c r="M702" s="730">
        <v>13302</v>
      </c>
      <c r="N702" s="842">
        <v>5376</v>
      </c>
      <c r="O702" s="710">
        <f t="shared" si="52"/>
        <v>34.944000000000003</v>
      </c>
      <c r="P702" s="711">
        <f t="shared" si="53"/>
        <v>1.0920000000000001</v>
      </c>
      <c r="Q702" s="712">
        <f t="shared" si="54"/>
        <v>74118.911999999997</v>
      </c>
    </row>
    <row r="703" spans="1:17" ht="15.75" customHeight="1">
      <c r="A703" s="731" t="s">
        <v>2547</v>
      </c>
      <c r="B703" s="732">
        <v>45219</v>
      </c>
      <c r="C703" s="733" t="s">
        <v>1597</v>
      </c>
      <c r="D703" s="733" t="s">
        <v>1598</v>
      </c>
      <c r="E703" s="734">
        <v>6</v>
      </c>
      <c r="F703" s="731" t="s">
        <v>1599</v>
      </c>
      <c r="G703" s="731" t="s">
        <v>1600</v>
      </c>
      <c r="H703" s="731" t="s">
        <v>2548</v>
      </c>
      <c r="I703" s="736">
        <v>4353</v>
      </c>
      <c r="J703" s="735" t="s">
        <v>1599</v>
      </c>
      <c r="K703" s="737">
        <v>3820</v>
      </c>
      <c r="L703" s="744">
        <f t="shared" si="55"/>
        <v>13491.599999999999</v>
      </c>
      <c r="M703" s="739">
        <v>17311.599999999999</v>
      </c>
      <c r="N703" s="843">
        <v>10281.6</v>
      </c>
      <c r="O703" s="710">
        <f t="shared" si="52"/>
        <v>61.689600000000006</v>
      </c>
      <c r="P703" s="711">
        <f t="shared" si="53"/>
        <v>1.9278000000000002</v>
      </c>
      <c r="Q703" s="712">
        <f t="shared" si="54"/>
        <v>44755.804800000005</v>
      </c>
    </row>
    <row r="704" spans="1:17" ht="15.75" customHeight="1">
      <c r="A704" s="759" t="s">
        <v>2549</v>
      </c>
      <c r="B704" s="723">
        <v>45237</v>
      </c>
      <c r="C704" s="724" t="s">
        <v>1597</v>
      </c>
      <c r="D704" s="724" t="s">
        <v>1598</v>
      </c>
      <c r="E704" s="725">
        <v>5.8</v>
      </c>
      <c r="F704" s="722" t="s">
        <v>1599</v>
      </c>
      <c r="G704" s="722" t="s">
        <v>1600</v>
      </c>
      <c r="H704" s="722" t="s">
        <v>1841</v>
      </c>
      <c r="I704" s="727">
        <v>9486</v>
      </c>
      <c r="J704" s="726" t="s">
        <v>1599</v>
      </c>
      <c r="K704" s="728">
        <v>3900</v>
      </c>
      <c r="L704" s="743">
        <f t="shared" si="55"/>
        <v>19324.5</v>
      </c>
      <c r="M704" s="741">
        <v>23224.5</v>
      </c>
      <c r="N704" s="842">
        <v>14807.72</v>
      </c>
      <c r="O704" s="710">
        <f t="shared" si="52"/>
        <v>85.884776000000002</v>
      </c>
      <c r="P704" s="711">
        <f t="shared" si="53"/>
        <v>2.6838992500000001</v>
      </c>
      <c r="Q704" s="712">
        <f t="shared" si="54"/>
        <v>140466.03191999998</v>
      </c>
    </row>
    <row r="705" spans="1:17" ht="15.75" customHeight="1">
      <c r="A705" s="760" t="s">
        <v>2550</v>
      </c>
      <c r="B705" s="732">
        <v>45237</v>
      </c>
      <c r="C705" s="733" t="s">
        <v>1597</v>
      </c>
      <c r="D705" s="733" t="s">
        <v>1598</v>
      </c>
      <c r="E705" s="734">
        <v>5.8</v>
      </c>
      <c r="F705" s="731" t="s">
        <v>1599</v>
      </c>
      <c r="G705" s="731" t="s">
        <v>1600</v>
      </c>
      <c r="H705" s="731" t="s">
        <v>1841</v>
      </c>
      <c r="I705" s="736">
        <v>9486</v>
      </c>
      <c r="J705" s="735" t="s">
        <v>1599</v>
      </c>
      <c r="K705" s="737">
        <v>3830</v>
      </c>
      <c r="L705" s="744">
        <f t="shared" si="55"/>
        <v>21039.599999999999</v>
      </c>
      <c r="M705" s="737">
        <v>24869.599999999999</v>
      </c>
      <c r="N705" s="843">
        <v>16092.98</v>
      </c>
      <c r="O705" s="710">
        <f t="shared" si="52"/>
        <v>93.339284000000006</v>
      </c>
      <c r="P705" s="711">
        <f t="shared" si="53"/>
        <v>2.9168526250000002</v>
      </c>
      <c r="Q705" s="712">
        <f t="shared" si="54"/>
        <v>152658.00828000001</v>
      </c>
    </row>
    <row r="706" spans="1:17" ht="15.75" customHeight="1">
      <c r="A706" s="759" t="s">
        <v>2551</v>
      </c>
      <c r="B706" s="723">
        <v>45237</v>
      </c>
      <c r="C706" s="724" t="s">
        <v>1597</v>
      </c>
      <c r="D706" s="724" t="s">
        <v>1598</v>
      </c>
      <c r="E706" s="725">
        <v>5.8</v>
      </c>
      <c r="F706" s="722" t="s">
        <v>1599</v>
      </c>
      <c r="G706" s="722" t="s">
        <v>1600</v>
      </c>
      <c r="H706" s="722" t="s">
        <v>1841</v>
      </c>
      <c r="I706" s="727">
        <v>9486</v>
      </c>
      <c r="J706" s="726" t="s">
        <v>1599</v>
      </c>
      <c r="K706" s="728">
        <v>3830</v>
      </c>
      <c r="L706" s="743">
        <f t="shared" si="55"/>
        <v>17656.900000000001</v>
      </c>
      <c r="M706" s="741">
        <v>21486.9</v>
      </c>
      <c r="N706" s="842">
        <v>14193.56</v>
      </c>
      <c r="O706" s="710">
        <f t="shared" si="52"/>
        <v>82.322648000000001</v>
      </c>
      <c r="P706" s="711">
        <f t="shared" si="53"/>
        <v>2.57258275</v>
      </c>
      <c r="Q706" s="712">
        <f t="shared" si="54"/>
        <v>134640.11015999998</v>
      </c>
    </row>
    <row r="707" spans="1:17" ht="15.75" customHeight="1">
      <c r="A707" s="760" t="s">
        <v>2552</v>
      </c>
      <c r="B707" s="732">
        <v>45236</v>
      </c>
      <c r="C707" s="733" t="s">
        <v>1597</v>
      </c>
      <c r="D707" s="733" t="s">
        <v>1598</v>
      </c>
      <c r="E707" s="734">
        <v>6.2</v>
      </c>
      <c r="F707" s="731" t="s">
        <v>1599</v>
      </c>
      <c r="G707" s="731" t="s">
        <v>1600</v>
      </c>
      <c r="H707" s="731" t="s">
        <v>1807</v>
      </c>
      <c r="I707" s="736">
        <v>1734</v>
      </c>
      <c r="J707" s="735" t="s">
        <v>1599</v>
      </c>
      <c r="K707" s="737">
        <v>3650</v>
      </c>
      <c r="L707" s="744">
        <f t="shared" si="55"/>
        <v>12058.1</v>
      </c>
      <c r="M707" s="742">
        <v>15708.1</v>
      </c>
      <c r="N707" s="843">
        <v>9256.7999999999993</v>
      </c>
      <c r="O707" s="710">
        <f t="shared" si="52"/>
        <v>57.392159999999997</v>
      </c>
      <c r="P707" s="711">
        <f t="shared" si="53"/>
        <v>1.7935049999999999</v>
      </c>
      <c r="Q707" s="712">
        <f t="shared" si="54"/>
        <v>16051.2912</v>
      </c>
    </row>
    <row r="708" spans="1:17" ht="15.75" customHeight="1">
      <c r="A708" s="759" t="s">
        <v>2553</v>
      </c>
      <c r="B708" s="723">
        <v>45232</v>
      </c>
      <c r="C708" s="724" t="s">
        <v>1597</v>
      </c>
      <c r="D708" s="724" t="s">
        <v>1598</v>
      </c>
      <c r="E708" s="725">
        <v>11.9</v>
      </c>
      <c r="F708" s="724" t="s">
        <v>1599</v>
      </c>
      <c r="G708" s="724" t="s">
        <v>1600</v>
      </c>
      <c r="H708" s="722" t="s">
        <v>1912</v>
      </c>
      <c r="I708" s="727">
        <v>4929</v>
      </c>
      <c r="J708" s="753" t="s">
        <v>1599</v>
      </c>
      <c r="K708" s="728">
        <v>3640</v>
      </c>
      <c r="L708" s="743">
        <f t="shared" si="55"/>
        <v>15631.7</v>
      </c>
      <c r="M708" s="741">
        <v>19271.7</v>
      </c>
      <c r="N708" s="842">
        <v>14031.23</v>
      </c>
      <c r="O708" s="710">
        <f t="shared" si="52"/>
        <v>166.97163699999999</v>
      </c>
      <c r="P708" s="711">
        <f t="shared" si="53"/>
        <v>5.2178636562499996</v>
      </c>
      <c r="Q708" s="712">
        <f t="shared" si="54"/>
        <v>69159.932669999995</v>
      </c>
    </row>
    <row r="709" spans="1:17" ht="15.75" customHeight="1">
      <c r="A709" s="760" t="s">
        <v>2554</v>
      </c>
      <c r="B709" s="732">
        <v>45232</v>
      </c>
      <c r="C709" s="733" t="s">
        <v>1597</v>
      </c>
      <c r="D709" s="733" t="s">
        <v>1598</v>
      </c>
      <c r="E709" s="734">
        <v>11.9</v>
      </c>
      <c r="F709" s="731" t="s">
        <v>1599</v>
      </c>
      <c r="G709" s="731" t="s">
        <v>1600</v>
      </c>
      <c r="H709" s="731" t="s">
        <v>1912</v>
      </c>
      <c r="I709" s="736">
        <v>4929</v>
      </c>
      <c r="J709" s="735" t="s">
        <v>1599</v>
      </c>
      <c r="K709" s="737">
        <v>3640</v>
      </c>
      <c r="L709" s="744">
        <f t="shared" si="55"/>
        <v>12675</v>
      </c>
      <c r="M709" s="742">
        <v>16315</v>
      </c>
      <c r="N709" s="843">
        <v>10099.799999999999</v>
      </c>
      <c r="O709" s="710">
        <f t="shared" si="52"/>
        <v>120.18762</v>
      </c>
      <c r="P709" s="711">
        <f t="shared" si="53"/>
        <v>3.7558631249999999</v>
      </c>
      <c r="Q709" s="712">
        <f t="shared" si="54"/>
        <v>49781.914199999992</v>
      </c>
    </row>
    <row r="710" spans="1:17" ht="15.75" customHeight="1">
      <c r="A710" s="759" t="s">
        <v>2555</v>
      </c>
      <c r="B710" s="723">
        <v>45239</v>
      </c>
      <c r="C710" s="724" t="s">
        <v>1597</v>
      </c>
      <c r="D710" s="724" t="s">
        <v>1598</v>
      </c>
      <c r="E710" s="725">
        <v>6.2</v>
      </c>
      <c r="F710" s="722" t="s">
        <v>1599</v>
      </c>
      <c r="G710" s="722" t="s">
        <v>1600</v>
      </c>
      <c r="H710" s="722" t="s">
        <v>1815</v>
      </c>
      <c r="I710" s="727">
        <v>17387</v>
      </c>
      <c r="J710" s="726" t="s">
        <v>1599</v>
      </c>
      <c r="K710" s="728">
        <v>3870</v>
      </c>
      <c r="L710" s="743">
        <f t="shared" si="55"/>
        <v>17889.580000000002</v>
      </c>
      <c r="M710" s="741">
        <v>21759.58</v>
      </c>
      <c r="N710" s="842">
        <v>15350.84</v>
      </c>
      <c r="O710" s="710">
        <f t="shared" ref="O710:O773" si="56">N710*E710/1000</f>
        <v>95.175207999999998</v>
      </c>
      <c r="P710" s="711">
        <f t="shared" ref="P710:P773" si="57">O710/32</f>
        <v>2.9742252499999999</v>
      </c>
      <c r="Q710" s="712">
        <f t="shared" ref="Q710:Q773" si="58">N710*I710/1000</f>
        <v>266905.05508000002</v>
      </c>
    </row>
    <row r="711" spans="1:17" ht="15.75" customHeight="1">
      <c r="A711" s="760" t="s">
        <v>2556</v>
      </c>
      <c r="B711" s="732">
        <v>45239</v>
      </c>
      <c r="C711" s="733" t="s">
        <v>1597</v>
      </c>
      <c r="D711" s="733" t="s">
        <v>1598</v>
      </c>
      <c r="E711" s="734">
        <v>6.2</v>
      </c>
      <c r="F711" s="731" t="s">
        <v>1599</v>
      </c>
      <c r="G711" s="731" t="s">
        <v>1600</v>
      </c>
      <c r="H711" s="731" t="s">
        <v>1815</v>
      </c>
      <c r="I711" s="736">
        <v>17387</v>
      </c>
      <c r="J711" s="735" t="s">
        <v>1599</v>
      </c>
      <c r="K711" s="737">
        <v>3700</v>
      </c>
      <c r="L711" s="744">
        <f t="shared" si="55"/>
        <v>18137.150000000001</v>
      </c>
      <c r="M711" s="742">
        <v>21837.15</v>
      </c>
      <c r="N711" s="843">
        <v>15547.19</v>
      </c>
      <c r="O711" s="710">
        <f t="shared" si="56"/>
        <v>96.392578000000015</v>
      </c>
      <c r="P711" s="711">
        <f t="shared" si="57"/>
        <v>3.0122680625000005</v>
      </c>
      <c r="Q711" s="712">
        <f t="shared" si="58"/>
        <v>270318.99253000005</v>
      </c>
    </row>
    <row r="712" spans="1:17" ht="15.75" customHeight="1">
      <c r="A712" s="759" t="s">
        <v>2557</v>
      </c>
      <c r="B712" s="723">
        <v>45240</v>
      </c>
      <c r="C712" s="724" t="s">
        <v>1597</v>
      </c>
      <c r="D712" s="724" t="s">
        <v>1598</v>
      </c>
      <c r="E712" s="725">
        <v>10.199999999999999</v>
      </c>
      <c r="F712" s="722" t="s">
        <v>1599</v>
      </c>
      <c r="G712" s="722" t="s">
        <v>1600</v>
      </c>
      <c r="H712" s="722" t="s">
        <v>1818</v>
      </c>
      <c r="I712" s="727">
        <v>14000</v>
      </c>
      <c r="J712" s="726" t="s">
        <v>1599</v>
      </c>
      <c r="K712" s="728">
        <v>3840</v>
      </c>
      <c r="L712" s="743">
        <f t="shared" si="55"/>
        <v>17601.740000000002</v>
      </c>
      <c r="M712" s="741">
        <v>21441.74</v>
      </c>
      <c r="N712" s="842">
        <v>15351.92</v>
      </c>
      <c r="O712" s="710">
        <f t="shared" si="56"/>
        <v>156.589584</v>
      </c>
      <c r="P712" s="711">
        <f t="shared" si="57"/>
        <v>4.8934245000000001</v>
      </c>
      <c r="Q712" s="712">
        <f t="shared" si="58"/>
        <v>214926.88</v>
      </c>
    </row>
    <row r="713" spans="1:17" ht="15.75" customHeight="1">
      <c r="A713" s="760" t="s">
        <v>2558</v>
      </c>
      <c r="B713" s="732">
        <v>45238</v>
      </c>
      <c r="C713" s="733" t="s">
        <v>1597</v>
      </c>
      <c r="D713" s="733" t="s">
        <v>1598</v>
      </c>
      <c r="E713" s="734">
        <v>11.9</v>
      </c>
      <c r="F713" s="731" t="s">
        <v>1599</v>
      </c>
      <c r="G713" s="731" t="s">
        <v>1600</v>
      </c>
      <c r="H713" s="731" t="s">
        <v>1831</v>
      </c>
      <c r="I713" s="736">
        <v>7283</v>
      </c>
      <c r="J713" s="735" t="s">
        <v>1599</v>
      </c>
      <c r="K713" s="737">
        <v>3640</v>
      </c>
      <c r="L713" s="744">
        <f t="shared" si="55"/>
        <v>23982</v>
      </c>
      <c r="M713" s="742">
        <v>27622</v>
      </c>
      <c r="N713" s="843">
        <v>20039</v>
      </c>
      <c r="O713" s="710">
        <f t="shared" si="56"/>
        <v>238.4641</v>
      </c>
      <c r="P713" s="711">
        <f t="shared" si="57"/>
        <v>7.4520031250000001</v>
      </c>
      <c r="Q713" s="712">
        <f t="shared" si="58"/>
        <v>145944.03700000001</v>
      </c>
    </row>
    <row r="714" spans="1:17" ht="15.75" customHeight="1">
      <c r="A714" s="759" t="s">
        <v>2559</v>
      </c>
      <c r="B714" s="723">
        <v>45239</v>
      </c>
      <c r="C714" s="724" t="s">
        <v>1597</v>
      </c>
      <c r="D714" s="724" t="s">
        <v>1598</v>
      </c>
      <c r="E714" s="725">
        <v>11.9</v>
      </c>
      <c r="F714" s="722" t="s">
        <v>1599</v>
      </c>
      <c r="G714" s="722" t="s">
        <v>1600</v>
      </c>
      <c r="H714" s="722" t="s">
        <v>1831</v>
      </c>
      <c r="I714" s="727">
        <v>7283</v>
      </c>
      <c r="J714" s="726" t="s">
        <v>1599</v>
      </c>
      <c r="K714" s="728">
        <v>3740</v>
      </c>
      <c r="L714" s="743">
        <f t="shared" si="55"/>
        <v>23902</v>
      </c>
      <c r="M714" s="728">
        <v>27642</v>
      </c>
      <c r="N714" s="842">
        <v>19612</v>
      </c>
      <c r="O714" s="710">
        <f t="shared" si="56"/>
        <v>233.38280000000003</v>
      </c>
      <c r="P714" s="711">
        <f t="shared" si="57"/>
        <v>7.293212500000001</v>
      </c>
      <c r="Q714" s="712">
        <f t="shared" si="58"/>
        <v>142834.196</v>
      </c>
    </row>
    <row r="715" spans="1:17" ht="15.75" customHeight="1">
      <c r="A715" s="760" t="s">
        <v>2560</v>
      </c>
      <c r="B715" s="732">
        <v>45239</v>
      </c>
      <c r="C715" s="733" t="s">
        <v>1597</v>
      </c>
      <c r="D715" s="733" t="s">
        <v>1598</v>
      </c>
      <c r="E715" s="734">
        <v>11.9</v>
      </c>
      <c r="F715" s="731" t="s">
        <v>1599</v>
      </c>
      <c r="G715" s="731" t="s">
        <v>1600</v>
      </c>
      <c r="H715" s="731" t="s">
        <v>1831</v>
      </c>
      <c r="I715" s="736">
        <v>7283</v>
      </c>
      <c r="J715" s="735" t="s">
        <v>1599</v>
      </c>
      <c r="K715" s="737">
        <v>3625</v>
      </c>
      <c r="L715" s="744">
        <f t="shared" si="55"/>
        <v>24014.5</v>
      </c>
      <c r="M715" s="737">
        <v>27639.5</v>
      </c>
      <c r="N715" s="843">
        <v>21094</v>
      </c>
      <c r="O715" s="710">
        <f t="shared" si="56"/>
        <v>251.01859999999999</v>
      </c>
      <c r="P715" s="711">
        <f t="shared" si="57"/>
        <v>7.8443312499999998</v>
      </c>
      <c r="Q715" s="712">
        <f t="shared" si="58"/>
        <v>153627.60200000001</v>
      </c>
    </row>
    <row r="716" spans="1:17" ht="15.75" customHeight="1">
      <c r="A716" s="722" t="s">
        <v>2561</v>
      </c>
      <c r="B716" s="723">
        <v>45598</v>
      </c>
      <c r="C716" s="724" t="s">
        <v>1597</v>
      </c>
      <c r="D716" s="724"/>
      <c r="E716" s="725"/>
      <c r="F716" s="722"/>
      <c r="G716" s="722" t="s">
        <v>1600</v>
      </c>
      <c r="H716" s="722" t="s">
        <v>1798</v>
      </c>
      <c r="I716" s="727">
        <v>1931</v>
      </c>
      <c r="J716" s="726"/>
      <c r="K716" s="728">
        <v>4119.88</v>
      </c>
      <c r="L716" s="743">
        <v>1330.98</v>
      </c>
      <c r="M716" s="741">
        <v>5450.86</v>
      </c>
      <c r="N716" s="842">
        <v>4119.88</v>
      </c>
      <c r="O716" s="710">
        <f t="shared" si="56"/>
        <v>0</v>
      </c>
      <c r="P716" s="711">
        <f t="shared" si="57"/>
        <v>0</v>
      </c>
      <c r="Q716" s="712">
        <f t="shared" si="58"/>
        <v>7955.4882800000005</v>
      </c>
    </row>
    <row r="717" spans="1:17" ht="15.75" customHeight="1">
      <c r="A717" s="760" t="s">
        <v>2562</v>
      </c>
      <c r="B717" s="732">
        <v>45246</v>
      </c>
      <c r="C717" s="733" t="s">
        <v>1597</v>
      </c>
      <c r="D717" s="733" t="s">
        <v>1598</v>
      </c>
      <c r="E717" s="734">
        <v>6.5</v>
      </c>
      <c r="F717" s="731" t="s">
        <v>1599</v>
      </c>
      <c r="G717" s="731" t="s">
        <v>1600</v>
      </c>
      <c r="H717" s="731" t="s">
        <v>1854</v>
      </c>
      <c r="I717" s="736">
        <v>8865</v>
      </c>
      <c r="J717" s="735" t="s">
        <v>1599</v>
      </c>
      <c r="K717" s="737">
        <v>2220</v>
      </c>
      <c r="L717" s="744">
        <f t="shared" ref="L717:L764" si="59">M717-K717</f>
        <v>14157</v>
      </c>
      <c r="M717" s="742">
        <v>16377</v>
      </c>
      <c r="N717" s="843">
        <v>12925.5</v>
      </c>
      <c r="O717" s="710">
        <f t="shared" si="56"/>
        <v>84.015749999999997</v>
      </c>
      <c r="P717" s="711">
        <f t="shared" si="57"/>
        <v>2.6254921874999999</v>
      </c>
      <c r="Q717" s="712">
        <f t="shared" si="58"/>
        <v>114584.5575</v>
      </c>
    </row>
    <row r="718" spans="1:17" ht="15.75" customHeight="1">
      <c r="A718" s="759" t="s">
        <v>2563</v>
      </c>
      <c r="B718" s="723">
        <v>45236</v>
      </c>
      <c r="C718" s="724" t="s">
        <v>1597</v>
      </c>
      <c r="D718" s="724" t="s">
        <v>1598</v>
      </c>
      <c r="E718" s="725">
        <v>7.1</v>
      </c>
      <c r="F718" s="722" t="s">
        <v>1599</v>
      </c>
      <c r="G718" s="722" t="s">
        <v>1600</v>
      </c>
      <c r="H718" s="722" t="s">
        <v>1809</v>
      </c>
      <c r="I718" s="727">
        <v>15168</v>
      </c>
      <c r="J718" s="726" t="s">
        <v>1599</v>
      </c>
      <c r="K718" s="728">
        <v>3910</v>
      </c>
      <c r="L718" s="743">
        <f t="shared" si="59"/>
        <v>20824.599999999999</v>
      </c>
      <c r="M718" s="741">
        <v>24734.6</v>
      </c>
      <c r="N718" s="842">
        <v>15523.2</v>
      </c>
      <c r="O718" s="710">
        <f t="shared" si="56"/>
        <v>110.21472</v>
      </c>
      <c r="P718" s="711">
        <f t="shared" si="57"/>
        <v>3.44421</v>
      </c>
      <c r="Q718" s="712">
        <f t="shared" si="58"/>
        <v>235455.89760000003</v>
      </c>
    </row>
    <row r="719" spans="1:17" ht="15.75" customHeight="1">
      <c r="A719" s="760" t="s">
        <v>2564</v>
      </c>
      <c r="B719" s="732">
        <v>45237</v>
      </c>
      <c r="C719" s="733" t="s">
        <v>1597</v>
      </c>
      <c r="D719" s="733" t="s">
        <v>1598</v>
      </c>
      <c r="E719" s="734">
        <v>7.1</v>
      </c>
      <c r="F719" s="731" t="s">
        <v>1599</v>
      </c>
      <c r="G719" s="731" t="s">
        <v>1600</v>
      </c>
      <c r="H719" s="731" t="s">
        <v>1809</v>
      </c>
      <c r="I719" s="736">
        <v>15168</v>
      </c>
      <c r="J719" s="735" t="s">
        <v>1599</v>
      </c>
      <c r="K719" s="737">
        <v>3860</v>
      </c>
      <c r="L719" s="744">
        <f t="shared" si="59"/>
        <v>20224.2</v>
      </c>
      <c r="M719" s="742">
        <v>24084.2</v>
      </c>
      <c r="N719" s="843">
        <v>16320</v>
      </c>
      <c r="O719" s="710">
        <f t="shared" si="56"/>
        <v>115.872</v>
      </c>
      <c r="P719" s="711">
        <f t="shared" si="57"/>
        <v>3.621</v>
      </c>
      <c r="Q719" s="712">
        <f t="shared" si="58"/>
        <v>247541.76000000001</v>
      </c>
    </row>
    <row r="720" spans="1:17" ht="15.75" customHeight="1">
      <c r="A720" s="759" t="s">
        <v>2565</v>
      </c>
      <c r="B720" s="723">
        <v>45236</v>
      </c>
      <c r="C720" s="724" t="s">
        <v>1597</v>
      </c>
      <c r="D720" s="724" t="s">
        <v>1598</v>
      </c>
      <c r="E720" s="725">
        <v>7.1</v>
      </c>
      <c r="F720" s="722" t="s">
        <v>1599</v>
      </c>
      <c r="G720" s="722" t="s">
        <v>1600</v>
      </c>
      <c r="H720" s="722" t="s">
        <v>1836</v>
      </c>
      <c r="I720" s="727">
        <v>14544</v>
      </c>
      <c r="J720" s="726" t="s">
        <v>1599</v>
      </c>
      <c r="K720" s="728">
        <v>3800</v>
      </c>
      <c r="L720" s="743">
        <f t="shared" si="59"/>
        <v>16362.8</v>
      </c>
      <c r="M720" s="741">
        <v>20162.8</v>
      </c>
      <c r="N720" s="842">
        <v>14035</v>
      </c>
      <c r="O720" s="710">
        <f t="shared" si="56"/>
        <v>99.648499999999999</v>
      </c>
      <c r="P720" s="711">
        <f t="shared" si="57"/>
        <v>3.114015625</v>
      </c>
      <c r="Q720" s="712">
        <f t="shared" si="58"/>
        <v>204125.04</v>
      </c>
    </row>
    <row r="721" spans="1:17" ht="15.75" customHeight="1">
      <c r="A721" s="760" t="s">
        <v>2566</v>
      </c>
      <c r="B721" s="732">
        <v>45237</v>
      </c>
      <c r="C721" s="733" t="s">
        <v>1597</v>
      </c>
      <c r="D721" s="733" t="s">
        <v>1598</v>
      </c>
      <c r="E721" s="734">
        <v>4.0999999999999996</v>
      </c>
      <c r="F721" s="731" t="s">
        <v>1599</v>
      </c>
      <c r="G721" s="731" t="s">
        <v>1600</v>
      </c>
      <c r="H721" s="731" t="s">
        <v>1822</v>
      </c>
      <c r="I721" s="736">
        <v>13787</v>
      </c>
      <c r="J721" s="735" t="s">
        <v>1599</v>
      </c>
      <c r="K721" s="737">
        <v>3700</v>
      </c>
      <c r="L721" s="744">
        <f t="shared" si="59"/>
        <v>16362.8</v>
      </c>
      <c r="M721" s="742">
        <v>20062.8</v>
      </c>
      <c r="N721" s="843">
        <v>14035</v>
      </c>
      <c r="O721" s="710">
        <f t="shared" si="56"/>
        <v>57.543499999999995</v>
      </c>
      <c r="P721" s="711">
        <f t="shared" si="57"/>
        <v>1.7982343749999998</v>
      </c>
      <c r="Q721" s="712">
        <f t="shared" si="58"/>
        <v>193500.54500000001</v>
      </c>
    </row>
    <row r="722" spans="1:17" ht="15.75" customHeight="1">
      <c r="A722" s="759" t="s">
        <v>2567</v>
      </c>
      <c r="B722" s="723">
        <v>45246</v>
      </c>
      <c r="C722" s="724" t="s">
        <v>1597</v>
      </c>
      <c r="D722" s="724" t="s">
        <v>1598</v>
      </c>
      <c r="E722" s="725">
        <v>6.2</v>
      </c>
      <c r="F722" s="722" t="s">
        <v>1599</v>
      </c>
      <c r="G722" s="722" t="s">
        <v>1600</v>
      </c>
      <c r="H722" s="722" t="s">
        <v>1815</v>
      </c>
      <c r="I722" s="727">
        <v>17387</v>
      </c>
      <c r="J722" s="726" t="s">
        <v>1599</v>
      </c>
      <c r="K722" s="728">
        <v>3700</v>
      </c>
      <c r="L722" s="743">
        <f t="shared" si="59"/>
        <v>18179.96</v>
      </c>
      <c r="M722" s="741">
        <v>21879.96</v>
      </c>
      <c r="N722" s="842">
        <v>15644.64</v>
      </c>
      <c r="O722" s="710">
        <f t="shared" si="56"/>
        <v>96.996768000000003</v>
      </c>
      <c r="P722" s="711">
        <f t="shared" si="57"/>
        <v>3.0311490000000001</v>
      </c>
      <c r="Q722" s="712">
        <f t="shared" si="58"/>
        <v>272013.35567999998</v>
      </c>
    </row>
    <row r="723" spans="1:17" ht="15.75" customHeight="1">
      <c r="A723" s="760" t="s">
        <v>2568</v>
      </c>
      <c r="B723" s="732">
        <v>45246</v>
      </c>
      <c r="C723" s="733" t="s">
        <v>1597</v>
      </c>
      <c r="D723" s="733" t="s">
        <v>1598</v>
      </c>
      <c r="E723" s="734">
        <v>6.2</v>
      </c>
      <c r="F723" s="731" t="s">
        <v>1599</v>
      </c>
      <c r="G723" s="731" t="s">
        <v>1600</v>
      </c>
      <c r="H723" s="731" t="s">
        <v>1815</v>
      </c>
      <c r="I723" s="736">
        <v>17387</v>
      </c>
      <c r="J723" s="735" t="s">
        <v>1599</v>
      </c>
      <c r="K723" s="737">
        <v>3900</v>
      </c>
      <c r="L723" s="744">
        <f t="shared" si="59"/>
        <v>18539.82</v>
      </c>
      <c r="M723" s="742">
        <v>22439.82</v>
      </c>
      <c r="N723" s="843">
        <v>15857.96</v>
      </c>
      <c r="O723" s="710">
        <f t="shared" si="56"/>
        <v>98.319351999999995</v>
      </c>
      <c r="P723" s="711">
        <f t="shared" si="57"/>
        <v>3.0724797499999998</v>
      </c>
      <c r="Q723" s="712">
        <f t="shared" si="58"/>
        <v>275722.35051999998</v>
      </c>
    </row>
    <row r="724" spans="1:17" ht="15.75" customHeight="1">
      <c r="A724" s="759" t="s">
        <v>2569</v>
      </c>
      <c r="B724" s="723">
        <v>45238</v>
      </c>
      <c r="C724" s="724" t="s">
        <v>1597</v>
      </c>
      <c r="D724" s="724" t="s">
        <v>1598</v>
      </c>
      <c r="E724" s="725">
        <v>7.1</v>
      </c>
      <c r="F724" s="722" t="s">
        <v>1599</v>
      </c>
      <c r="G724" s="722" t="s">
        <v>1600</v>
      </c>
      <c r="H724" s="722" t="s">
        <v>1880</v>
      </c>
      <c r="I724" s="727">
        <v>13558</v>
      </c>
      <c r="J724" s="726" t="s">
        <v>1599</v>
      </c>
      <c r="K724" s="728">
        <v>3700</v>
      </c>
      <c r="L724" s="743">
        <f t="shared" si="59"/>
        <v>16362.8</v>
      </c>
      <c r="M724" s="741">
        <v>20062.8</v>
      </c>
      <c r="N724" s="842">
        <v>14035</v>
      </c>
      <c r="O724" s="710">
        <f t="shared" si="56"/>
        <v>99.648499999999999</v>
      </c>
      <c r="P724" s="711">
        <f t="shared" si="57"/>
        <v>3.114015625</v>
      </c>
      <c r="Q724" s="712">
        <f t="shared" si="58"/>
        <v>190286.53</v>
      </c>
    </row>
    <row r="725" spans="1:17" ht="15.75" customHeight="1">
      <c r="A725" s="760" t="s">
        <v>2570</v>
      </c>
      <c r="B725" s="732">
        <v>45241</v>
      </c>
      <c r="C725" s="733" t="s">
        <v>1597</v>
      </c>
      <c r="D725" s="733" t="s">
        <v>1598</v>
      </c>
      <c r="E725" s="734">
        <v>6.5</v>
      </c>
      <c r="F725" s="731" t="s">
        <v>1599</v>
      </c>
      <c r="G725" s="731" t="s">
        <v>1600</v>
      </c>
      <c r="H725" s="731" t="s">
        <v>1884</v>
      </c>
      <c r="I725" s="736">
        <v>13413</v>
      </c>
      <c r="J725" s="735" t="s">
        <v>1599</v>
      </c>
      <c r="K725" s="737">
        <v>3700</v>
      </c>
      <c r="L725" s="744">
        <f t="shared" si="59"/>
        <v>16362.8</v>
      </c>
      <c r="M725" s="742">
        <v>20062.8</v>
      </c>
      <c r="N725" s="843">
        <v>14035</v>
      </c>
      <c r="O725" s="710">
        <f t="shared" si="56"/>
        <v>91.227500000000006</v>
      </c>
      <c r="P725" s="711">
        <f t="shared" si="57"/>
        <v>2.8508593750000002</v>
      </c>
      <c r="Q725" s="712">
        <f t="shared" si="58"/>
        <v>188251.45499999999</v>
      </c>
    </row>
    <row r="726" spans="1:17" ht="15.75" customHeight="1">
      <c r="A726" s="759" t="s">
        <v>2571</v>
      </c>
      <c r="B726" s="723">
        <v>45238</v>
      </c>
      <c r="C726" s="724" t="s">
        <v>1597</v>
      </c>
      <c r="D726" s="724" t="s">
        <v>1598</v>
      </c>
      <c r="E726" s="725">
        <v>7.1</v>
      </c>
      <c r="F726" s="722" t="s">
        <v>1599</v>
      </c>
      <c r="G726" s="722" t="s">
        <v>1600</v>
      </c>
      <c r="H726" s="722" t="s">
        <v>1886</v>
      </c>
      <c r="I726" s="727">
        <v>13877</v>
      </c>
      <c r="J726" s="726" t="s">
        <v>1599</v>
      </c>
      <c r="K726" s="728">
        <v>3840</v>
      </c>
      <c r="L726" s="743">
        <f t="shared" si="59"/>
        <v>19599.5</v>
      </c>
      <c r="M726" s="741">
        <v>23439.5</v>
      </c>
      <c r="N726" s="842">
        <v>15795</v>
      </c>
      <c r="O726" s="710">
        <f t="shared" si="56"/>
        <v>112.14449999999999</v>
      </c>
      <c r="P726" s="711">
        <f t="shared" si="57"/>
        <v>3.5045156249999998</v>
      </c>
      <c r="Q726" s="712">
        <f t="shared" si="58"/>
        <v>219187.215</v>
      </c>
    </row>
    <row r="727" spans="1:17" ht="15.75" customHeight="1">
      <c r="A727" s="760" t="s">
        <v>2572</v>
      </c>
      <c r="B727" s="732">
        <v>45240</v>
      </c>
      <c r="C727" s="733" t="s">
        <v>1597</v>
      </c>
      <c r="D727" s="733" t="s">
        <v>1598</v>
      </c>
      <c r="E727" s="734">
        <v>6.2</v>
      </c>
      <c r="F727" s="731" t="s">
        <v>1599</v>
      </c>
      <c r="G727" s="731" t="s">
        <v>1600</v>
      </c>
      <c r="H727" s="731" t="s">
        <v>1886</v>
      </c>
      <c r="I727" s="736">
        <v>13877</v>
      </c>
      <c r="J727" s="735" t="s">
        <v>1599</v>
      </c>
      <c r="K727" s="737">
        <v>3840</v>
      </c>
      <c r="L727" s="744">
        <f t="shared" si="59"/>
        <v>9774.2000000000007</v>
      </c>
      <c r="M727" s="742">
        <v>13614.2</v>
      </c>
      <c r="N727" s="843">
        <v>6917.4</v>
      </c>
      <c r="O727" s="710">
        <f t="shared" si="56"/>
        <v>42.887879999999996</v>
      </c>
      <c r="P727" s="711">
        <f t="shared" si="57"/>
        <v>1.3402462499999999</v>
      </c>
      <c r="Q727" s="712">
        <f t="shared" si="58"/>
        <v>95992.7598</v>
      </c>
    </row>
    <row r="728" spans="1:17" ht="15.75" customHeight="1">
      <c r="A728" s="759" t="s">
        <v>2573</v>
      </c>
      <c r="B728" s="723">
        <v>45237</v>
      </c>
      <c r="C728" s="724" t="s">
        <v>1597</v>
      </c>
      <c r="D728" s="724" t="s">
        <v>1598</v>
      </c>
      <c r="E728" s="725">
        <v>6.5</v>
      </c>
      <c r="F728" s="722" t="s">
        <v>1599</v>
      </c>
      <c r="G728" s="722" t="s">
        <v>1600</v>
      </c>
      <c r="H728" s="722" t="s">
        <v>1825</v>
      </c>
      <c r="I728" s="727">
        <v>15486</v>
      </c>
      <c r="J728" s="726" t="s">
        <v>1599</v>
      </c>
      <c r="K728" s="728">
        <v>3700</v>
      </c>
      <c r="L728" s="743">
        <f t="shared" si="59"/>
        <v>10487</v>
      </c>
      <c r="M728" s="741">
        <v>14187</v>
      </c>
      <c r="N728" s="842">
        <v>7830</v>
      </c>
      <c r="O728" s="710">
        <f t="shared" si="56"/>
        <v>50.895000000000003</v>
      </c>
      <c r="P728" s="711">
        <f t="shared" si="57"/>
        <v>1.5904687500000001</v>
      </c>
      <c r="Q728" s="712">
        <f t="shared" si="58"/>
        <v>121255.38</v>
      </c>
    </row>
    <row r="729" spans="1:17" ht="15.75" customHeight="1">
      <c r="A729" s="760" t="s">
        <v>2574</v>
      </c>
      <c r="B729" s="732">
        <v>45238</v>
      </c>
      <c r="C729" s="733" t="s">
        <v>1597</v>
      </c>
      <c r="D729" s="733" t="s">
        <v>1598</v>
      </c>
      <c r="E729" s="734">
        <v>11.9</v>
      </c>
      <c r="F729" s="731" t="s">
        <v>1599</v>
      </c>
      <c r="G729" s="731" t="s">
        <v>1600</v>
      </c>
      <c r="H729" s="731" t="s">
        <v>1825</v>
      </c>
      <c r="I729" s="736">
        <v>15486</v>
      </c>
      <c r="J729" s="735" t="s">
        <v>1599</v>
      </c>
      <c r="K729" s="737">
        <v>3840</v>
      </c>
      <c r="L729" s="744">
        <f t="shared" si="59"/>
        <v>8632.5</v>
      </c>
      <c r="M729" s="742">
        <v>12472.5</v>
      </c>
      <c r="N729" s="843">
        <v>5936.1</v>
      </c>
      <c r="O729" s="710">
        <f t="shared" si="56"/>
        <v>70.639590000000013</v>
      </c>
      <c r="P729" s="711">
        <f t="shared" si="57"/>
        <v>2.2074871875000004</v>
      </c>
      <c r="Q729" s="712">
        <f t="shared" si="58"/>
        <v>91926.444600000003</v>
      </c>
    </row>
    <row r="730" spans="1:17" ht="15.75" customHeight="1">
      <c r="A730" s="759" t="s">
        <v>2575</v>
      </c>
      <c r="B730" s="723">
        <v>45247</v>
      </c>
      <c r="C730" s="724" t="s">
        <v>1597</v>
      </c>
      <c r="D730" s="724" t="s">
        <v>1598</v>
      </c>
      <c r="E730" s="725">
        <v>10.199999999999999</v>
      </c>
      <c r="F730" s="722" t="s">
        <v>1599</v>
      </c>
      <c r="G730" s="722" t="s">
        <v>1600</v>
      </c>
      <c r="H730" s="722" t="s">
        <v>1941</v>
      </c>
      <c r="I730" s="727">
        <v>1588</v>
      </c>
      <c r="J730" s="726" t="s">
        <v>1599</v>
      </c>
      <c r="K730" s="728">
        <v>3700</v>
      </c>
      <c r="L730" s="743">
        <f t="shared" si="59"/>
        <v>9755.75</v>
      </c>
      <c r="M730" s="741">
        <v>13455.75</v>
      </c>
      <c r="N730" s="842">
        <v>6885.95</v>
      </c>
      <c r="O730" s="710">
        <f t="shared" si="56"/>
        <v>70.236689999999982</v>
      </c>
      <c r="P730" s="711">
        <f t="shared" si="57"/>
        <v>2.1948965624999994</v>
      </c>
      <c r="Q730" s="712">
        <f t="shared" si="58"/>
        <v>10934.8886</v>
      </c>
    </row>
    <row r="731" spans="1:17" ht="15.75" customHeight="1">
      <c r="A731" s="760" t="s">
        <v>2576</v>
      </c>
      <c r="B731" s="732">
        <v>45246</v>
      </c>
      <c r="C731" s="733" t="s">
        <v>1597</v>
      </c>
      <c r="D731" s="733" t="s">
        <v>1598</v>
      </c>
      <c r="E731" s="734">
        <v>6</v>
      </c>
      <c r="F731" s="731" t="s">
        <v>1599</v>
      </c>
      <c r="G731" s="731" t="s">
        <v>1600</v>
      </c>
      <c r="H731" s="731" t="s">
        <v>1818</v>
      </c>
      <c r="I731" s="736">
        <v>14000</v>
      </c>
      <c r="J731" s="735" t="s">
        <v>1599</v>
      </c>
      <c r="K731" s="737">
        <v>3700</v>
      </c>
      <c r="L731" s="744">
        <f t="shared" si="59"/>
        <v>18449.29</v>
      </c>
      <c r="M731" s="742">
        <v>22149.29</v>
      </c>
      <c r="N731" s="843">
        <v>16007.49</v>
      </c>
      <c r="O731" s="710">
        <f t="shared" si="56"/>
        <v>96.044939999999997</v>
      </c>
      <c r="P731" s="711">
        <f t="shared" si="57"/>
        <v>3.0014043749999999</v>
      </c>
      <c r="Q731" s="712">
        <f t="shared" si="58"/>
        <v>224104.86</v>
      </c>
    </row>
    <row r="732" spans="1:17" ht="15.75" customHeight="1">
      <c r="A732" s="759" t="s">
        <v>2577</v>
      </c>
      <c r="B732" s="723">
        <v>45246</v>
      </c>
      <c r="C732" s="724" t="s">
        <v>1597</v>
      </c>
      <c r="D732" s="724" t="s">
        <v>1598</v>
      </c>
      <c r="E732" s="725">
        <v>6</v>
      </c>
      <c r="F732" s="722" t="s">
        <v>1599</v>
      </c>
      <c r="G732" s="722" t="s">
        <v>1600</v>
      </c>
      <c r="H732" s="722" t="s">
        <v>1818</v>
      </c>
      <c r="I732" s="727">
        <v>14000</v>
      </c>
      <c r="J732" s="726" t="s">
        <v>1599</v>
      </c>
      <c r="K732" s="728">
        <v>3700</v>
      </c>
      <c r="L732" s="743">
        <f t="shared" si="59"/>
        <v>17723.259999999998</v>
      </c>
      <c r="M732" s="741">
        <v>21423.26</v>
      </c>
      <c r="N732" s="842">
        <v>15479.3</v>
      </c>
      <c r="O732" s="710">
        <f t="shared" si="56"/>
        <v>92.875799999999984</v>
      </c>
      <c r="P732" s="711">
        <f t="shared" si="57"/>
        <v>2.9023687499999995</v>
      </c>
      <c r="Q732" s="712">
        <f t="shared" si="58"/>
        <v>216710.2</v>
      </c>
    </row>
    <row r="733" spans="1:17" ht="15.75" customHeight="1">
      <c r="A733" s="760" t="s">
        <v>2578</v>
      </c>
      <c r="B733" s="732">
        <v>45245</v>
      </c>
      <c r="C733" s="733" t="s">
        <v>1597</v>
      </c>
      <c r="D733" s="733" t="s">
        <v>1598</v>
      </c>
      <c r="E733" s="734">
        <v>7.1</v>
      </c>
      <c r="F733" s="731" t="s">
        <v>1599</v>
      </c>
      <c r="G733" s="731" t="s">
        <v>1600</v>
      </c>
      <c r="H733" s="731" t="s">
        <v>1850</v>
      </c>
      <c r="I733" s="736">
        <v>9687</v>
      </c>
      <c r="J733" s="735" t="s">
        <v>1599</v>
      </c>
      <c r="K733" s="737">
        <v>3640</v>
      </c>
      <c r="L733" s="744">
        <f t="shared" si="59"/>
        <v>25027</v>
      </c>
      <c r="M733" s="737">
        <v>28667</v>
      </c>
      <c r="N733" s="843">
        <v>23842</v>
      </c>
      <c r="O733" s="710">
        <f t="shared" si="56"/>
        <v>169.27819999999997</v>
      </c>
      <c r="P733" s="711">
        <f t="shared" si="57"/>
        <v>5.2899437499999991</v>
      </c>
      <c r="Q733" s="712">
        <f t="shared" si="58"/>
        <v>230957.454</v>
      </c>
    </row>
    <row r="734" spans="1:17" ht="15.75" customHeight="1">
      <c r="A734" s="759" t="s">
        <v>2579</v>
      </c>
      <c r="B734" s="723">
        <v>45258</v>
      </c>
      <c r="C734" s="724" t="s">
        <v>1597</v>
      </c>
      <c r="D734" s="724" t="s">
        <v>1598</v>
      </c>
      <c r="E734" s="725">
        <v>6.5</v>
      </c>
      <c r="F734" s="722" t="s">
        <v>1599</v>
      </c>
      <c r="G734" s="722" t="s">
        <v>1600</v>
      </c>
      <c r="H734" s="722" t="s">
        <v>1809</v>
      </c>
      <c r="I734" s="727">
        <v>15168</v>
      </c>
      <c r="J734" s="726" t="s">
        <v>1599</v>
      </c>
      <c r="K734" s="728">
        <v>3700</v>
      </c>
      <c r="L734" s="743">
        <f t="shared" si="59"/>
        <v>20224.2</v>
      </c>
      <c r="M734" s="741">
        <v>23924.2</v>
      </c>
      <c r="N734" s="842">
        <v>16320</v>
      </c>
      <c r="O734" s="710">
        <f t="shared" si="56"/>
        <v>106.08</v>
      </c>
      <c r="P734" s="711">
        <f t="shared" si="57"/>
        <v>3.3149999999999999</v>
      </c>
      <c r="Q734" s="712">
        <f t="shared" si="58"/>
        <v>247541.76000000001</v>
      </c>
    </row>
    <row r="735" spans="1:17" ht="15.75" customHeight="1">
      <c r="A735" s="760" t="s">
        <v>2580</v>
      </c>
      <c r="B735" s="732">
        <v>45245</v>
      </c>
      <c r="C735" s="733" t="s">
        <v>1597</v>
      </c>
      <c r="D735" s="733" t="s">
        <v>1598</v>
      </c>
      <c r="E735" s="734">
        <v>6.5</v>
      </c>
      <c r="F735" s="731" t="s">
        <v>1599</v>
      </c>
      <c r="G735" s="731" t="s">
        <v>1600</v>
      </c>
      <c r="H735" s="731" t="s">
        <v>1828</v>
      </c>
      <c r="I735" s="736">
        <v>7448</v>
      </c>
      <c r="J735" s="735" t="s">
        <v>1599</v>
      </c>
      <c r="K735" s="737">
        <v>3700</v>
      </c>
      <c r="L735" s="744">
        <f t="shared" si="59"/>
        <v>20702</v>
      </c>
      <c r="M735" s="742">
        <v>24402</v>
      </c>
      <c r="N735" s="843">
        <v>16560</v>
      </c>
      <c r="O735" s="710">
        <f t="shared" si="56"/>
        <v>107.64</v>
      </c>
      <c r="P735" s="711">
        <f t="shared" si="57"/>
        <v>3.36375</v>
      </c>
      <c r="Q735" s="712">
        <f t="shared" si="58"/>
        <v>123338.88</v>
      </c>
    </row>
    <row r="736" spans="1:17" ht="15.75" customHeight="1">
      <c r="A736" s="759" t="s">
        <v>2581</v>
      </c>
      <c r="B736" s="723">
        <v>45245</v>
      </c>
      <c r="C736" s="724" t="s">
        <v>1597</v>
      </c>
      <c r="D736" s="724" t="s">
        <v>1598</v>
      </c>
      <c r="E736" s="725">
        <v>6.5</v>
      </c>
      <c r="F736" s="722" t="s">
        <v>1599</v>
      </c>
      <c r="G736" s="722" t="s">
        <v>1600</v>
      </c>
      <c r="H736" s="722" t="s">
        <v>1828</v>
      </c>
      <c r="I736" s="727">
        <v>7448</v>
      </c>
      <c r="J736" s="726" t="s">
        <v>1599</v>
      </c>
      <c r="K736" s="728">
        <v>3740</v>
      </c>
      <c r="L736" s="743">
        <f t="shared" si="59"/>
        <v>24012</v>
      </c>
      <c r="M736" s="741">
        <v>27752</v>
      </c>
      <c r="N736" s="842">
        <v>19795.5</v>
      </c>
      <c r="O736" s="710">
        <f t="shared" si="56"/>
        <v>128.67075</v>
      </c>
      <c r="P736" s="711">
        <f t="shared" si="57"/>
        <v>4.0209609374999999</v>
      </c>
      <c r="Q736" s="712">
        <f t="shared" si="58"/>
        <v>147436.88399999999</v>
      </c>
    </row>
    <row r="737" spans="1:17" ht="15.75" customHeight="1">
      <c r="A737" s="760" t="s">
        <v>2582</v>
      </c>
      <c r="B737" s="732">
        <v>45244</v>
      </c>
      <c r="C737" s="733" t="s">
        <v>1597</v>
      </c>
      <c r="D737" s="733" t="s">
        <v>1598</v>
      </c>
      <c r="E737" s="734">
        <v>6.5</v>
      </c>
      <c r="F737" s="731" t="s">
        <v>1599</v>
      </c>
      <c r="G737" s="731" t="s">
        <v>1600</v>
      </c>
      <c r="H737" s="731" t="s">
        <v>1828</v>
      </c>
      <c r="I737" s="736">
        <v>7448</v>
      </c>
      <c r="J737" s="735" t="s">
        <v>1599</v>
      </c>
      <c r="K737" s="737">
        <v>3700</v>
      </c>
      <c r="L737" s="744">
        <f t="shared" si="59"/>
        <v>33977</v>
      </c>
      <c r="M737" s="742">
        <v>37677</v>
      </c>
      <c r="N737" s="843">
        <v>21097</v>
      </c>
      <c r="O737" s="710">
        <f t="shared" si="56"/>
        <v>137.13050000000001</v>
      </c>
      <c r="P737" s="711">
        <f t="shared" si="57"/>
        <v>4.2853281250000004</v>
      </c>
      <c r="Q737" s="712">
        <f t="shared" si="58"/>
        <v>157130.45600000001</v>
      </c>
    </row>
    <row r="738" spans="1:17" ht="15.75" customHeight="1">
      <c r="A738" s="759" t="s">
        <v>2583</v>
      </c>
      <c r="B738" s="723">
        <v>45244</v>
      </c>
      <c r="C738" s="724" t="s">
        <v>1597</v>
      </c>
      <c r="D738" s="724" t="s">
        <v>1598</v>
      </c>
      <c r="E738" s="725">
        <v>7.1</v>
      </c>
      <c r="F738" s="722" t="s">
        <v>1599</v>
      </c>
      <c r="G738" s="722" t="s">
        <v>1600</v>
      </c>
      <c r="H738" s="722" t="s">
        <v>1886</v>
      </c>
      <c r="I738" s="727">
        <v>13877</v>
      </c>
      <c r="J738" s="726" t="s">
        <v>1599</v>
      </c>
      <c r="K738" s="728">
        <v>3700</v>
      </c>
      <c r="L738" s="743">
        <f t="shared" si="59"/>
        <v>10726</v>
      </c>
      <c r="M738" s="741">
        <v>14426</v>
      </c>
      <c r="N738" s="842">
        <v>23842</v>
      </c>
      <c r="O738" s="710">
        <f t="shared" si="56"/>
        <v>169.27819999999997</v>
      </c>
      <c r="P738" s="711">
        <f t="shared" si="57"/>
        <v>5.2899437499999991</v>
      </c>
      <c r="Q738" s="712">
        <f t="shared" si="58"/>
        <v>330855.43400000001</v>
      </c>
    </row>
    <row r="739" spans="1:17" ht="15.75" customHeight="1">
      <c r="A739" s="760" t="s">
        <v>2584</v>
      </c>
      <c r="B739" s="732">
        <v>45244</v>
      </c>
      <c r="C739" s="733" t="s">
        <v>1597</v>
      </c>
      <c r="D739" s="733" t="s">
        <v>1598</v>
      </c>
      <c r="E739" s="734">
        <v>7.1</v>
      </c>
      <c r="F739" s="731" t="s">
        <v>1599</v>
      </c>
      <c r="G739" s="731" t="s">
        <v>1600</v>
      </c>
      <c r="H739" s="731" t="s">
        <v>1886</v>
      </c>
      <c r="I739" s="736">
        <v>13877</v>
      </c>
      <c r="J739" s="735" t="s">
        <v>1599</v>
      </c>
      <c r="K739" s="737">
        <v>3840</v>
      </c>
      <c r="L739" s="744">
        <f t="shared" si="59"/>
        <v>10189.799999999999</v>
      </c>
      <c r="M739" s="742">
        <v>14029.8</v>
      </c>
      <c r="N739" s="843">
        <v>7660</v>
      </c>
      <c r="O739" s="710">
        <f t="shared" si="56"/>
        <v>54.386000000000003</v>
      </c>
      <c r="P739" s="711">
        <f t="shared" si="57"/>
        <v>1.6995625000000001</v>
      </c>
      <c r="Q739" s="712">
        <f t="shared" si="58"/>
        <v>106297.82</v>
      </c>
    </row>
    <row r="740" spans="1:17" ht="15.75" customHeight="1">
      <c r="A740" s="759" t="s">
        <v>2585</v>
      </c>
      <c r="B740" s="723">
        <v>45243</v>
      </c>
      <c r="C740" s="724" t="s">
        <v>1597</v>
      </c>
      <c r="D740" s="724" t="s">
        <v>1598</v>
      </c>
      <c r="E740" s="725">
        <v>7.1</v>
      </c>
      <c r="F740" s="722" t="s">
        <v>1599</v>
      </c>
      <c r="G740" s="722" t="s">
        <v>1600</v>
      </c>
      <c r="H740" s="722" t="s">
        <v>1893</v>
      </c>
      <c r="I740" s="727">
        <v>2167</v>
      </c>
      <c r="J740" s="726" t="s">
        <v>1599</v>
      </c>
      <c r="K740" s="728">
        <v>2190</v>
      </c>
      <c r="L740" s="743">
        <f t="shared" si="59"/>
        <v>4465.8</v>
      </c>
      <c r="M740" s="741">
        <v>6655.8</v>
      </c>
      <c r="N740" s="842">
        <v>3350.1</v>
      </c>
      <c r="O740" s="710">
        <f t="shared" si="56"/>
        <v>23.785709999999998</v>
      </c>
      <c r="P740" s="711">
        <f t="shared" si="57"/>
        <v>0.74330343749999994</v>
      </c>
      <c r="Q740" s="712">
        <f t="shared" si="58"/>
        <v>7259.6666999999998</v>
      </c>
    </row>
    <row r="741" spans="1:17" ht="15.75" customHeight="1">
      <c r="A741" s="760" t="s">
        <v>2586</v>
      </c>
      <c r="B741" s="732">
        <v>45251</v>
      </c>
      <c r="C741" s="733" t="s">
        <v>1597</v>
      </c>
      <c r="D741" s="733" t="s">
        <v>1598</v>
      </c>
      <c r="E741" s="734">
        <v>7.1</v>
      </c>
      <c r="F741" s="731" t="s">
        <v>1599</v>
      </c>
      <c r="G741" s="731" t="s">
        <v>1600</v>
      </c>
      <c r="H741" s="731" t="s">
        <v>1886</v>
      </c>
      <c r="I741" s="736">
        <v>13877</v>
      </c>
      <c r="J741" s="735" t="s">
        <v>1599</v>
      </c>
      <c r="K741" s="737">
        <v>3700</v>
      </c>
      <c r="L741" s="744">
        <f t="shared" si="59"/>
        <v>9774.2000000000007</v>
      </c>
      <c r="M741" s="742">
        <v>13474.2</v>
      </c>
      <c r="N741" s="843">
        <v>6917.4</v>
      </c>
      <c r="O741" s="710">
        <f t="shared" si="56"/>
        <v>49.113539999999993</v>
      </c>
      <c r="P741" s="711">
        <f t="shared" si="57"/>
        <v>1.5347981249999998</v>
      </c>
      <c r="Q741" s="712">
        <f t="shared" si="58"/>
        <v>95992.7598</v>
      </c>
    </row>
    <row r="742" spans="1:17" ht="15.75" customHeight="1">
      <c r="A742" s="759" t="s">
        <v>2587</v>
      </c>
      <c r="B742" s="723">
        <v>45250</v>
      </c>
      <c r="C742" s="724" t="s">
        <v>1597</v>
      </c>
      <c r="D742" s="724" t="s">
        <v>1598</v>
      </c>
      <c r="E742" s="725">
        <v>6.5</v>
      </c>
      <c r="F742" s="722" t="s">
        <v>1599</v>
      </c>
      <c r="G742" s="722" t="s">
        <v>1600</v>
      </c>
      <c r="H742" s="722" t="s">
        <v>1886</v>
      </c>
      <c r="I742" s="727">
        <v>13877</v>
      </c>
      <c r="J742" s="726" t="s">
        <v>1599</v>
      </c>
      <c r="K742" s="728">
        <v>3620</v>
      </c>
      <c r="L742" s="743">
        <f t="shared" si="59"/>
        <v>10726</v>
      </c>
      <c r="M742" s="741">
        <v>14346</v>
      </c>
      <c r="N742" s="842">
        <v>8196.2000000000007</v>
      </c>
      <c r="O742" s="710">
        <f t="shared" si="56"/>
        <v>53.275300000000001</v>
      </c>
      <c r="P742" s="711">
        <f t="shared" si="57"/>
        <v>1.664853125</v>
      </c>
      <c r="Q742" s="712">
        <f t="shared" si="58"/>
        <v>113738.66740000001</v>
      </c>
    </row>
    <row r="743" spans="1:17" ht="15.75" customHeight="1">
      <c r="A743" s="760" t="s">
        <v>2588</v>
      </c>
      <c r="B743" s="732">
        <v>45258</v>
      </c>
      <c r="C743" s="733" t="s">
        <v>1597</v>
      </c>
      <c r="D743" s="733" t="s">
        <v>1598</v>
      </c>
      <c r="E743" s="734">
        <v>6.2</v>
      </c>
      <c r="F743" s="731" t="s">
        <v>1599</v>
      </c>
      <c r="G743" s="731" t="s">
        <v>1600</v>
      </c>
      <c r="H743" s="731" t="s">
        <v>1828</v>
      </c>
      <c r="I743" s="736">
        <v>7448</v>
      </c>
      <c r="J743" s="735" t="s">
        <v>1599</v>
      </c>
      <c r="K743" s="737">
        <v>3850</v>
      </c>
      <c r="L743" s="744">
        <f t="shared" si="59"/>
        <v>17052</v>
      </c>
      <c r="M743" s="742">
        <v>20902</v>
      </c>
      <c r="N743" s="843">
        <v>12414</v>
      </c>
      <c r="O743" s="710">
        <f t="shared" si="56"/>
        <v>76.966800000000006</v>
      </c>
      <c r="P743" s="711">
        <f t="shared" si="57"/>
        <v>2.4052125000000002</v>
      </c>
      <c r="Q743" s="712">
        <f t="shared" si="58"/>
        <v>92459.471999999994</v>
      </c>
    </row>
    <row r="744" spans="1:17" ht="15.75" customHeight="1">
      <c r="A744" s="759" t="s">
        <v>2589</v>
      </c>
      <c r="B744" s="723">
        <v>45258</v>
      </c>
      <c r="C744" s="724" t="s">
        <v>1597</v>
      </c>
      <c r="D744" s="724" t="s">
        <v>1598</v>
      </c>
      <c r="E744" s="725">
        <v>6.2</v>
      </c>
      <c r="F744" s="722" t="s">
        <v>1599</v>
      </c>
      <c r="G744" s="722" t="s">
        <v>1600</v>
      </c>
      <c r="H744" s="722" t="s">
        <v>1828</v>
      </c>
      <c r="I744" s="727">
        <v>7448</v>
      </c>
      <c r="J744" s="726" t="s">
        <v>1599</v>
      </c>
      <c r="K744" s="728">
        <v>3700</v>
      </c>
      <c r="L744" s="743">
        <f t="shared" si="59"/>
        <v>24774.5</v>
      </c>
      <c r="M744" s="741">
        <v>28474.5</v>
      </c>
      <c r="N744" s="842">
        <v>21364.5</v>
      </c>
      <c r="O744" s="710">
        <f t="shared" si="56"/>
        <v>132.4599</v>
      </c>
      <c r="P744" s="711">
        <f t="shared" si="57"/>
        <v>4.1393718750000001</v>
      </c>
      <c r="Q744" s="712">
        <f t="shared" si="58"/>
        <v>159122.796</v>
      </c>
    </row>
    <row r="745" spans="1:17" ht="15.75" customHeight="1">
      <c r="A745" s="760" t="s">
        <v>2590</v>
      </c>
      <c r="B745" s="732">
        <v>45258</v>
      </c>
      <c r="C745" s="733" t="s">
        <v>1597</v>
      </c>
      <c r="D745" s="733" t="s">
        <v>1598</v>
      </c>
      <c r="E745" s="734">
        <v>6.2</v>
      </c>
      <c r="F745" s="731" t="s">
        <v>1599</v>
      </c>
      <c r="G745" s="731" t="s">
        <v>1600</v>
      </c>
      <c r="H745" s="731" t="s">
        <v>1828</v>
      </c>
      <c r="I745" s="736">
        <v>7448</v>
      </c>
      <c r="J745" s="735" t="s">
        <v>1599</v>
      </c>
      <c r="K745" s="737">
        <v>3680</v>
      </c>
      <c r="L745" s="744">
        <f t="shared" si="59"/>
        <v>18252</v>
      </c>
      <c r="M745" s="742">
        <v>21932</v>
      </c>
      <c r="N745" s="843">
        <v>13329</v>
      </c>
      <c r="O745" s="710">
        <f t="shared" si="56"/>
        <v>82.639800000000008</v>
      </c>
      <c r="P745" s="711">
        <f t="shared" si="57"/>
        <v>2.5824937500000003</v>
      </c>
      <c r="Q745" s="712">
        <f t="shared" si="58"/>
        <v>99274.392000000007</v>
      </c>
    </row>
    <row r="746" spans="1:17" ht="15.75" customHeight="1">
      <c r="A746" s="759" t="s">
        <v>2591</v>
      </c>
      <c r="B746" s="723">
        <v>45258</v>
      </c>
      <c r="C746" s="724" t="s">
        <v>1597</v>
      </c>
      <c r="D746" s="724" t="s">
        <v>1598</v>
      </c>
      <c r="E746" s="725">
        <v>6.2</v>
      </c>
      <c r="F746" s="722" t="s">
        <v>1599</v>
      </c>
      <c r="G746" s="722" t="s">
        <v>1600</v>
      </c>
      <c r="H746" s="722" t="s">
        <v>1828</v>
      </c>
      <c r="I746" s="727">
        <v>7448</v>
      </c>
      <c r="J746" s="726" t="s">
        <v>1599</v>
      </c>
      <c r="K746" s="728">
        <v>3660</v>
      </c>
      <c r="L746" s="743">
        <f t="shared" si="59"/>
        <v>16602</v>
      </c>
      <c r="M746" s="741">
        <v>20262</v>
      </c>
      <c r="N746" s="842">
        <v>9813.5</v>
      </c>
      <c r="O746" s="710">
        <f t="shared" si="56"/>
        <v>60.843700000000005</v>
      </c>
      <c r="P746" s="711">
        <f t="shared" si="57"/>
        <v>1.9013656250000002</v>
      </c>
      <c r="Q746" s="712">
        <f t="shared" si="58"/>
        <v>73090.948000000004</v>
      </c>
    </row>
    <row r="747" spans="1:17" ht="15.75" customHeight="1">
      <c r="A747" s="760" t="s">
        <v>2592</v>
      </c>
      <c r="B747" s="732">
        <v>45246</v>
      </c>
      <c r="C747" s="733" t="s">
        <v>1597</v>
      </c>
      <c r="D747" s="733" t="s">
        <v>1598</v>
      </c>
      <c r="E747" s="734">
        <v>6.2</v>
      </c>
      <c r="F747" s="731" t="s">
        <v>1599</v>
      </c>
      <c r="G747" s="731" t="s">
        <v>1600</v>
      </c>
      <c r="H747" s="731" t="s">
        <v>1836</v>
      </c>
      <c r="I747" s="736">
        <v>14544</v>
      </c>
      <c r="J747" s="735" t="s">
        <v>1599</v>
      </c>
      <c r="K747" s="737">
        <v>3700</v>
      </c>
      <c r="L747" s="744">
        <f t="shared" si="59"/>
        <v>14897</v>
      </c>
      <c r="M747" s="742">
        <v>18597</v>
      </c>
      <c r="N747" s="843">
        <v>12799.28</v>
      </c>
      <c r="O747" s="710">
        <f t="shared" si="56"/>
        <v>79.355536000000001</v>
      </c>
      <c r="P747" s="711">
        <f t="shared" si="57"/>
        <v>2.4798605</v>
      </c>
      <c r="Q747" s="712">
        <f t="shared" si="58"/>
        <v>186152.72832000002</v>
      </c>
    </row>
    <row r="748" spans="1:17" ht="15.75" customHeight="1">
      <c r="A748" s="759" t="s">
        <v>2593</v>
      </c>
      <c r="B748" s="723">
        <v>45247</v>
      </c>
      <c r="C748" s="724" t="s">
        <v>1597</v>
      </c>
      <c r="D748" s="724" t="s">
        <v>1598</v>
      </c>
      <c r="E748" s="725">
        <v>7.1</v>
      </c>
      <c r="F748" s="722" t="s">
        <v>1599</v>
      </c>
      <c r="G748" s="722" t="s">
        <v>1600</v>
      </c>
      <c r="H748" s="722" t="s">
        <v>1809</v>
      </c>
      <c r="I748" s="727">
        <v>15168</v>
      </c>
      <c r="J748" s="726" t="s">
        <v>1599</v>
      </c>
      <c r="K748" s="728">
        <v>3700</v>
      </c>
      <c r="L748" s="743">
        <f t="shared" si="59"/>
        <v>20224.2</v>
      </c>
      <c r="M748" s="741">
        <v>23924.2</v>
      </c>
      <c r="N748" s="842">
        <v>16320</v>
      </c>
      <c r="O748" s="710">
        <f t="shared" si="56"/>
        <v>115.872</v>
      </c>
      <c r="P748" s="711">
        <f t="shared" si="57"/>
        <v>3.621</v>
      </c>
      <c r="Q748" s="712">
        <f t="shared" si="58"/>
        <v>247541.76000000001</v>
      </c>
    </row>
    <row r="749" spans="1:17" ht="15.75" customHeight="1">
      <c r="A749" s="760" t="s">
        <v>2594</v>
      </c>
      <c r="B749" s="732">
        <v>45251</v>
      </c>
      <c r="C749" s="733" t="s">
        <v>1597</v>
      </c>
      <c r="D749" s="733" t="s">
        <v>1598</v>
      </c>
      <c r="E749" s="734">
        <v>7.1</v>
      </c>
      <c r="F749" s="731" t="s">
        <v>1599</v>
      </c>
      <c r="G749" s="731" t="s">
        <v>1600</v>
      </c>
      <c r="H749" s="731" t="s">
        <v>1846</v>
      </c>
      <c r="I749" s="736">
        <v>5317</v>
      </c>
      <c r="J749" s="735" t="s">
        <v>1599</v>
      </c>
      <c r="K749" s="737">
        <v>2210</v>
      </c>
      <c r="L749" s="744">
        <f t="shared" si="59"/>
        <v>6713.57</v>
      </c>
      <c r="M749" s="742">
        <v>8923.57</v>
      </c>
      <c r="N749" s="843">
        <v>5576.93</v>
      </c>
      <c r="O749" s="710">
        <f t="shared" si="56"/>
        <v>39.596203000000003</v>
      </c>
      <c r="P749" s="711">
        <f t="shared" si="57"/>
        <v>1.2373813437500001</v>
      </c>
      <c r="Q749" s="712">
        <f t="shared" si="58"/>
        <v>29652.536810000001</v>
      </c>
    </row>
    <row r="750" spans="1:17" ht="15.75" customHeight="1">
      <c r="A750" s="759" t="s">
        <v>2595</v>
      </c>
      <c r="B750" s="723">
        <v>45251</v>
      </c>
      <c r="C750" s="724" t="s">
        <v>1597</v>
      </c>
      <c r="D750" s="724" t="s">
        <v>1598</v>
      </c>
      <c r="E750" s="725">
        <v>10.199999999999999</v>
      </c>
      <c r="F750" s="722" t="s">
        <v>1599</v>
      </c>
      <c r="G750" s="722" t="s">
        <v>1600</v>
      </c>
      <c r="H750" s="722" t="s">
        <v>2536</v>
      </c>
      <c r="I750" s="727">
        <v>3943</v>
      </c>
      <c r="J750" s="726" t="s">
        <v>1599</v>
      </c>
      <c r="K750" s="728">
        <v>3670</v>
      </c>
      <c r="L750" s="743">
        <f t="shared" si="59"/>
        <v>13492.599999999999</v>
      </c>
      <c r="M750" s="741">
        <v>17162.599999999999</v>
      </c>
      <c r="N750" s="842">
        <v>10281.6</v>
      </c>
      <c r="O750" s="710">
        <f t="shared" si="56"/>
        <v>104.87231999999999</v>
      </c>
      <c r="P750" s="711">
        <f t="shared" si="57"/>
        <v>3.2772599999999996</v>
      </c>
      <c r="Q750" s="712">
        <f t="shared" si="58"/>
        <v>40540.348800000007</v>
      </c>
    </row>
    <row r="751" spans="1:17" ht="15.75" customHeight="1">
      <c r="A751" s="760" t="s">
        <v>2596</v>
      </c>
      <c r="B751" s="732">
        <v>45251</v>
      </c>
      <c r="C751" s="733" t="s">
        <v>1597</v>
      </c>
      <c r="D751" s="733" t="s">
        <v>1598</v>
      </c>
      <c r="E751" s="734">
        <v>10.199999999999999</v>
      </c>
      <c r="F751" s="731" t="s">
        <v>1599</v>
      </c>
      <c r="G751" s="731" t="s">
        <v>1600</v>
      </c>
      <c r="H751" s="731" t="s">
        <v>2536</v>
      </c>
      <c r="I751" s="736">
        <v>3943</v>
      </c>
      <c r="J751" s="735" t="s">
        <v>1599</v>
      </c>
      <c r="K751" s="737">
        <v>3900</v>
      </c>
      <c r="L751" s="744">
        <f t="shared" si="59"/>
        <v>13492.599999999999</v>
      </c>
      <c r="M751" s="742">
        <v>17392.599999999999</v>
      </c>
      <c r="N751" s="843">
        <v>10281.6</v>
      </c>
      <c r="O751" s="710">
        <f t="shared" si="56"/>
        <v>104.87231999999999</v>
      </c>
      <c r="P751" s="711">
        <f t="shared" si="57"/>
        <v>3.2772599999999996</v>
      </c>
      <c r="Q751" s="712">
        <f t="shared" si="58"/>
        <v>40540.348800000007</v>
      </c>
    </row>
    <row r="752" spans="1:17" ht="15.75" customHeight="1">
      <c r="A752" s="759" t="s">
        <v>2597</v>
      </c>
      <c r="B752" s="723">
        <v>45253</v>
      </c>
      <c r="C752" s="724" t="s">
        <v>1597</v>
      </c>
      <c r="D752" s="724" t="s">
        <v>1598</v>
      </c>
      <c r="E752" s="725">
        <v>6</v>
      </c>
      <c r="F752" s="722" t="s">
        <v>1599</v>
      </c>
      <c r="G752" s="722" t="s">
        <v>1600</v>
      </c>
      <c r="H752" s="722" t="s">
        <v>1941</v>
      </c>
      <c r="I752" s="727">
        <v>1588</v>
      </c>
      <c r="J752" s="726" t="s">
        <v>1599</v>
      </c>
      <c r="K752" s="728">
        <v>2210</v>
      </c>
      <c r="L752" s="743">
        <f t="shared" si="59"/>
        <v>4436.3</v>
      </c>
      <c r="M752" s="741">
        <v>6646.3</v>
      </c>
      <c r="N752" s="842">
        <v>3308.68</v>
      </c>
      <c r="O752" s="710">
        <f t="shared" si="56"/>
        <v>19.852079999999997</v>
      </c>
      <c r="P752" s="711">
        <f t="shared" si="57"/>
        <v>0.62037749999999992</v>
      </c>
      <c r="Q752" s="712">
        <f t="shared" si="58"/>
        <v>5254.1838399999997</v>
      </c>
    </row>
    <row r="753" spans="1:17" ht="15.75" customHeight="1">
      <c r="A753" s="760" t="s">
        <v>2598</v>
      </c>
      <c r="B753" s="732">
        <v>45257</v>
      </c>
      <c r="C753" s="733" t="s">
        <v>1597</v>
      </c>
      <c r="D753" s="733" t="s">
        <v>1598</v>
      </c>
      <c r="E753" s="734">
        <v>6</v>
      </c>
      <c r="F753" s="731" t="s">
        <v>1599</v>
      </c>
      <c r="G753" s="731" t="s">
        <v>1600</v>
      </c>
      <c r="H753" s="731" t="s">
        <v>1833</v>
      </c>
      <c r="I753" s="736">
        <v>4795</v>
      </c>
      <c r="J753" s="735" t="s">
        <v>1599</v>
      </c>
      <c r="K753" s="737">
        <v>2230</v>
      </c>
      <c r="L753" s="744">
        <f t="shared" si="59"/>
        <v>6710.42</v>
      </c>
      <c r="M753" s="742">
        <v>8940.42</v>
      </c>
      <c r="N753" s="843">
        <v>5709.37</v>
      </c>
      <c r="O753" s="710">
        <f t="shared" si="56"/>
        <v>34.256219999999999</v>
      </c>
      <c r="P753" s="711">
        <f t="shared" si="57"/>
        <v>1.070506875</v>
      </c>
      <c r="Q753" s="712">
        <f t="shared" si="58"/>
        <v>27376.42915</v>
      </c>
    </row>
    <row r="754" spans="1:17" ht="15.75" customHeight="1">
      <c r="A754" s="759" t="s">
        <v>2599</v>
      </c>
      <c r="B754" s="723">
        <v>45258</v>
      </c>
      <c r="C754" s="724" t="s">
        <v>1597</v>
      </c>
      <c r="D754" s="724" t="s">
        <v>1598</v>
      </c>
      <c r="E754" s="725">
        <v>7.1</v>
      </c>
      <c r="F754" s="722" t="s">
        <v>1599</v>
      </c>
      <c r="G754" s="722" t="s">
        <v>1600</v>
      </c>
      <c r="H754" s="722" t="s">
        <v>1912</v>
      </c>
      <c r="I754" s="727">
        <v>4929</v>
      </c>
      <c r="J754" s="726" t="s">
        <v>1599</v>
      </c>
      <c r="K754" s="728">
        <v>3600</v>
      </c>
      <c r="L754" s="743">
        <f t="shared" si="59"/>
        <v>16179.029999999999</v>
      </c>
      <c r="M754" s="741">
        <v>19779.03</v>
      </c>
      <c r="N754" s="842">
        <v>14387.07</v>
      </c>
      <c r="O754" s="710">
        <f t="shared" si="56"/>
        <v>102.14819699999998</v>
      </c>
      <c r="P754" s="711">
        <f t="shared" si="57"/>
        <v>3.1921311562499994</v>
      </c>
      <c r="Q754" s="712">
        <f t="shared" si="58"/>
        <v>70913.868029999998</v>
      </c>
    </row>
    <row r="755" spans="1:17" ht="15.75" customHeight="1">
      <c r="A755" s="760" t="s">
        <v>2600</v>
      </c>
      <c r="B755" s="732">
        <v>45258</v>
      </c>
      <c r="C755" s="733" t="s">
        <v>1597</v>
      </c>
      <c r="D755" s="733" t="s">
        <v>1598</v>
      </c>
      <c r="E755" s="734">
        <v>7.1</v>
      </c>
      <c r="F755" s="731" t="s">
        <v>1599</v>
      </c>
      <c r="G755" s="731" t="s">
        <v>1600</v>
      </c>
      <c r="H755" s="731" t="s">
        <v>1912</v>
      </c>
      <c r="I755" s="736">
        <v>4929</v>
      </c>
      <c r="J755" s="735" t="s">
        <v>1599</v>
      </c>
      <c r="K755" s="737">
        <v>3640</v>
      </c>
      <c r="L755" s="744">
        <f t="shared" si="59"/>
        <v>12141.4</v>
      </c>
      <c r="M755" s="742">
        <v>15781.4</v>
      </c>
      <c r="N755" s="843">
        <v>9995</v>
      </c>
      <c r="O755" s="710">
        <f t="shared" si="56"/>
        <v>70.964500000000001</v>
      </c>
      <c r="P755" s="711">
        <f t="shared" si="57"/>
        <v>2.217640625</v>
      </c>
      <c r="Q755" s="712">
        <f t="shared" si="58"/>
        <v>49265.355000000003</v>
      </c>
    </row>
    <row r="756" spans="1:17" ht="15.75" customHeight="1">
      <c r="A756" s="759" t="s">
        <v>2601</v>
      </c>
      <c r="B756" s="723">
        <v>45258</v>
      </c>
      <c r="C756" s="724" t="s">
        <v>1597</v>
      </c>
      <c r="D756" s="724" t="s">
        <v>1598</v>
      </c>
      <c r="E756" s="725">
        <v>7.1</v>
      </c>
      <c r="F756" s="722" t="s">
        <v>1599</v>
      </c>
      <c r="G756" s="722" t="s">
        <v>1600</v>
      </c>
      <c r="H756" s="722" t="s">
        <v>1912</v>
      </c>
      <c r="I756" s="727">
        <v>4929</v>
      </c>
      <c r="J756" s="726" t="s">
        <v>1599</v>
      </c>
      <c r="K756" s="728">
        <v>2160</v>
      </c>
      <c r="L756" s="743">
        <f t="shared" si="59"/>
        <v>6425.6</v>
      </c>
      <c r="M756" s="741">
        <v>8585.6</v>
      </c>
      <c r="N756" s="842">
        <v>5194.3999999999996</v>
      </c>
      <c r="O756" s="710">
        <f t="shared" si="56"/>
        <v>36.880240000000001</v>
      </c>
      <c r="P756" s="711">
        <f t="shared" si="57"/>
        <v>1.1525075</v>
      </c>
      <c r="Q756" s="712">
        <f t="shared" si="58"/>
        <v>25603.1976</v>
      </c>
    </row>
    <row r="757" spans="1:17" ht="15.75" customHeight="1">
      <c r="A757" s="760" t="s">
        <v>2602</v>
      </c>
      <c r="B757" s="732">
        <v>45257</v>
      </c>
      <c r="C757" s="733" t="s">
        <v>1597</v>
      </c>
      <c r="D757" s="733" t="s">
        <v>1598</v>
      </c>
      <c r="E757" s="734">
        <v>6</v>
      </c>
      <c r="F757" s="731" t="s">
        <v>1599</v>
      </c>
      <c r="G757" s="731" t="s">
        <v>1600</v>
      </c>
      <c r="H757" s="731" t="s">
        <v>1844</v>
      </c>
      <c r="I757" s="736">
        <v>5727</v>
      </c>
      <c r="J757" s="735" t="s">
        <v>1599</v>
      </c>
      <c r="K757" s="737">
        <v>3650</v>
      </c>
      <c r="L757" s="744">
        <f t="shared" si="59"/>
        <v>14540.98</v>
      </c>
      <c r="M757" s="742">
        <v>18190.98</v>
      </c>
      <c r="N757" s="843">
        <v>12456.82</v>
      </c>
      <c r="O757" s="710">
        <f t="shared" si="56"/>
        <v>74.740920000000003</v>
      </c>
      <c r="P757" s="711">
        <f t="shared" si="57"/>
        <v>2.3356537500000001</v>
      </c>
      <c r="Q757" s="712">
        <f t="shared" si="58"/>
        <v>71340.208140000002</v>
      </c>
    </row>
    <row r="758" spans="1:17" ht="15.75" customHeight="1">
      <c r="A758" s="759" t="s">
        <v>2603</v>
      </c>
      <c r="B758" s="723">
        <v>45253</v>
      </c>
      <c r="C758" s="724" t="s">
        <v>1597</v>
      </c>
      <c r="D758" s="724" t="s">
        <v>1598</v>
      </c>
      <c r="E758" s="725">
        <v>5.3</v>
      </c>
      <c r="F758" s="722" t="s">
        <v>1599</v>
      </c>
      <c r="G758" s="722" t="s">
        <v>1600</v>
      </c>
      <c r="H758" s="722" t="s">
        <v>1807</v>
      </c>
      <c r="I758" s="727">
        <v>1734</v>
      </c>
      <c r="J758" s="726" t="s">
        <v>1599</v>
      </c>
      <c r="K758" s="728">
        <v>3860</v>
      </c>
      <c r="L758" s="743">
        <f t="shared" si="59"/>
        <v>12011.1</v>
      </c>
      <c r="M758" s="741">
        <v>15871.1</v>
      </c>
      <c r="N758" s="842">
        <v>9118.5</v>
      </c>
      <c r="O758" s="710">
        <f t="shared" si="56"/>
        <v>48.328049999999998</v>
      </c>
      <c r="P758" s="711">
        <f t="shared" si="57"/>
        <v>1.5102515624999999</v>
      </c>
      <c r="Q758" s="712">
        <f t="shared" si="58"/>
        <v>15811.478999999999</v>
      </c>
    </row>
    <row r="759" spans="1:17" ht="15.75" customHeight="1">
      <c r="A759" s="760" t="s">
        <v>2604</v>
      </c>
      <c r="B759" s="732">
        <v>45253</v>
      </c>
      <c r="C759" s="733" t="s">
        <v>1597</v>
      </c>
      <c r="D759" s="733" t="s">
        <v>1598</v>
      </c>
      <c r="E759" s="734">
        <v>3.6</v>
      </c>
      <c r="F759" s="731" t="s">
        <v>1599</v>
      </c>
      <c r="G759" s="731" t="s">
        <v>1600</v>
      </c>
      <c r="H759" s="731" t="s">
        <v>1848</v>
      </c>
      <c r="I759" s="736">
        <v>3740</v>
      </c>
      <c r="J759" s="735" t="s">
        <v>1599</v>
      </c>
      <c r="K759" s="737">
        <v>3850</v>
      </c>
      <c r="L759" s="744">
        <f t="shared" si="59"/>
        <v>4719.9599999999991</v>
      </c>
      <c r="M759" s="742">
        <v>8569.9599999999991</v>
      </c>
      <c r="N759" s="843">
        <v>3043.84</v>
      </c>
      <c r="O759" s="710">
        <f t="shared" si="56"/>
        <v>10.957824</v>
      </c>
      <c r="P759" s="711">
        <f t="shared" si="57"/>
        <v>0.34243200000000001</v>
      </c>
      <c r="Q759" s="712">
        <f t="shared" si="58"/>
        <v>11383.961599999999</v>
      </c>
    </row>
    <row r="760" spans="1:17" ht="15.75" customHeight="1">
      <c r="A760" s="759" t="s">
        <v>2605</v>
      </c>
      <c r="B760" s="723">
        <v>45253</v>
      </c>
      <c r="C760" s="724" t="s">
        <v>1597</v>
      </c>
      <c r="D760" s="724" t="s">
        <v>1598</v>
      </c>
      <c r="E760" s="725">
        <v>3.6</v>
      </c>
      <c r="F760" s="722" t="s">
        <v>1599</v>
      </c>
      <c r="G760" s="722" t="s">
        <v>1600</v>
      </c>
      <c r="H760" s="722" t="s">
        <v>1848</v>
      </c>
      <c r="I760" s="727">
        <v>3740</v>
      </c>
      <c r="J760" s="726" t="s">
        <v>1599</v>
      </c>
      <c r="K760" s="728">
        <v>3730</v>
      </c>
      <c r="L760" s="743">
        <f t="shared" si="59"/>
        <v>6377.2000000000007</v>
      </c>
      <c r="M760" s="741">
        <v>10107.200000000001</v>
      </c>
      <c r="N760" s="842">
        <v>4403.7</v>
      </c>
      <c r="O760" s="710">
        <f t="shared" si="56"/>
        <v>15.85332</v>
      </c>
      <c r="P760" s="711">
        <f t="shared" si="57"/>
        <v>0.49541625</v>
      </c>
      <c r="Q760" s="712">
        <f t="shared" si="58"/>
        <v>16469.838</v>
      </c>
    </row>
    <row r="761" spans="1:17" ht="15.75" customHeight="1">
      <c r="A761" s="760" t="s">
        <v>2606</v>
      </c>
      <c r="B761" s="732">
        <v>45255</v>
      </c>
      <c r="C761" s="733" t="s">
        <v>1597</v>
      </c>
      <c r="D761" s="733" t="s">
        <v>1598</v>
      </c>
      <c r="E761" s="734">
        <v>10.199999999999999</v>
      </c>
      <c r="F761" s="731" t="s">
        <v>1599</v>
      </c>
      <c r="G761" s="731" t="s">
        <v>1600</v>
      </c>
      <c r="H761" s="731" t="s">
        <v>1866</v>
      </c>
      <c r="I761" s="736">
        <v>2597</v>
      </c>
      <c r="J761" s="735" t="s">
        <v>1599</v>
      </c>
      <c r="K761" s="737">
        <v>3590</v>
      </c>
      <c r="L761" s="744">
        <f t="shared" si="59"/>
        <v>13633.599999999999</v>
      </c>
      <c r="M761" s="742">
        <v>17223.599999999999</v>
      </c>
      <c r="N761" s="843">
        <v>11163</v>
      </c>
      <c r="O761" s="710">
        <f t="shared" si="56"/>
        <v>113.86259999999999</v>
      </c>
      <c r="P761" s="711">
        <f t="shared" si="57"/>
        <v>3.5582062499999996</v>
      </c>
      <c r="Q761" s="712">
        <f t="shared" si="58"/>
        <v>28990.311000000002</v>
      </c>
    </row>
    <row r="762" spans="1:17" ht="15.75" customHeight="1">
      <c r="A762" s="759" t="s">
        <v>2607</v>
      </c>
      <c r="B762" s="723">
        <v>45250</v>
      </c>
      <c r="C762" s="724" t="s">
        <v>1597</v>
      </c>
      <c r="D762" s="724" t="s">
        <v>1598</v>
      </c>
      <c r="E762" s="725">
        <v>6.5</v>
      </c>
      <c r="F762" s="722" t="s">
        <v>1599</v>
      </c>
      <c r="G762" s="722" t="s">
        <v>1600</v>
      </c>
      <c r="H762" s="722" t="s">
        <v>1850</v>
      </c>
      <c r="I762" s="727">
        <v>9687</v>
      </c>
      <c r="J762" s="726" t="s">
        <v>1599</v>
      </c>
      <c r="K762" s="728">
        <v>3700</v>
      </c>
      <c r="L762" s="743">
        <f t="shared" si="59"/>
        <v>19776.400000000001</v>
      </c>
      <c r="M762" s="741">
        <v>23476.400000000001</v>
      </c>
      <c r="N762" s="842">
        <v>18319.2</v>
      </c>
      <c r="O762" s="710">
        <f t="shared" si="56"/>
        <v>119.0748</v>
      </c>
      <c r="P762" s="711">
        <f t="shared" si="57"/>
        <v>3.7210874999999999</v>
      </c>
      <c r="Q762" s="712">
        <f t="shared" si="58"/>
        <v>177458.09040000002</v>
      </c>
    </row>
    <row r="763" spans="1:17" ht="15.75" customHeight="1">
      <c r="A763" s="760" t="s">
        <v>2608</v>
      </c>
      <c r="B763" s="732">
        <v>45259</v>
      </c>
      <c r="C763" s="733" t="s">
        <v>1597</v>
      </c>
      <c r="D763" s="733" t="s">
        <v>1598</v>
      </c>
      <c r="E763" s="734">
        <v>7.1</v>
      </c>
      <c r="F763" s="731" t="s">
        <v>1599</v>
      </c>
      <c r="G763" s="731" t="s">
        <v>1600</v>
      </c>
      <c r="H763" s="731" t="s">
        <v>1841</v>
      </c>
      <c r="I763" s="736">
        <v>9486</v>
      </c>
      <c r="J763" s="735" t="s">
        <v>1599</v>
      </c>
      <c r="K763" s="737">
        <v>3700</v>
      </c>
      <c r="L763" s="744">
        <f t="shared" si="59"/>
        <v>17536.8</v>
      </c>
      <c r="M763" s="742">
        <v>21236.799999999999</v>
      </c>
      <c r="N763" s="843">
        <v>12730</v>
      </c>
      <c r="O763" s="710">
        <f t="shared" si="56"/>
        <v>90.382999999999996</v>
      </c>
      <c r="P763" s="711">
        <f t="shared" si="57"/>
        <v>2.8244687499999999</v>
      </c>
      <c r="Q763" s="712">
        <f t="shared" si="58"/>
        <v>120756.78</v>
      </c>
    </row>
    <row r="764" spans="1:17" ht="15.75" customHeight="1">
      <c r="A764" s="759" t="s">
        <v>2609</v>
      </c>
      <c r="B764" s="723">
        <v>45259</v>
      </c>
      <c r="C764" s="724" t="s">
        <v>1597</v>
      </c>
      <c r="D764" s="724" t="s">
        <v>1598</v>
      </c>
      <c r="E764" s="725">
        <v>7.1</v>
      </c>
      <c r="F764" s="722" t="s">
        <v>1599</v>
      </c>
      <c r="G764" s="722" t="s">
        <v>1600</v>
      </c>
      <c r="H764" s="722" t="s">
        <v>1841</v>
      </c>
      <c r="I764" s="727">
        <v>9486</v>
      </c>
      <c r="J764" s="726" t="s">
        <v>1599</v>
      </c>
      <c r="K764" s="728">
        <v>3840</v>
      </c>
      <c r="L764" s="743">
        <f t="shared" si="59"/>
        <v>18095</v>
      </c>
      <c r="M764" s="741">
        <v>21935</v>
      </c>
      <c r="N764" s="842">
        <v>14535.8</v>
      </c>
      <c r="O764" s="710">
        <f t="shared" si="56"/>
        <v>103.20417999999999</v>
      </c>
      <c r="P764" s="711">
        <f t="shared" si="57"/>
        <v>3.2251306249999998</v>
      </c>
      <c r="Q764" s="712">
        <f t="shared" si="58"/>
        <v>137886.59879999998</v>
      </c>
    </row>
    <row r="765" spans="1:17" ht="15.75" customHeight="1">
      <c r="A765" s="257" t="s">
        <v>2610</v>
      </c>
      <c r="B765" s="751">
        <v>45251</v>
      </c>
      <c r="C765" s="291" t="s">
        <v>1597</v>
      </c>
      <c r="D765" s="291" t="s">
        <v>1598</v>
      </c>
      <c r="E765" s="755">
        <v>7.1</v>
      </c>
      <c r="F765" s="257" t="s">
        <v>1599</v>
      </c>
      <c r="G765" s="257" t="s">
        <v>1600</v>
      </c>
      <c r="H765" s="257" t="s">
        <v>1841</v>
      </c>
      <c r="I765" s="752">
        <v>9486</v>
      </c>
      <c r="J765" s="258" t="s">
        <v>1599</v>
      </c>
      <c r="K765" s="756">
        <v>3700</v>
      </c>
      <c r="L765" s="757">
        <v>17094</v>
      </c>
      <c r="M765" s="758">
        <v>20794</v>
      </c>
      <c r="N765" s="459">
        <v>12669.6</v>
      </c>
      <c r="O765" s="710">
        <f t="shared" si="56"/>
        <v>89.954160000000002</v>
      </c>
      <c r="P765" s="711">
        <f t="shared" si="57"/>
        <v>2.8110675000000001</v>
      </c>
      <c r="Q765" s="712">
        <f t="shared" si="58"/>
        <v>120183.82560000001</v>
      </c>
    </row>
    <row r="766" spans="1:17" ht="15.75" customHeight="1">
      <c r="A766" s="759" t="s">
        <v>2611</v>
      </c>
      <c r="B766" s="723">
        <v>45253</v>
      </c>
      <c r="C766" s="724" t="s">
        <v>1597</v>
      </c>
      <c r="D766" s="724" t="s">
        <v>1598</v>
      </c>
      <c r="E766" s="725">
        <v>6.2</v>
      </c>
      <c r="F766" s="722" t="s">
        <v>1599</v>
      </c>
      <c r="G766" s="722" t="s">
        <v>1600</v>
      </c>
      <c r="H766" s="722" t="s">
        <v>1963</v>
      </c>
      <c r="I766" s="727">
        <v>14253</v>
      </c>
      <c r="J766" s="726" t="s">
        <v>1599</v>
      </c>
      <c r="K766" s="728">
        <v>3900</v>
      </c>
      <c r="L766" s="743">
        <f t="shared" ref="L766:L775" si="60">M766-K766</f>
        <v>11383.54</v>
      </c>
      <c r="M766" s="741">
        <v>15283.54</v>
      </c>
      <c r="N766" s="842">
        <v>8514.09</v>
      </c>
      <c r="O766" s="710">
        <f t="shared" si="56"/>
        <v>52.787357999999998</v>
      </c>
      <c r="P766" s="711">
        <f t="shared" si="57"/>
        <v>1.6496049374999999</v>
      </c>
      <c r="Q766" s="712">
        <f t="shared" si="58"/>
        <v>121351.32476999999</v>
      </c>
    </row>
    <row r="767" spans="1:17" ht="15.75" customHeight="1">
      <c r="A767" s="760" t="s">
        <v>2612</v>
      </c>
      <c r="B767" s="732">
        <v>45253</v>
      </c>
      <c r="C767" s="733" t="s">
        <v>1597</v>
      </c>
      <c r="D767" s="733" t="s">
        <v>1598</v>
      </c>
      <c r="E767" s="734">
        <v>6.2</v>
      </c>
      <c r="F767" s="731" t="s">
        <v>1599</v>
      </c>
      <c r="G767" s="731" t="s">
        <v>1600</v>
      </c>
      <c r="H767" s="731" t="s">
        <v>1880</v>
      </c>
      <c r="I767" s="736">
        <v>13558</v>
      </c>
      <c r="J767" s="735" t="s">
        <v>1599</v>
      </c>
      <c r="K767" s="737">
        <v>3880</v>
      </c>
      <c r="L767" s="744">
        <f t="shared" si="60"/>
        <v>15115.05</v>
      </c>
      <c r="M767" s="742">
        <v>18995.05</v>
      </c>
      <c r="N767" s="843">
        <v>12514.75</v>
      </c>
      <c r="O767" s="710">
        <f t="shared" si="56"/>
        <v>77.591449999999995</v>
      </c>
      <c r="P767" s="711">
        <f t="shared" si="57"/>
        <v>2.4247328124999998</v>
      </c>
      <c r="Q767" s="712">
        <f t="shared" si="58"/>
        <v>169674.98050000001</v>
      </c>
    </row>
    <row r="768" spans="1:17" ht="15.75" customHeight="1">
      <c r="A768" s="759" t="s">
        <v>2613</v>
      </c>
      <c r="B768" s="723">
        <v>45254</v>
      </c>
      <c r="C768" s="724" t="s">
        <v>1597</v>
      </c>
      <c r="D768" s="724" t="s">
        <v>1598</v>
      </c>
      <c r="E768" s="725">
        <v>11.7</v>
      </c>
      <c r="F768" s="722" t="s">
        <v>1599</v>
      </c>
      <c r="G768" s="722" t="s">
        <v>1600</v>
      </c>
      <c r="H768" s="722" t="s">
        <v>1836</v>
      </c>
      <c r="I768" s="727">
        <v>14544</v>
      </c>
      <c r="J768" s="726" t="s">
        <v>1599</v>
      </c>
      <c r="K768" s="728">
        <v>3890</v>
      </c>
      <c r="L768" s="743">
        <f t="shared" si="60"/>
        <v>12533.05</v>
      </c>
      <c r="M768" s="741">
        <v>16423.05</v>
      </c>
      <c r="N768" s="842">
        <v>9630.7000000000007</v>
      </c>
      <c r="O768" s="710">
        <f t="shared" si="56"/>
        <v>112.67919000000001</v>
      </c>
      <c r="P768" s="711">
        <f t="shared" si="57"/>
        <v>3.5212246875000002</v>
      </c>
      <c r="Q768" s="712">
        <f t="shared" si="58"/>
        <v>140068.9008</v>
      </c>
    </row>
    <row r="769" spans="1:17" ht="15.75" customHeight="1">
      <c r="A769" s="760" t="s">
        <v>2614</v>
      </c>
      <c r="B769" s="732">
        <v>45251</v>
      </c>
      <c r="C769" s="733" t="s">
        <v>1597</v>
      </c>
      <c r="D769" s="733" t="s">
        <v>1598</v>
      </c>
      <c r="E769" s="734">
        <v>7.1</v>
      </c>
      <c r="F769" s="731" t="s">
        <v>1599</v>
      </c>
      <c r="G769" s="731" t="s">
        <v>1600</v>
      </c>
      <c r="H769" s="731" t="s">
        <v>1836</v>
      </c>
      <c r="I769" s="736">
        <v>14544</v>
      </c>
      <c r="J769" s="735" t="s">
        <v>1599</v>
      </c>
      <c r="K769" s="737">
        <v>3700</v>
      </c>
      <c r="L769" s="744">
        <f t="shared" si="60"/>
        <v>14259.5</v>
      </c>
      <c r="M769" s="742">
        <v>17959.5</v>
      </c>
      <c r="N769" s="843">
        <v>12026</v>
      </c>
      <c r="O769" s="710">
        <f t="shared" si="56"/>
        <v>85.384599999999992</v>
      </c>
      <c r="P769" s="711">
        <f t="shared" si="57"/>
        <v>2.6682687499999997</v>
      </c>
      <c r="Q769" s="712">
        <f t="shared" si="58"/>
        <v>174906.144</v>
      </c>
    </row>
    <row r="770" spans="1:17" ht="15.75" customHeight="1">
      <c r="A770" s="759" t="s">
        <v>2615</v>
      </c>
      <c r="B770" s="723">
        <v>45251</v>
      </c>
      <c r="C770" s="724" t="s">
        <v>1597</v>
      </c>
      <c r="D770" s="724" t="s">
        <v>1598</v>
      </c>
      <c r="E770" s="725">
        <v>6.5</v>
      </c>
      <c r="F770" s="722" t="s">
        <v>1599</v>
      </c>
      <c r="G770" s="722" t="s">
        <v>1600</v>
      </c>
      <c r="H770" s="722" t="s">
        <v>1884</v>
      </c>
      <c r="I770" s="727">
        <v>13413</v>
      </c>
      <c r="J770" s="726" t="s">
        <v>1599</v>
      </c>
      <c r="K770" s="728">
        <v>3860</v>
      </c>
      <c r="L770" s="743">
        <f t="shared" si="60"/>
        <v>13881.46</v>
      </c>
      <c r="M770" s="741">
        <v>17741.46</v>
      </c>
      <c r="N770" s="842">
        <v>10854.74</v>
      </c>
      <c r="O770" s="710">
        <f t="shared" si="56"/>
        <v>70.555809999999994</v>
      </c>
      <c r="P770" s="711">
        <f t="shared" si="57"/>
        <v>2.2048690624999998</v>
      </c>
      <c r="Q770" s="712">
        <f t="shared" si="58"/>
        <v>145594.62762000001</v>
      </c>
    </row>
    <row r="771" spans="1:17" ht="15.75" customHeight="1">
      <c r="A771" s="760" t="s">
        <v>2616</v>
      </c>
      <c r="B771" s="732">
        <v>45252</v>
      </c>
      <c r="C771" s="733" t="s">
        <v>1597</v>
      </c>
      <c r="D771" s="733" t="s">
        <v>1598</v>
      </c>
      <c r="E771" s="734">
        <v>6.2</v>
      </c>
      <c r="F771" s="731" t="s">
        <v>1599</v>
      </c>
      <c r="G771" s="731" t="s">
        <v>1600</v>
      </c>
      <c r="H771" s="731" t="s">
        <v>1880</v>
      </c>
      <c r="I771" s="736">
        <v>13558</v>
      </c>
      <c r="J771" s="735" t="s">
        <v>1599</v>
      </c>
      <c r="K771" s="737">
        <v>3860</v>
      </c>
      <c r="L771" s="744">
        <f t="shared" si="60"/>
        <v>14268</v>
      </c>
      <c r="M771" s="742">
        <v>18128</v>
      </c>
      <c r="N771" s="843">
        <v>10918</v>
      </c>
      <c r="O771" s="710">
        <f t="shared" si="56"/>
        <v>67.691600000000008</v>
      </c>
      <c r="P771" s="711">
        <f t="shared" si="57"/>
        <v>2.1153625000000003</v>
      </c>
      <c r="Q771" s="712">
        <f t="shared" si="58"/>
        <v>148026.24400000001</v>
      </c>
    </row>
    <row r="772" spans="1:17" ht="15.75" customHeight="1">
      <c r="A772" s="759" t="s">
        <v>2617</v>
      </c>
      <c r="B772" s="723">
        <v>45252</v>
      </c>
      <c r="C772" s="724" t="s">
        <v>1597</v>
      </c>
      <c r="D772" s="724" t="s">
        <v>1598</v>
      </c>
      <c r="E772" s="725">
        <v>6.2</v>
      </c>
      <c r="F772" s="722" t="s">
        <v>1599</v>
      </c>
      <c r="G772" s="722" t="s">
        <v>1600</v>
      </c>
      <c r="H772" s="722" t="s">
        <v>1884</v>
      </c>
      <c r="I772" s="727">
        <v>13413</v>
      </c>
      <c r="J772" s="726" t="s">
        <v>1599</v>
      </c>
      <c r="K772" s="728">
        <v>3840</v>
      </c>
      <c r="L772" s="743">
        <f t="shared" si="60"/>
        <v>18285.28</v>
      </c>
      <c r="M772" s="741">
        <v>22125.279999999999</v>
      </c>
      <c r="N772" s="842">
        <v>14875.32</v>
      </c>
      <c r="O772" s="710">
        <f t="shared" si="56"/>
        <v>92.226984000000002</v>
      </c>
      <c r="P772" s="711">
        <f t="shared" si="57"/>
        <v>2.8820932500000001</v>
      </c>
      <c r="Q772" s="712">
        <f t="shared" si="58"/>
        <v>199522.66715999998</v>
      </c>
    </row>
    <row r="773" spans="1:17" ht="15.75" customHeight="1">
      <c r="A773" s="760" t="s">
        <v>2618</v>
      </c>
      <c r="B773" s="732">
        <v>45252</v>
      </c>
      <c r="C773" s="733" t="s">
        <v>1597</v>
      </c>
      <c r="D773" s="733" t="s">
        <v>1598</v>
      </c>
      <c r="E773" s="734">
        <v>6.2</v>
      </c>
      <c r="F773" s="731" t="s">
        <v>1599</v>
      </c>
      <c r="G773" s="731" t="s">
        <v>1600</v>
      </c>
      <c r="H773" s="731" t="s">
        <v>1884</v>
      </c>
      <c r="I773" s="736">
        <v>13413</v>
      </c>
      <c r="J773" s="735" t="s">
        <v>1599</v>
      </c>
      <c r="K773" s="737">
        <v>3870</v>
      </c>
      <c r="L773" s="744">
        <f t="shared" si="60"/>
        <v>15021.02</v>
      </c>
      <c r="M773" s="742">
        <v>18891.02</v>
      </c>
      <c r="N773" s="843">
        <v>12389.38</v>
      </c>
      <c r="O773" s="710">
        <f t="shared" si="56"/>
        <v>76.814155999999997</v>
      </c>
      <c r="P773" s="711">
        <f t="shared" si="57"/>
        <v>2.4004423749999999</v>
      </c>
      <c r="Q773" s="712">
        <f t="shared" si="58"/>
        <v>166178.75394</v>
      </c>
    </row>
    <row r="774" spans="1:17" ht="15.75" customHeight="1">
      <c r="A774" s="759" t="s">
        <v>2619</v>
      </c>
      <c r="B774" s="723">
        <v>45253</v>
      </c>
      <c r="C774" s="724" t="s">
        <v>1597</v>
      </c>
      <c r="D774" s="724" t="s">
        <v>1598</v>
      </c>
      <c r="E774" s="725">
        <v>6.2</v>
      </c>
      <c r="F774" s="722" t="s">
        <v>1599</v>
      </c>
      <c r="G774" s="722" t="s">
        <v>1600</v>
      </c>
      <c r="H774" s="722" t="s">
        <v>1822</v>
      </c>
      <c r="I774" s="727">
        <v>13787</v>
      </c>
      <c r="J774" s="726" t="s">
        <v>1599</v>
      </c>
      <c r="K774" s="728">
        <v>3700</v>
      </c>
      <c r="L774" s="743">
        <f t="shared" si="60"/>
        <v>16977.099999999999</v>
      </c>
      <c r="M774" s="741">
        <v>20677.099999999999</v>
      </c>
      <c r="N774" s="842">
        <v>13573.63</v>
      </c>
      <c r="O774" s="710">
        <f t="shared" ref="O774:O837" si="61">N774*E774/1000</f>
        <v>84.156505999999993</v>
      </c>
      <c r="P774" s="711">
        <f t="shared" ref="P774:P837" si="62">O774/32</f>
        <v>2.6298908124999998</v>
      </c>
      <c r="Q774" s="712">
        <f t="shared" ref="Q774:Q837" si="63">N774*I774/1000</f>
        <v>187139.63681</v>
      </c>
    </row>
    <row r="775" spans="1:17" ht="15.75" customHeight="1">
      <c r="A775" s="760" t="s">
        <v>2620</v>
      </c>
      <c r="B775" s="732">
        <v>45257</v>
      </c>
      <c r="C775" s="733" t="s">
        <v>1597</v>
      </c>
      <c r="D775" s="733" t="s">
        <v>1598</v>
      </c>
      <c r="E775" s="734">
        <v>7.1</v>
      </c>
      <c r="F775" s="731" t="s">
        <v>1599</v>
      </c>
      <c r="G775" s="731" t="s">
        <v>1600</v>
      </c>
      <c r="H775" s="731" t="s">
        <v>1836</v>
      </c>
      <c r="I775" s="736">
        <v>14544</v>
      </c>
      <c r="J775" s="735" t="s">
        <v>1599</v>
      </c>
      <c r="K775" s="737">
        <v>3640</v>
      </c>
      <c r="L775" s="744">
        <f t="shared" si="60"/>
        <v>16881</v>
      </c>
      <c r="M775" s="742">
        <v>20521</v>
      </c>
      <c r="N775" s="843">
        <v>13860</v>
      </c>
      <c r="O775" s="710">
        <f t="shared" si="61"/>
        <v>98.406000000000006</v>
      </c>
      <c r="P775" s="711">
        <f t="shared" si="62"/>
        <v>3.0751875000000002</v>
      </c>
      <c r="Q775" s="712">
        <f t="shared" si="63"/>
        <v>201579.84</v>
      </c>
    </row>
    <row r="776" spans="1:17" ht="15.75" customHeight="1">
      <c r="A776" s="722" t="s">
        <v>2621</v>
      </c>
      <c r="B776" s="723">
        <v>45253</v>
      </c>
      <c r="C776" s="724" t="s">
        <v>1597</v>
      </c>
      <c r="D776" s="724" t="s">
        <v>1598</v>
      </c>
      <c r="E776" s="725">
        <v>6</v>
      </c>
      <c r="F776" s="722" t="s">
        <v>1599</v>
      </c>
      <c r="G776" s="722" t="s">
        <v>1600</v>
      </c>
      <c r="H776" s="722" t="s">
        <v>1798</v>
      </c>
      <c r="I776" s="727">
        <v>1931</v>
      </c>
      <c r="J776" s="726" t="s">
        <v>1599</v>
      </c>
      <c r="K776" s="728">
        <v>5059.8</v>
      </c>
      <c r="L776" s="743">
        <v>889.6</v>
      </c>
      <c r="M776" s="741">
        <v>5949.4</v>
      </c>
      <c r="N776" s="842">
        <v>5059.8</v>
      </c>
      <c r="O776" s="710">
        <f t="shared" si="61"/>
        <v>30.358800000000002</v>
      </c>
      <c r="P776" s="711">
        <f t="shared" si="62"/>
        <v>0.94871250000000007</v>
      </c>
      <c r="Q776" s="712">
        <f t="shared" si="63"/>
        <v>9770.4738000000016</v>
      </c>
    </row>
    <row r="777" spans="1:17" ht="15.75" customHeight="1">
      <c r="A777" s="760" t="s">
        <v>2622</v>
      </c>
      <c r="B777" s="732">
        <v>45257</v>
      </c>
      <c r="C777" s="733" t="s">
        <v>1597</v>
      </c>
      <c r="D777" s="733" t="s">
        <v>1598</v>
      </c>
      <c r="E777" s="734">
        <v>10.199999999999999</v>
      </c>
      <c r="F777" s="731" t="s">
        <v>1599</v>
      </c>
      <c r="G777" s="731" t="s">
        <v>1600</v>
      </c>
      <c r="H777" s="731" t="s">
        <v>1836</v>
      </c>
      <c r="I777" s="736">
        <v>14544</v>
      </c>
      <c r="J777" s="735" t="s">
        <v>1599</v>
      </c>
      <c r="K777" s="737">
        <v>3830</v>
      </c>
      <c r="L777" s="744">
        <f t="shared" ref="L777:L780" si="64">M777-K777</f>
        <v>14153</v>
      </c>
      <c r="M777" s="742">
        <v>17983</v>
      </c>
      <c r="N777" s="843">
        <v>11688</v>
      </c>
      <c r="O777" s="710">
        <f t="shared" si="61"/>
        <v>119.21759999999999</v>
      </c>
      <c r="P777" s="711">
        <f t="shared" si="62"/>
        <v>3.7255499999999997</v>
      </c>
      <c r="Q777" s="712">
        <f t="shared" si="63"/>
        <v>169990.272</v>
      </c>
    </row>
    <row r="778" spans="1:17" ht="15.75" customHeight="1">
      <c r="A778" s="759" t="s">
        <v>2623</v>
      </c>
      <c r="B778" s="723">
        <v>45258</v>
      </c>
      <c r="C778" s="724" t="s">
        <v>1597</v>
      </c>
      <c r="D778" s="724" t="s">
        <v>1598</v>
      </c>
      <c r="E778" s="725">
        <v>6.2</v>
      </c>
      <c r="F778" s="722" t="s">
        <v>1599</v>
      </c>
      <c r="G778" s="722" t="s">
        <v>1600</v>
      </c>
      <c r="H778" s="722" t="s">
        <v>1836</v>
      </c>
      <c r="I778" s="727">
        <v>14544</v>
      </c>
      <c r="J778" s="726" t="s">
        <v>1599</v>
      </c>
      <c r="K778" s="728">
        <v>3830</v>
      </c>
      <c r="L778" s="743">
        <f t="shared" si="64"/>
        <v>9714.5</v>
      </c>
      <c r="M778" s="741">
        <v>13544.5</v>
      </c>
      <c r="N778" s="842">
        <v>6937.5</v>
      </c>
      <c r="O778" s="710">
        <f t="shared" si="61"/>
        <v>43.012500000000003</v>
      </c>
      <c r="P778" s="711">
        <f t="shared" si="62"/>
        <v>1.3441406250000001</v>
      </c>
      <c r="Q778" s="712">
        <f t="shared" si="63"/>
        <v>100899</v>
      </c>
    </row>
    <row r="779" spans="1:17" ht="15.75" customHeight="1">
      <c r="A779" s="760" t="s">
        <v>2624</v>
      </c>
      <c r="B779" s="732">
        <v>45257</v>
      </c>
      <c r="C779" s="733" t="s">
        <v>1597</v>
      </c>
      <c r="D779" s="733" t="s">
        <v>1598</v>
      </c>
      <c r="E779" s="734">
        <v>4.0999999999999996</v>
      </c>
      <c r="F779" s="731" t="s">
        <v>1599</v>
      </c>
      <c r="G779" s="731" t="s">
        <v>1600</v>
      </c>
      <c r="H779" s="731" t="s">
        <v>1822</v>
      </c>
      <c r="I779" s="736">
        <v>13787</v>
      </c>
      <c r="J779" s="735" t="s">
        <v>1599</v>
      </c>
      <c r="K779" s="737">
        <v>3700</v>
      </c>
      <c r="L779" s="744">
        <f t="shared" si="64"/>
        <v>17889.099999999999</v>
      </c>
      <c r="M779" s="742">
        <v>21589.1</v>
      </c>
      <c r="N779" s="843">
        <v>14665.2</v>
      </c>
      <c r="O779" s="710">
        <f t="shared" si="61"/>
        <v>60.127319999999997</v>
      </c>
      <c r="P779" s="711">
        <f t="shared" si="62"/>
        <v>1.8789787499999999</v>
      </c>
      <c r="Q779" s="712">
        <f t="shared" si="63"/>
        <v>202189.11240000001</v>
      </c>
    </row>
    <row r="780" spans="1:17" ht="15.75" customHeight="1">
      <c r="A780" s="759" t="s">
        <v>2625</v>
      </c>
      <c r="B780" s="723">
        <v>45257</v>
      </c>
      <c r="C780" s="724" t="s">
        <v>1597</v>
      </c>
      <c r="D780" s="724" t="s">
        <v>1598</v>
      </c>
      <c r="E780" s="725">
        <v>11.9</v>
      </c>
      <c r="F780" s="722" t="s">
        <v>1599</v>
      </c>
      <c r="G780" s="722" t="s">
        <v>1600</v>
      </c>
      <c r="H780" s="722" t="s">
        <v>1807</v>
      </c>
      <c r="I780" s="727">
        <v>1734</v>
      </c>
      <c r="J780" s="726" t="s">
        <v>1599</v>
      </c>
      <c r="K780" s="728">
        <v>3600</v>
      </c>
      <c r="L780" s="743">
        <f t="shared" si="64"/>
        <v>11432.1</v>
      </c>
      <c r="M780" s="741">
        <v>15032.1</v>
      </c>
      <c r="N780" s="842">
        <v>8747.2000000000007</v>
      </c>
      <c r="O780" s="710">
        <f t="shared" si="61"/>
        <v>104.09168000000001</v>
      </c>
      <c r="P780" s="711">
        <f t="shared" si="62"/>
        <v>3.2528650000000003</v>
      </c>
      <c r="Q780" s="712">
        <f t="shared" si="63"/>
        <v>15167.6448</v>
      </c>
    </row>
    <row r="781" spans="1:17" ht="15.75" customHeight="1">
      <c r="A781" s="731" t="s">
        <v>2626</v>
      </c>
      <c r="B781" s="732">
        <v>45259</v>
      </c>
      <c r="C781" s="733" t="s">
        <v>1597</v>
      </c>
      <c r="D781" s="733" t="s">
        <v>1598</v>
      </c>
      <c r="E781" s="734">
        <v>6.5</v>
      </c>
      <c r="F781" s="731" t="s">
        <v>1599</v>
      </c>
      <c r="G781" s="731" t="s">
        <v>1600</v>
      </c>
      <c r="H781" s="731" t="s">
        <v>1886</v>
      </c>
      <c r="I781" s="736">
        <v>13877</v>
      </c>
      <c r="J781" s="735" t="s">
        <v>1599</v>
      </c>
      <c r="K781" s="737"/>
      <c r="L781" s="744"/>
      <c r="M781" s="742"/>
      <c r="N781" s="895">
        <v>15795</v>
      </c>
      <c r="O781" s="710">
        <f t="shared" si="61"/>
        <v>102.6675</v>
      </c>
      <c r="P781" s="711">
        <f t="shared" si="62"/>
        <v>3.2083593750000001</v>
      </c>
      <c r="Q781" s="712">
        <f t="shared" si="63"/>
        <v>219187.215</v>
      </c>
    </row>
    <row r="782" spans="1:17" ht="15.75" customHeight="1">
      <c r="A782" s="759" t="s">
        <v>2627</v>
      </c>
      <c r="B782" s="723">
        <v>45259</v>
      </c>
      <c r="C782" s="724" t="s">
        <v>1597</v>
      </c>
      <c r="D782" s="724" t="s">
        <v>1598</v>
      </c>
      <c r="E782" s="725">
        <v>6.5</v>
      </c>
      <c r="F782" s="722" t="s">
        <v>1599</v>
      </c>
      <c r="G782" s="722" t="s">
        <v>1600</v>
      </c>
      <c r="H782" s="722" t="s">
        <v>1886</v>
      </c>
      <c r="I782" s="727">
        <v>13877</v>
      </c>
      <c r="J782" s="726" t="s">
        <v>1599</v>
      </c>
      <c r="K782" s="728">
        <v>3840</v>
      </c>
      <c r="L782" s="743">
        <f t="shared" ref="L782:L792" si="65">M782-K782</f>
        <v>19599</v>
      </c>
      <c r="M782" s="741">
        <v>23439</v>
      </c>
      <c r="N782" s="841">
        <v>7660</v>
      </c>
      <c r="O782" s="710">
        <f t="shared" si="61"/>
        <v>49.79</v>
      </c>
      <c r="P782" s="711">
        <f t="shared" si="62"/>
        <v>1.5559375</v>
      </c>
      <c r="Q782" s="712">
        <f t="shared" si="63"/>
        <v>106297.82</v>
      </c>
    </row>
    <row r="783" spans="1:17" ht="15.75" customHeight="1">
      <c r="A783" s="760" t="s">
        <v>2628</v>
      </c>
      <c r="B783" s="732">
        <v>45259</v>
      </c>
      <c r="C783" s="733" t="s">
        <v>1597</v>
      </c>
      <c r="D783" s="733" t="s">
        <v>1598</v>
      </c>
      <c r="E783" s="734">
        <v>6.5</v>
      </c>
      <c r="F783" s="731" t="s">
        <v>1599</v>
      </c>
      <c r="G783" s="731" t="s">
        <v>1600</v>
      </c>
      <c r="H783" s="731" t="s">
        <v>1822</v>
      </c>
      <c r="I783" s="736">
        <v>13787</v>
      </c>
      <c r="J783" s="735" t="s">
        <v>1599</v>
      </c>
      <c r="K783" s="737">
        <v>3860</v>
      </c>
      <c r="L783" s="744">
        <f t="shared" si="65"/>
        <v>19071.599999999999</v>
      </c>
      <c r="M783" s="742">
        <v>22931.599999999999</v>
      </c>
      <c r="N783" s="843">
        <v>15602.4</v>
      </c>
      <c r="O783" s="710">
        <f t="shared" si="61"/>
        <v>101.4156</v>
      </c>
      <c r="P783" s="711">
        <f t="shared" si="62"/>
        <v>3.1692374999999999</v>
      </c>
      <c r="Q783" s="712">
        <f t="shared" si="63"/>
        <v>215110.28879999998</v>
      </c>
    </row>
    <row r="784" spans="1:17" ht="15.75" customHeight="1">
      <c r="A784" s="759" t="s">
        <v>2629</v>
      </c>
      <c r="B784" s="723">
        <v>45258</v>
      </c>
      <c r="C784" s="724" t="s">
        <v>1597</v>
      </c>
      <c r="D784" s="724" t="s">
        <v>1598</v>
      </c>
      <c r="E784" s="725">
        <v>6.5</v>
      </c>
      <c r="F784" s="722" t="s">
        <v>1599</v>
      </c>
      <c r="G784" s="722" t="s">
        <v>1600</v>
      </c>
      <c r="H784" s="722" t="s">
        <v>1822</v>
      </c>
      <c r="I784" s="727">
        <v>13787</v>
      </c>
      <c r="J784" s="726" t="s">
        <v>1599</v>
      </c>
      <c r="K784" s="728">
        <v>3860</v>
      </c>
      <c r="L784" s="743">
        <f t="shared" si="65"/>
        <v>16362.8</v>
      </c>
      <c r="M784" s="741">
        <v>20222.8</v>
      </c>
      <c r="N784" s="842">
        <v>14035</v>
      </c>
      <c r="O784" s="710">
        <f t="shared" si="61"/>
        <v>91.227500000000006</v>
      </c>
      <c r="P784" s="711">
        <f t="shared" si="62"/>
        <v>2.8508593750000002</v>
      </c>
      <c r="Q784" s="712">
        <f t="shared" si="63"/>
        <v>193500.54500000001</v>
      </c>
    </row>
    <row r="785" spans="1:17" ht="15.75" customHeight="1">
      <c r="A785" s="760" t="s">
        <v>2630</v>
      </c>
      <c r="B785" s="732">
        <v>45258</v>
      </c>
      <c r="C785" s="733" t="s">
        <v>1597</v>
      </c>
      <c r="D785" s="733" t="s">
        <v>1598</v>
      </c>
      <c r="E785" s="734">
        <v>6.5</v>
      </c>
      <c r="F785" s="731" t="s">
        <v>1599</v>
      </c>
      <c r="G785" s="731" t="s">
        <v>1600</v>
      </c>
      <c r="H785" s="731" t="s">
        <v>1809</v>
      </c>
      <c r="I785" s="736">
        <v>15168</v>
      </c>
      <c r="J785" s="735" t="s">
        <v>1599</v>
      </c>
      <c r="K785" s="737">
        <v>3840</v>
      </c>
      <c r="L785" s="744">
        <f t="shared" si="65"/>
        <v>20224.2</v>
      </c>
      <c r="M785" s="742">
        <v>24064.2</v>
      </c>
      <c r="N785" s="843">
        <v>16320</v>
      </c>
      <c r="O785" s="710">
        <f t="shared" si="61"/>
        <v>106.08</v>
      </c>
      <c r="P785" s="711">
        <f t="shared" si="62"/>
        <v>3.3149999999999999</v>
      </c>
      <c r="Q785" s="712">
        <f t="shared" si="63"/>
        <v>247541.76000000001</v>
      </c>
    </row>
    <row r="786" spans="1:17" ht="15.75" customHeight="1">
      <c r="A786" s="759" t="s">
        <v>2631</v>
      </c>
      <c r="B786" s="723">
        <v>45258</v>
      </c>
      <c r="C786" s="724" t="s">
        <v>1597</v>
      </c>
      <c r="D786" s="724" t="s">
        <v>1598</v>
      </c>
      <c r="E786" s="725">
        <v>7.1</v>
      </c>
      <c r="F786" s="722" t="s">
        <v>1599</v>
      </c>
      <c r="G786" s="722" t="s">
        <v>1600</v>
      </c>
      <c r="H786" s="722" t="s">
        <v>1809</v>
      </c>
      <c r="I786" s="727">
        <v>15168</v>
      </c>
      <c r="J786" s="726" t="s">
        <v>1599</v>
      </c>
      <c r="K786" s="728">
        <v>3830</v>
      </c>
      <c r="L786" s="743">
        <f t="shared" si="65"/>
        <v>20824.599999999999</v>
      </c>
      <c r="M786" s="741">
        <v>24654.6</v>
      </c>
      <c r="N786" s="842">
        <v>15523.2</v>
      </c>
      <c r="O786" s="710">
        <f t="shared" si="61"/>
        <v>110.21472</v>
      </c>
      <c r="P786" s="711">
        <f t="shared" si="62"/>
        <v>3.44421</v>
      </c>
      <c r="Q786" s="712">
        <f t="shared" si="63"/>
        <v>235455.89760000003</v>
      </c>
    </row>
    <row r="787" spans="1:17" ht="15.75" customHeight="1">
      <c r="A787" s="760" t="s">
        <v>2632</v>
      </c>
      <c r="B787" s="732">
        <v>45260</v>
      </c>
      <c r="C787" s="733" t="s">
        <v>1597</v>
      </c>
      <c r="D787" s="733" t="s">
        <v>1598</v>
      </c>
      <c r="E787" s="734">
        <v>6.2</v>
      </c>
      <c r="F787" s="731" t="s">
        <v>1599</v>
      </c>
      <c r="G787" s="731" t="s">
        <v>1600</v>
      </c>
      <c r="H787" s="731" t="s">
        <v>1809</v>
      </c>
      <c r="I787" s="736">
        <v>15168</v>
      </c>
      <c r="J787" s="735" t="s">
        <v>1599</v>
      </c>
      <c r="K787" s="734">
        <v>3890</v>
      </c>
      <c r="L787" s="744">
        <f t="shared" si="65"/>
        <v>20224.2</v>
      </c>
      <c r="M787" s="734">
        <v>24114.2</v>
      </c>
      <c r="N787" s="895">
        <v>16320</v>
      </c>
      <c r="O787" s="710">
        <f t="shared" si="61"/>
        <v>101.184</v>
      </c>
      <c r="P787" s="711">
        <f t="shared" si="62"/>
        <v>3.1619999999999999</v>
      </c>
      <c r="Q787" s="712">
        <f t="shared" si="63"/>
        <v>247541.76000000001</v>
      </c>
    </row>
    <row r="788" spans="1:17" ht="15.75" customHeight="1">
      <c r="A788" s="759" t="s">
        <v>2633</v>
      </c>
      <c r="B788" s="723">
        <v>45259</v>
      </c>
      <c r="C788" s="724" t="s">
        <v>1597</v>
      </c>
      <c r="D788" s="724" t="s">
        <v>1598</v>
      </c>
      <c r="E788" s="725">
        <v>11.9</v>
      </c>
      <c r="F788" s="722" t="s">
        <v>1599</v>
      </c>
      <c r="G788" s="722" t="s">
        <v>1600</v>
      </c>
      <c r="H788" s="722" t="s">
        <v>2539</v>
      </c>
      <c r="I788" s="727">
        <v>2687</v>
      </c>
      <c r="J788" s="726" t="s">
        <v>1599</v>
      </c>
      <c r="K788" s="728">
        <v>3820</v>
      </c>
      <c r="L788" s="743">
        <f t="shared" si="65"/>
        <v>13492.599999999999</v>
      </c>
      <c r="M788" s="741">
        <v>17312.599999999999</v>
      </c>
      <c r="N788" s="842">
        <v>10281.6</v>
      </c>
      <c r="O788" s="710">
        <f t="shared" si="61"/>
        <v>122.35104000000001</v>
      </c>
      <c r="P788" s="711">
        <f t="shared" si="62"/>
        <v>3.8234700000000004</v>
      </c>
      <c r="Q788" s="712">
        <f t="shared" si="63"/>
        <v>27626.659199999998</v>
      </c>
    </row>
    <row r="789" spans="1:17" ht="15.75" customHeight="1">
      <c r="A789" s="760" t="s">
        <v>2634</v>
      </c>
      <c r="B789" s="732">
        <v>45259</v>
      </c>
      <c r="C789" s="733" t="s">
        <v>1597</v>
      </c>
      <c r="D789" s="733" t="s">
        <v>1598</v>
      </c>
      <c r="E789" s="734">
        <v>6</v>
      </c>
      <c r="F789" s="731" t="s">
        <v>1599</v>
      </c>
      <c r="G789" s="731" t="s">
        <v>1600</v>
      </c>
      <c r="H789" s="731" t="s">
        <v>2548</v>
      </c>
      <c r="I789" s="736">
        <v>4353</v>
      </c>
      <c r="J789" s="735" t="s">
        <v>1599</v>
      </c>
      <c r="K789" s="737">
        <v>3750</v>
      </c>
      <c r="L789" s="744">
        <f t="shared" si="65"/>
        <v>13492.599999999999</v>
      </c>
      <c r="M789" s="742">
        <v>17242.599999999999</v>
      </c>
      <c r="N789" s="843">
        <v>10281.6</v>
      </c>
      <c r="O789" s="710">
        <f t="shared" si="61"/>
        <v>61.689600000000006</v>
      </c>
      <c r="P789" s="711">
        <f t="shared" si="62"/>
        <v>1.9278000000000002</v>
      </c>
      <c r="Q789" s="712">
        <f t="shared" si="63"/>
        <v>44755.804800000005</v>
      </c>
    </row>
    <row r="790" spans="1:17" ht="15.75" customHeight="1">
      <c r="A790" s="759" t="s">
        <v>2635</v>
      </c>
      <c r="B790" s="723">
        <v>45259</v>
      </c>
      <c r="C790" s="724" t="s">
        <v>1597</v>
      </c>
      <c r="D790" s="724" t="s">
        <v>1598</v>
      </c>
      <c r="E790" s="725">
        <v>5.8</v>
      </c>
      <c r="F790" s="722" t="s">
        <v>1599</v>
      </c>
      <c r="G790" s="722" t="s">
        <v>1600</v>
      </c>
      <c r="H790" s="722" t="s">
        <v>1838</v>
      </c>
      <c r="I790" s="727">
        <v>4972</v>
      </c>
      <c r="J790" s="726" t="s">
        <v>1599</v>
      </c>
      <c r="K790" s="728">
        <v>2330</v>
      </c>
      <c r="L790" s="743">
        <f t="shared" si="65"/>
        <v>5038.8999999999996</v>
      </c>
      <c r="M790" s="741">
        <v>7368.9</v>
      </c>
      <c r="N790" s="842">
        <v>3843.48</v>
      </c>
      <c r="O790" s="710">
        <f t="shared" si="61"/>
        <v>22.292184000000002</v>
      </c>
      <c r="P790" s="711">
        <f t="shared" si="62"/>
        <v>0.69663075000000008</v>
      </c>
      <c r="Q790" s="712">
        <f t="shared" si="63"/>
        <v>19109.78256</v>
      </c>
    </row>
    <row r="791" spans="1:17" ht="15.75" customHeight="1">
      <c r="A791" s="760" t="s">
        <v>2636</v>
      </c>
      <c r="B791" s="732">
        <v>45259</v>
      </c>
      <c r="C791" s="733" t="s">
        <v>1597</v>
      </c>
      <c r="D791" s="733" t="s">
        <v>1598</v>
      </c>
      <c r="E791" s="734">
        <v>5.8</v>
      </c>
      <c r="F791" s="731" t="s">
        <v>1599</v>
      </c>
      <c r="G791" s="731" t="s">
        <v>1600</v>
      </c>
      <c r="H791" s="731" t="s">
        <v>1838</v>
      </c>
      <c r="I791" s="736">
        <v>4972</v>
      </c>
      <c r="J791" s="735" t="s">
        <v>1599</v>
      </c>
      <c r="K791" s="737">
        <v>2220</v>
      </c>
      <c r="L791" s="744">
        <f t="shared" si="65"/>
        <v>4480.58</v>
      </c>
      <c r="M791" s="742">
        <v>6700.58</v>
      </c>
      <c r="N791" s="843">
        <v>3324.12</v>
      </c>
      <c r="O791" s="710">
        <f t="shared" si="61"/>
        <v>19.279895999999997</v>
      </c>
      <c r="P791" s="711">
        <f t="shared" si="62"/>
        <v>0.60249674999999991</v>
      </c>
      <c r="Q791" s="712">
        <f t="shared" si="63"/>
        <v>16527.52464</v>
      </c>
    </row>
    <row r="792" spans="1:17" ht="15.75" customHeight="1">
      <c r="A792" s="759" t="s">
        <v>2637</v>
      </c>
      <c r="B792" s="723">
        <v>45260</v>
      </c>
      <c r="C792" s="724" t="s">
        <v>1597</v>
      </c>
      <c r="D792" s="724" t="s">
        <v>1598</v>
      </c>
      <c r="E792" s="725">
        <v>6.5</v>
      </c>
      <c r="F792" s="722" t="s">
        <v>1599</v>
      </c>
      <c r="G792" s="722" t="s">
        <v>1600</v>
      </c>
      <c r="H792" s="722" t="s">
        <v>1825</v>
      </c>
      <c r="I792" s="727">
        <v>15486</v>
      </c>
      <c r="J792" s="726" t="s">
        <v>1599</v>
      </c>
      <c r="K792" s="725">
        <v>3700</v>
      </c>
      <c r="L792" s="743">
        <f t="shared" si="65"/>
        <v>6877.2800000000007</v>
      </c>
      <c r="M792" s="725">
        <v>10577.28</v>
      </c>
      <c r="N792" s="841">
        <v>5002.8</v>
      </c>
      <c r="O792" s="710">
        <f t="shared" si="61"/>
        <v>32.5182</v>
      </c>
      <c r="P792" s="711">
        <f t="shared" si="62"/>
        <v>1.01619375</v>
      </c>
      <c r="Q792" s="712">
        <f t="shared" si="63"/>
        <v>77473.360799999995</v>
      </c>
    </row>
    <row r="793" spans="1:17" ht="15.75" customHeight="1">
      <c r="A793" s="724" t="s">
        <v>2638</v>
      </c>
      <c r="B793" s="723">
        <v>45278</v>
      </c>
      <c r="C793" s="701" t="s">
        <v>1597</v>
      </c>
      <c r="D793" s="701" t="s">
        <v>1598</v>
      </c>
      <c r="E793" s="703">
        <v>11.9</v>
      </c>
      <c r="F793" s="701" t="s">
        <v>1599</v>
      </c>
      <c r="G793" s="701" t="s">
        <v>1600</v>
      </c>
      <c r="H793" s="772" t="s">
        <v>1850</v>
      </c>
      <c r="I793" s="727">
        <v>9687</v>
      </c>
      <c r="J793" s="706" t="s">
        <v>1599</v>
      </c>
      <c r="K793" s="707">
        <v>3580</v>
      </c>
      <c r="L793" s="747">
        <v>24964</v>
      </c>
      <c r="M793" s="754">
        <v>28544</v>
      </c>
      <c r="N793" s="842">
        <v>4025</v>
      </c>
      <c r="O793" s="710">
        <f t="shared" si="61"/>
        <v>47.897500000000001</v>
      </c>
      <c r="P793" s="711">
        <f t="shared" si="62"/>
        <v>1.496796875</v>
      </c>
      <c r="Q793" s="712">
        <f t="shared" si="63"/>
        <v>38990.175000000003</v>
      </c>
    </row>
    <row r="794" spans="1:17" s="683" customFormat="1" ht="15.75" customHeight="1">
      <c r="A794" s="773" t="s">
        <v>2639</v>
      </c>
      <c r="B794" s="774">
        <v>45265</v>
      </c>
      <c r="C794" s="775" t="s">
        <v>1597</v>
      </c>
      <c r="D794" s="775" t="s">
        <v>1598</v>
      </c>
      <c r="E794" s="776">
        <v>4.0999999999999996</v>
      </c>
      <c r="F794" s="773" t="s">
        <v>1599</v>
      </c>
      <c r="G794" s="773" t="s">
        <v>1600</v>
      </c>
      <c r="H794" s="777" t="s">
        <v>1822</v>
      </c>
      <c r="I794" s="778">
        <v>13787</v>
      </c>
      <c r="J794" s="779" t="s">
        <v>1599</v>
      </c>
      <c r="K794" s="780">
        <v>3700</v>
      </c>
      <c r="L794" s="781">
        <f t="shared" ref="L794:L813" si="66">M794-K794</f>
        <v>16362.8</v>
      </c>
      <c r="M794" s="782">
        <v>20062.8</v>
      </c>
      <c r="N794" s="897">
        <v>14035</v>
      </c>
      <c r="O794" s="710">
        <f t="shared" si="61"/>
        <v>57.543499999999995</v>
      </c>
      <c r="P794" s="711">
        <f t="shared" si="62"/>
        <v>1.7982343749999998</v>
      </c>
      <c r="Q794" s="712">
        <f t="shared" si="63"/>
        <v>193500.54500000001</v>
      </c>
    </row>
    <row r="795" spans="1:17" ht="15.75" customHeight="1">
      <c r="A795" s="724" t="s">
        <v>2640</v>
      </c>
      <c r="B795" s="723">
        <v>45262</v>
      </c>
      <c r="C795" s="724" t="s">
        <v>1597</v>
      </c>
      <c r="D795" s="724" t="s">
        <v>1598</v>
      </c>
      <c r="E795" s="725">
        <v>4.0999999999999996</v>
      </c>
      <c r="F795" s="724" t="s">
        <v>1599</v>
      </c>
      <c r="G795" s="724" t="s">
        <v>1600</v>
      </c>
      <c r="H795" s="772" t="s">
        <v>1822</v>
      </c>
      <c r="I795" s="727">
        <v>13787</v>
      </c>
      <c r="J795" s="753" t="s">
        <v>1599</v>
      </c>
      <c r="K795" s="728">
        <v>3840</v>
      </c>
      <c r="L795" s="743">
        <f t="shared" si="66"/>
        <v>19071.599999999999</v>
      </c>
      <c r="M795" s="741">
        <v>22911.599999999999</v>
      </c>
      <c r="N795" s="842">
        <v>15602.4</v>
      </c>
      <c r="O795" s="710">
        <f t="shared" si="61"/>
        <v>63.969839999999998</v>
      </c>
      <c r="P795" s="711">
        <f t="shared" si="62"/>
        <v>1.9990574999999999</v>
      </c>
      <c r="Q795" s="712">
        <f t="shared" si="63"/>
        <v>215110.28879999998</v>
      </c>
    </row>
    <row r="796" spans="1:17" s="683" customFormat="1" ht="15.75" customHeight="1">
      <c r="A796" s="783" t="s">
        <v>2641</v>
      </c>
      <c r="B796" s="774">
        <v>45266</v>
      </c>
      <c r="C796" s="775" t="s">
        <v>1597</v>
      </c>
      <c r="D796" s="775" t="s">
        <v>1598</v>
      </c>
      <c r="E796" s="776">
        <v>6.2</v>
      </c>
      <c r="F796" s="773" t="s">
        <v>1599</v>
      </c>
      <c r="G796" s="773" t="s">
        <v>1600</v>
      </c>
      <c r="H796" s="777" t="s">
        <v>1880</v>
      </c>
      <c r="I796" s="778">
        <v>13558</v>
      </c>
      <c r="J796" s="779" t="s">
        <v>1599</v>
      </c>
      <c r="K796" s="780">
        <v>3860</v>
      </c>
      <c r="L796" s="781">
        <f t="shared" si="66"/>
        <v>17889.099999999999</v>
      </c>
      <c r="M796" s="782">
        <v>21749.1</v>
      </c>
      <c r="N796" s="897">
        <v>14665.2</v>
      </c>
      <c r="O796" s="710">
        <f t="shared" si="61"/>
        <v>90.924240000000012</v>
      </c>
      <c r="P796" s="711">
        <f t="shared" si="62"/>
        <v>2.8413825000000004</v>
      </c>
      <c r="Q796" s="712">
        <f t="shared" si="63"/>
        <v>198830.78160000002</v>
      </c>
    </row>
    <row r="797" spans="1:17" ht="15.75" customHeight="1">
      <c r="A797" s="759" t="s">
        <v>2642</v>
      </c>
      <c r="B797" s="723">
        <v>45266</v>
      </c>
      <c r="C797" s="722" t="s">
        <v>1597</v>
      </c>
      <c r="D797" s="722" t="s">
        <v>1598</v>
      </c>
      <c r="E797" s="725">
        <v>5.2</v>
      </c>
      <c r="F797" s="724" t="s">
        <v>1599</v>
      </c>
      <c r="G797" s="724" t="s">
        <v>1600</v>
      </c>
      <c r="H797" s="772" t="s">
        <v>1836</v>
      </c>
      <c r="I797" s="727">
        <v>14544</v>
      </c>
      <c r="J797" s="753" t="s">
        <v>1599</v>
      </c>
      <c r="K797" s="728">
        <v>3830</v>
      </c>
      <c r="L797" s="743">
        <f t="shared" si="66"/>
        <v>9714.5</v>
      </c>
      <c r="M797" s="741">
        <v>13544.5</v>
      </c>
      <c r="N797" s="842">
        <v>6937.5</v>
      </c>
      <c r="O797" s="710">
        <f t="shared" si="61"/>
        <v>36.075000000000003</v>
      </c>
      <c r="P797" s="711">
        <f t="shared" si="62"/>
        <v>1.1273437500000001</v>
      </c>
      <c r="Q797" s="712">
        <f t="shared" si="63"/>
        <v>100899</v>
      </c>
    </row>
    <row r="798" spans="1:17" s="683" customFormat="1" ht="15.75" customHeight="1">
      <c r="A798" s="773" t="s">
        <v>2643</v>
      </c>
      <c r="B798" s="774">
        <v>45264</v>
      </c>
      <c r="C798" s="775" t="s">
        <v>1597</v>
      </c>
      <c r="D798" s="775" t="s">
        <v>1598</v>
      </c>
      <c r="E798" s="776">
        <v>6.5</v>
      </c>
      <c r="F798" s="773" t="s">
        <v>1599</v>
      </c>
      <c r="G798" s="773" t="s">
        <v>1600</v>
      </c>
      <c r="H798" s="777" t="s">
        <v>1850</v>
      </c>
      <c r="I798" s="778">
        <v>9687</v>
      </c>
      <c r="J798" s="779" t="s">
        <v>1599</v>
      </c>
      <c r="K798" s="780">
        <v>3660</v>
      </c>
      <c r="L798" s="781">
        <f t="shared" si="66"/>
        <v>19987</v>
      </c>
      <c r="M798" s="782">
        <v>23647</v>
      </c>
      <c r="N798" s="897">
        <v>18538.2</v>
      </c>
      <c r="O798" s="710">
        <f t="shared" si="61"/>
        <v>120.4983</v>
      </c>
      <c r="P798" s="711">
        <f t="shared" si="62"/>
        <v>3.765571875</v>
      </c>
      <c r="Q798" s="712">
        <f t="shared" si="63"/>
        <v>179579.5434</v>
      </c>
    </row>
    <row r="799" spans="1:17" ht="15.75" customHeight="1">
      <c r="A799" s="724" t="s">
        <v>2644</v>
      </c>
      <c r="B799" s="723">
        <v>45264</v>
      </c>
      <c r="C799" s="722" t="s">
        <v>1597</v>
      </c>
      <c r="D799" s="722" t="s">
        <v>1598</v>
      </c>
      <c r="E799" s="725">
        <v>6.5</v>
      </c>
      <c r="F799" s="724" t="s">
        <v>1599</v>
      </c>
      <c r="G799" s="724" t="s">
        <v>1600</v>
      </c>
      <c r="H799" s="772" t="s">
        <v>1850</v>
      </c>
      <c r="I799" s="727">
        <v>9687</v>
      </c>
      <c r="J799" s="753" t="s">
        <v>1599</v>
      </c>
      <c r="K799" s="728">
        <v>3730</v>
      </c>
      <c r="L799" s="743">
        <f t="shared" si="66"/>
        <v>19385.8</v>
      </c>
      <c r="M799" s="730">
        <v>23115.8</v>
      </c>
      <c r="N799" s="842">
        <v>18145.8</v>
      </c>
      <c r="O799" s="710">
        <f t="shared" si="61"/>
        <v>117.9477</v>
      </c>
      <c r="P799" s="711">
        <f t="shared" si="62"/>
        <v>3.6858656249999999</v>
      </c>
      <c r="Q799" s="712">
        <f t="shared" si="63"/>
        <v>175778.3646</v>
      </c>
    </row>
    <row r="800" spans="1:17" s="683" customFormat="1" ht="15.75" customHeight="1">
      <c r="A800" s="783" t="s">
        <v>2645</v>
      </c>
      <c r="B800" s="774">
        <v>45267</v>
      </c>
      <c r="C800" s="775" t="s">
        <v>1597</v>
      </c>
      <c r="D800" s="775" t="s">
        <v>1598</v>
      </c>
      <c r="E800" s="776">
        <v>6.2</v>
      </c>
      <c r="F800" s="773" t="s">
        <v>1599</v>
      </c>
      <c r="G800" s="773" t="s">
        <v>1600</v>
      </c>
      <c r="H800" s="777" t="s">
        <v>1815</v>
      </c>
      <c r="I800" s="778">
        <v>17387</v>
      </c>
      <c r="J800" s="779" t="s">
        <v>1599</v>
      </c>
      <c r="K800" s="780">
        <v>3890</v>
      </c>
      <c r="L800" s="781">
        <f t="shared" si="66"/>
        <v>18068.62</v>
      </c>
      <c r="M800" s="782">
        <v>21958.62</v>
      </c>
      <c r="N800" s="897">
        <v>15629.54</v>
      </c>
      <c r="O800" s="710">
        <f t="shared" si="61"/>
        <v>96.903148000000002</v>
      </c>
      <c r="P800" s="711">
        <f t="shared" si="62"/>
        <v>3.0282233750000001</v>
      </c>
      <c r="Q800" s="712">
        <f t="shared" si="63"/>
        <v>271750.81198</v>
      </c>
    </row>
    <row r="801" spans="1:17" ht="15.75" customHeight="1">
      <c r="A801" s="724" t="s">
        <v>2646</v>
      </c>
      <c r="B801" s="723">
        <v>45265</v>
      </c>
      <c r="C801" s="722" t="s">
        <v>1597</v>
      </c>
      <c r="D801" s="722" t="s">
        <v>1598</v>
      </c>
      <c r="E801" s="725">
        <v>7.1</v>
      </c>
      <c r="F801" s="724" t="s">
        <v>1599</v>
      </c>
      <c r="G801" s="724" t="s">
        <v>1600</v>
      </c>
      <c r="H801" s="772" t="s">
        <v>1831</v>
      </c>
      <c r="I801" s="727">
        <v>7283</v>
      </c>
      <c r="J801" s="753" t="s">
        <v>1599</v>
      </c>
      <c r="K801" s="728">
        <v>3640</v>
      </c>
      <c r="L801" s="743">
        <f t="shared" si="66"/>
        <v>24077</v>
      </c>
      <c r="M801" s="741">
        <v>27717</v>
      </c>
      <c r="N801" s="842">
        <v>20569</v>
      </c>
      <c r="O801" s="710">
        <f t="shared" si="61"/>
        <v>146.03989999999999</v>
      </c>
      <c r="P801" s="711">
        <f t="shared" si="62"/>
        <v>4.5637468749999996</v>
      </c>
      <c r="Q801" s="712">
        <f t="shared" si="63"/>
        <v>149804.027</v>
      </c>
    </row>
    <row r="802" spans="1:17" s="683" customFormat="1" ht="15.75" customHeight="1">
      <c r="A802" s="783" t="s">
        <v>2647</v>
      </c>
      <c r="B802" s="774">
        <v>45266</v>
      </c>
      <c r="C802" s="775" t="s">
        <v>1597</v>
      </c>
      <c r="D802" s="775" t="s">
        <v>1598</v>
      </c>
      <c r="E802" s="776">
        <v>7.1</v>
      </c>
      <c r="F802" s="773" t="s">
        <v>1599</v>
      </c>
      <c r="G802" s="773" t="s">
        <v>1600</v>
      </c>
      <c r="H802" s="777" t="s">
        <v>1831</v>
      </c>
      <c r="I802" s="778">
        <v>7283</v>
      </c>
      <c r="J802" s="779" t="s">
        <v>1599</v>
      </c>
      <c r="K802" s="780">
        <v>3770</v>
      </c>
      <c r="L802" s="781">
        <f t="shared" si="66"/>
        <v>25037</v>
      </c>
      <c r="M802" s="782">
        <v>28807</v>
      </c>
      <c r="N802" s="897">
        <v>19570.5</v>
      </c>
      <c r="O802" s="710">
        <f t="shared" si="61"/>
        <v>138.95054999999999</v>
      </c>
      <c r="P802" s="711">
        <f t="shared" si="62"/>
        <v>4.3422046874999998</v>
      </c>
      <c r="Q802" s="712">
        <f t="shared" si="63"/>
        <v>142531.9515</v>
      </c>
    </row>
    <row r="803" spans="1:17" ht="15.75" customHeight="1">
      <c r="A803" s="759" t="s">
        <v>2648</v>
      </c>
      <c r="B803" s="723">
        <v>45276</v>
      </c>
      <c r="C803" s="722" t="s">
        <v>1597</v>
      </c>
      <c r="D803" s="722" t="s">
        <v>1598</v>
      </c>
      <c r="E803" s="725">
        <v>4.0999999999999996</v>
      </c>
      <c r="F803" s="724" t="s">
        <v>1599</v>
      </c>
      <c r="G803" s="724" t="s">
        <v>1600</v>
      </c>
      <c r="H803" s="772" t="s">
        <v>1850</v>
      </c>
      <c r="I803" s="727">
        <v>9687</v>
      </c>
      <c r="J803" s="753" t="s">
        <v>1599</v>
      </c>
      <c r="K803" s="728">
        <v>2220</v>
      </c>
      <c r="L803" s="743">
        <f t="shared" si="66"/>
        <v>5777</v>
      </c>
      <c r="M803" s="728">
        <v>7997</v>
      </c>
      <c r="N803" s="842">
        <v>4550</v>
      </c>
      <c r="O803" s="710">
        <f t="shared" si="61"/>
        <v>18.655000000000001</v>
      </c>
      <c r="P803" s="711">
        <f t="shared" si="62"/>
        <v>0.58296875000000004</v>
      </c>
      <c r="Q803" s="712">
        <f t="shared" si="63"/>
        <v>44075.85</v>
      </c>
    </row>
    <row r="804" spans="1:17" s="683" customFormat="1" ht="15.75" customHeight="1">
      <c r="A804" s="783" t="s">
        <v>2649</v>
      </c>
      <c r="B804" s="774">
        <v>45267</v>
      </c>
      <c r="C804" s="775" t="s">
        <v>1597</v>
      </c>
      <c r="D804" s="775" t="s">
        <v>1598</v>
      </c>
      <c r="E804" s="776">
        <v>6.5</v>
      </c>
      <c r="F804" s="773" t="s">
        <v>1599</v>
      </c>
      <c r="G804" s="773" t="s">
        <v>1600</v>
      </c>
      <c r="H804" s="777" t="s">
        <v>1886</v>
      </c>
      <c r="I804" s="778">
        <v>13877</v>
      </c>
      <c r="J804" s="779" t="s">
        <v>1599</v>
      </c>
      <c r="K804" s="780">
        <v>3620</v>
      </c>
      <c r="L804" s="781">
        <f t="shared" si="66"/>
        <v>10726</v>
      </c>
      <c r="M804" s="782">
        <v>14346</v>
      </c>
      <c r="N804" s="897">
        <v>8196.2000000000007</v>
      </c>
      <c r="O804" s="710">
        <f t="shared" si="61"/>
        <v>53.275300000000001</v>
      </c>
      <c r="P804" s="711">
        <f t="shared" si="62"/>
        <v>1.664853125</v>
      </c>
      <c r="Q804" s="712">
        <f t="shared" si="63"/>
        <v>113738.66740000001</v>
      </c>
    </row>
    <row r="805" spans="1:17" ht="15.75" customHeight="1">
      <c r="A805" s="759" t="s">
        <v>2650</v>
      </c>
      <c r="B805" s="723">
        <v>45267</v>
      </c>
      <c r="C805" s="722" t="s">
        <v>1597</v>
      </c>
      <c r="D805" s="722" t="s">
        <v>1598</v>
      </c>
      <c r="E805" s="725">
        <v>6.5</v>
      </c>
      <c r="F805" s="724" t="s">
        <v>1599</v>
      </c>
      <c r="G805" s="724" t="s">
        <v>1600</v>
      </c>
      <c r="H805" s="772" t="s">
        <v>1886</v>
      </c>
      <c r="I805" s="727">
        <v>13877</v>
      </c>
      <c r="J805" s="753" t="s">
        <v>1599</v>
      </c>
      <c r="K805" s="728">
        <v>3700</v>
      </c>
      <c r="L805" s="743">
        <f t="shared" si="66"/>
        <v>12014</v>
      </c>
      <c r="M805" s="741">
        <v>15714</v>
      </c>
      <c r="N805" s="842">
        <v>8988</v>
      </c>
      <c r="O805" s="710">
        <f t="shared" si="61"/>
        <v>58.421999999999997</v>
      </c>
      <c r="P805" s="711">
        <f t="shared" si="62"/>
        <v>1.8256874999999999</v>
      </c>
      <c r="Q805" s="712">
        <f t="shared" si="63"/>
        <v>124726.476</v>
      </c>
    </row>
    <row r="806" spans="1:17" s="683" customFormat="1" ht="15.75" customHeight="1">
      <c r="A806" s="783" t="s">
        <v>2651</v>
      </c>
      <c r="B806" s="774">
        <v>45267</v>
      </c>
      <c r="C806" s="775" t="s">
        <v>1597</v>
      </c>
      <c r="D806" s="775" t="s">
        <v>1598</v>
      </c>
      <c r="E806" s="776">
        <v>6.5</v>
      </c>
      <c r="F806" s="773" t="s">
        <v>1599</v>
      </c>
      <c r="G806" s="773" t="s">
        <v>1600</v>
      </c>
      <c r="H806" s="777" t="s">
        <v>1886</v>
      </c>
      <c r="I806" s="778">
        <v>13877</v>
      </c>
      <c r="J806" s="779" t="s">
        <v>1599</v>
      </c>
      <c r="K806" s="780">
        <v>3840</v>
      </c>
      <c r="L806" s="781">
        <f t="shared" si="66"/>
        <v>10189.799999999999</v>
      </c>
      <c r="M806" s="780">
        <v>14029.8</v>
      </c>
      <c r="N806" s="897">
        <v>7660</v>
      </c>
      <c r="O806" s="710">
        <f t="shared" si="61"/>
        <v>49.79</v>
      </c>
      <c r="P806" s="711">
        <f t="shared" si="62"/>
        <v>1.5559375</v>
      </c>
      <c r="Q806" s="712">
        <f t="shared" si="63"/>
        <v>106297.82</v>
      </c>
    </row>
    <row r="807" spans="1:17" ht="15.75" customHeight="1">
      <c r="A807" s="724" t="s">
        <v>2652</v>
      </c>
      <c r="B807" s="723">
        <v>45266</v>
      </c>
      <c r="C807" s="722" t="s">
        <v>1597</v>
      </c>
      <c r="D807" s="722" t="s">
        <v>1598</v>
      </c>
      <c r="E807" s="725">
        <v>5.2</v>
      </c>
      <c r="F807" s="724" t="s">
        <v>1599</v>
      </c>
      <c r="G807" s="724" t="s">
        <v>1600</v>
      </c>
      <c r="H807" s="772" t="s">
        <v>1798</v>
      </c>
      <c r="I807" s="727">
        <v>1931</v>
      </c>
      <c r="J807" s="753" t="s">
        <v>1599</v>
      </c>
      <c r="K807" s="728">
        <v>5217.21</v>
      </c>
      <c r="L807" s="743">
        <f t="shared" si="66"/>
        <v>967.77999999999975</v>
      </c>
      <c r="M807" s="741">
        <v>6184.99</v>
      </c>
      <c r="N807" s="842">
        <v>5217.21</v>
      </c>
      <c r="O807" s="710">
        <f t="shared" si="61"/>
        <v>27.129492000000003</v>
      </c>
      <c r="P807" s="711">
        <f t="shared" si="62"/>
        <v>0.84779662500000008</v>
      </c>
      <c r="Q807" s="712">
        <f t="shared" si="63"/>
        <v>10074.432510000001</v>
      </c>
    </row>
    <row r="808" spans="1:17" s="683" customFormat="1" ht="15.75" customHeight="1">
      <c r="A808" s="783" t="s">
        <v>2653</v>
      </c>
      <c r="B808" s="774">
        <v>45272</v>
      </c>
      <c r="C808" s="775" t="s">
        <v>1597</v>
      </c>
      <c r="D808" s="775" t="s">
        <v>1598</v>
      </c>
      <c r="E808" s="776">
        <v>6.2</v>
      </c>
      <c r="F808" s="773" t="s">
        <v>1599</v>
      </c>
      <c r="G808" s="773" t="s">
        <v>1600</v>
      </c>
      <c r="H808" s="777" t="s">
        <v>1807</v>
      </c>
      <c r="I808" s="778">
        <v>1734</v>
      </c>
      <c r="J808" s="779" t="s">
        <v>1599</v>
      </c>
      <c r="K808" s="780">
        <v>3650</v>
      </c>
      <c r="L808" s="781">
        <f t="shared" si="66"/>
        <v>12161.7</v>
      </c>
      <c r="M808" s="782">
        <v>15811.7</v>
      </c>
      <c r="N808" s="897">
        <v>9457.4</v>
      </c>
      <c r="O808" s="710">
        <f t="shared" si="61"/>
        <v>58.63588</v>
      </c>
      <c r="P808" s="711">
        <f t="shared" si="62"/>
        <v>1.83237125</v>
      </c>
      <c r="Q808" s="712">
        <f t="shared" si="63"/>
        <v>16399.131600000001</v>
      </c>
    </row>
    <row r="809" spans="1:17" ht="15.75" customHeight="1">
      <c r="A809" s="759" t="s">
        <v>2654</v>
      </c>
      <c r="B809" s="723">
        <v>45279</v>
      </c>
      <c r="C809" s="722" t="s">
        <v>1597</v>
      </c>
      <c r="D809" s="722" t="s">
        <v>1598</v>
      </c>
      <c r="E809" s="725">
        <v>6.5</v>
      </c>
      <c r="F809" s="724" t="s">
        <v>1599</v>
      </c>
      <c r="G809" s="724" t="s">
        <v>1600</v>
      </c>
      <c r="H809" s="772" t="s">
        <v>1841</v>
      </c>
      <c r="I809" s="727">
        <v>9486</v>
      </c>
      <c r="J809" s="753" t="s">
        <v>1599</v>
      </c>
      <c r="K809" s="728">
        <v>3830</v>
      </c>
      <c r="L809" s="743">
        <f t="shared" si="66"/>
        <v>15041.099999999999</v>
      </c>
      <c r="M809" s="728">
        <v>18871.099999999999</v>
      </c>
      <c r="N809" s="842">
        <v>11254.87</v>
      </c>
      <c r="O809" s="710">
        <f t="shared" si="61"/>
        <v>73.156655000000001</v>
      </c>
      <c r="P809" s="711">
        <f t="shared" si="62"/>
        <v>2.28614546875</v>
      </c>
      <c r="Q809" s="712">
        <f t="shared" si="63"/>
        <v>106763.69682000001</v>
      </c>
    </row>
    <row r="810" spans="1:17" s="683" customFormat="1" ht="15.75" customHeight="1">
      <c r="A810" s="783" t="s">
        <v>2655</v>
      </c>
      <c r="B810" s="774">
        <v>45279</v>
      </c>
      <c r="C810" s="775" t="s">
        <v>1597</v>
      </c>
      <c r="D810" s="775" t="s">
        <v>1598</v>
      </c>
      <c r="E810" s="776">
        <v>6.5</v>
      </c>
      <c r="F810" s="773" t="s">
        <v>1599</v>
      </c>
      <c r="G810" s="773" t="s">
        <v>1600</v>
      </c>
      <c r="H810" s="777" t="s">
        <v>1841</v>
      </c>
      <c r="I810" s="778">
        <v>9486</v>
      </c>
      <c r="J810" s="779" t="s">
        <v>1599</v>
      </c>
      <c r="K810" s="780">
        <v>3770</v>
      </c>
      <c r="L810" s="781">
        <f t="shared" si="66"/>
        <v>20451</v>
      </c>
      <c r="M810" s="780">
        <v>24221</v>
      </c>
      <c r="N810" s="897">
        <v>15031.48</v>
      </c>
      <c r="O810" s="710">
        <f t="shared" si="61"/>
        <v>97.704619999999991</v>
      </c>
      <c r="P810" s="711">
        <f t="shared" si="62"/>
        <v>3.0532693749999997</v>
      </c>
      <c r="Q810" s="712">
        <f t="shared" si="63"/>
        <v>142588.61928000001</v>
      </c>
    </row>
    <row r="811" spans="1:17" ht="15.75" customHeight="1">
      <c r="A811" s="759" t="s">
        <v>2656</v>
      </c>
      <c r="B811" s="723">
        <v>45279</v>
      </c>
      <c r="C811" s="722" t="s">
        <v>1597</v>
      </c>
      <c r="D811" s="722" t="s">
        <v>1598</v>
      </c>
      <c r="E811" s="725">
        <v>6.5</v>
      </c>
      <c r="F811" s="724" t="s">
        <v>1599</v>
      </c>
      <c r="G811" s="724" t="s">
        <v>1600</v>
      </c>
      <c r="H811" s="772" t="s">
        <v>1841</v>
      </c>
      <c r="I811" s="727">
        <v>9486</v>
      </c>
      <c r="J811" s="753" t="s">
        <v>1599</v>
      </c>
      <c r="K811" s="728">
        <v>3830</v>
      </c>
      <c r="L811" s="743">
        <f t="shared" si="66"/>
        <v>16979.7</v>
      </c>
      <c r="M811" s="728">
        <v>20809.7</v>
      </c>
      <c r="N811" s="842">
        <v>13441.45</v>
      </c>
      <c r="O811" s="710">
        <f t="shared" si="61"/>
        <v>87.369425000000007</v>
      </c>
      <c r="P811" s="711">
        <f t="shared" si="62"/>
        <v>2.7302945312500002</v>
      </c>
      <c r="Q811" s="712">
        <f t="shared" si="63"/>
        <v>127505.5947</v>
      </c>
    </row>
    <row r="812" spans="1:17" s="683" customFormat="1" ht="15.75" customHeight="1">
      <c r="A812" s="773" t="s">
        <v>2657</v>
      </c>
      <c r="B812" s="774">
        <v>45266</v>
      </c>
      <c r="C812" s="775" t="s">
        <v>1597</v>
      </c>
      <c r="D812" s="775" t="s">
        <v>1598</v>
      </c>
      <c r="E812" s="776">
        <v>6.2</v>
      </c>
      <c r="F812" s="773" t="s">
        <v>1599</v>
      </c>
      <c r="G812" s="773" t="s">
        <v>1600</v>
      </c>
      <c r="H812" s="777" t="s">
        <v>1963</v>
      </c>
      <c r="I812" s="778">
        <v>14253</v>
      </c>
      <c r="J812" s="779" t="s">
        <v>1599</v>
      </c>
      <c r="K812" s="780">
        <v>3700</v>
      </c>
      <c r="L812" s="781">
        <f t="shared" si="66"/>
        <v>11402.82</v>
      </c>
      <c r="M812" s="782">
        <v>15102.82</v>
      </c>
      <c r="N812" s="897">
        <v>8563.44</v>
      </c>
      <c r="O812" s="710">
        <f t="shared" si="61"/>
        <v>53.093328</v>
      </c>
      <c r="P812" s="711">
        <f t="shared" si="62"/>
        <v>1.6591665</v>
      </c>
      <c r="Q812" s="712">
        <f t="shared" si="63"/>
        <v>122054.71032000001</v>
      </c>
    </row>
    <row r="813" spans="1:17" ht="15.75" customHeight="1">
      <c r="A813" s="724" t="s">
        <v>2658</v>
      </c>
      <c r="B813" s="723">
        <v>45266</v>
      </c>
      <c r="C813" s="722" t="s">
        <v>1597</v>
      </c>
      <c r="D813" s="722" t="s">
        <v>1598</v>
      </c>
      <c r="E813" s="725">
        <v>6.2</v>
      </c>
      <c r="F813" s="724" t="s">
        <v>1599</v>
      </c>
      <c r="G813" s="724" t="s">
        <v>1600</v>
      </c>
      <c r="H813" s="772" t="s">
        <v>1963</v>
      </c>
      <c r="I813" s="727">
        <v>14253</v>
      </c>
      <c r="J813" s="753" t="s">
        <v>1599</v>
      </c>
      <c r="K813" s="728">
        <v>3700</v>
      </c>
      <c r="L813" s="743">
        <f t="shared" si="66"/>
        <v>12236.38</v>
      </c>
      <c r="M813" s="741">
        <v>15936.38</v>
      </c>
      <c r="N813" s="842">
        <v>9343.92</v>
      </c>
      <c r="O813" s="710">
        <f t="shared" si="61"/>
        <v>57.932304000000002</v>
      </c>
      <c r="P813" s="711">
        <f t="shared" si="62"/>
        <v>1.8103845000000001</v>
      </c>
      <c r="Q813" s="712">
        <f t="shared" si="63"/>
        <v>133178.89176</v>
      </c>
    </row>
    <row r="814" spans="1:17" s="683" customFormat="1" ht="15.75" customHeight="1">
      <c r="A814" s="773" t="s">
        <v>2659</v>
      </c>
      <c r="B814" s="774">
        <v>45274</v>
      </c>
      <c r="C814" s="784" t="s">
        <v>1597</v>
      </c>
      <c r="D814" s="784" t="s">
        <v>1598</v>
      </c>
      <c r="E814" s="785">
        <v>6.2</v>
      </c>
      <c r="F814" s="784" t="s">
        <v>1599</v>
      </c>
      <c r="G814" s="784" t="s">
        <v>1600</v>
      </c>
      <c r="H814" s="777" t="s">
        <v>1798</v>
      </c>
      <c r="I814" s="778">
        <v>1931</v>
      </c>
      <c r="J814" s="786" t="s">
        <v>1599</v>
      </c>
      <c r="K814" s="787">
        <v>2272.1999999999998</v>
      </c>
      <c r="L814" s="788">
        <v>1125.5999999999999</v>
      </c>
      <c r="M814" s="789">
        <v>3397.8</v>
      </c>
      <c r="N814" s="898">
        <v>2272.1999999999998</v>
      </c>
      <c r="O814" s="710">
        <f t="shared" si="61"/>
        <v>14.087639999999999</v>
      </c>
      <c r="P814" s="711">
        <f t="shared" si="62"/>
        <v>0.44023874999999996</v>
      </c>
      <c r="Q814" s="712">
        <f t="shared" si="63"/>
        <v>4387.618199999999</v>
      </c>
    </row>
    <row r="815" spans="1:17" ht="15.75" customHeight="1">
      <c r="A815" s="724" t="s">
        <v>2660</v>
      </c>
      <c r="B815" s="723">
        <v>45272</v>
      </c>
      <c r="C815" s="701" t="s">
        <v>1597</v>
      </c>
      <c r="D815" s="701" t="s">
        <v>1598</v>
      </c>
      <c r="E815" s="703">
        <v>6.2</v>
      </c>
      <c r="F815" s="701" t="s">
        <v>1599</v>
      </c>
      <c r="G815" s="701" t="s">
        <v>1600</v>
      </c>
      <c r="H815" s="772" t="s">
        <v>1798</v>
      </c>
      <c r="I815" s="727">
        <v>1931</v>
      </c>
      <c r="J815" s="706" t="s">
        <v>1599</v>
      </c>
      <c r="K815" s="707">
        <v>4186.24</v>
      </c>
      <c r="L815" s="747">
        <v>1496.12</v>
      </c>
      <c r="M815" s="754">
        <v>5682.36</v>
      </c>
      <c r="N815" s="841">
        <v>4186.24</v>
      </c>
      <c r="O815" s="710">
        <f t="shared" si="61"/>
        <v>25.954687999999997</v>
      </c>
      <c r="P815" s="711">
        <f t="shared" si="62"/>
        <v>0.81108399999999992</v>
      </c>
      <c r="Q815" s="712">
        <f t="shared" si="63"/>
        <v>8083.6294399999997</v>
      </c>
    </row>
    <row r="816" spans="1:17" s="683" customFormat="1" ht="15.75" customHeight="1">
      <c r="A816" s="783" t="s">
        <v>2661</v>
      </c>
      <c r="B816" s="774">
        <v>45267</v>
      </c>
      <c r="C816" s="775" t="s">
        <v>1597</v>
      </c>
      <c r="D816" s="775" t="s">
        <v>1598</v>
      </c>
      <c r="E816" s="776">
        <v>6.2</v>
      </c>
      <c r="F816" s="773" t="s">
        <v>1599</v>
      </c>
      <c r="G816" s="773" t="s">
        <v>1600</v>
      </c>
      <c r="H816" s="777" t="s">
        <v>1809</v>
      </c>
      <c r="I816" s="778">
        <v>15168</v>
      </c>
      <c r="J816" s="779" t="s">
        <v>1599</v>
      </c>
      <c r="K816" s="780">
        <v>3690</v>
      </c>
      <c r="L816" s="781">
        <f t="shared" ref="L816:L840" si="67">M816-K816</f>
        <v>20225.2</v>
      </c>
      <c r="M816" s="782">
        <v>23915.200000000001</v>
      </c>
      <c r="N816" s="897">
        <v>16320</v>
      </c>
      <c r="O816" s="710">
        <f t="shared" si="61"/>
        <v>101.184</v>
      </c>
      <c r="P816" s="711">
        <f t="shared" si="62"/>
        <v>3.1619999999999999</v>
      </c>
      <c r="Q816" s="712">
        <f t="shared" si="63"/>
        <v>247541.76000000001</v>
      </c>
    </row>
    <row r="817" spans="1:17" ht="15.75" customHeight="1">
      <c r="A817" s="759" t="s">
        <v>2662</v>
      </c>
      <c r="B817" s="723">
        <v>45268</v>
      </c>
      <c r="C817" s="722" t="s">
        <v>1597</v>
      </c>
      <c r="D817" s="722" t="s">
        <v>1598</v>
      </c>
      <c r="E817" s="725">
        <v>6.2</v>
      </c>
      <c r="F817" s="724" t="s">
        <v>1599</v>
      </c>
      <c r="G817" s="724" t="s">
        <v>1600</v>
      </c>
      <c r="H817" s="772" t="s">
        <v>1963</v>
      </c>
      <c r="I817" s="727">
        <v>14253</v>
      </c>
      <c r="J817" s="753" t="s">
        <v>1599</v>
      </c>
      <c r="K817" s="728">
        <v>3850</v>
      </c>
      <c r="L817" s="743">
        <f t="shared" si="67"/>
        <v>11305.4</v>
      </c>
      <c r="M817" s="741">
        <v>15155.4</v>
      </c>
      <c r="N817" s="842">
        <v>8474.36</v>
      </c>
      <c r="O817" s="710">
        <f t="shared" si="61"/>
        <v>52.541032000000008</v>
      </c>
      <c r="P817" s="711">
        <f t="shared" si="62"/>
        <v>1.6419072500000003</v>
      </c>
      <c r="Q817" s="712">
        <f t="shared" si="63"/>
        <v>120785.05308000001</v>
      </c>
    </row>
    <row r="818" spans="1:17" s="683" customFormat="1" ht="15.75" customHeight="1">
      <c r="A818" s="783" t="s">
        <v>2663</v>
      </c>
      <c r="B818" s="774">
        <v>45270</v>
      </c>
      <c r="C818" s="775" t="s">
        <v>1597</v>
      </c>
      <c r="D818" s="775" t="s">
        <v>1598</v>
      </c>
      <c r="E818" s="776">
        <v>7.1</v>
      </c>
      <c r="F818" s="773" t="s">
        <v>1599</v>
      </c>
      <c r="G818" s="773" t="s">
        <v>1600</v>
      </c>
      <c r="H818" s="777" t="s">
        <v>1880</v>
      </c>
      <c r="I818" s="778">
        <v>13558</v>
      </c>
      <c r="J818" s="779" t="s">
        <v>1599</v>
      </c>
      <c r="K818" s="780">
        <v>3700</v>
      </c>
      <c r="L818" s="781">
        <f t="shared" si="67"/>
        <v>16362.8</v>
      </c>
      <c r="M818" s="782">
        <v>20062.8</v>
      </c>
      <c r="N818" s="897">
        <v>14035</v>
      </c>
      <c r="O818" s="710">
        <f t="shared" si="61"/>
        <v>99.648499999999999</v>
      </c>
      <c r="P818" s="711">
        <f t="shared" si="62"/>
        <v>3.114015625</v>
      </c>
      <c r="Q818" s="712">
        <f t="shared" si="63"/>
        <v>190286.53</v>
      </c>
    </row>
    <row r="819" spans="1:17" ht="15.75" customHeight="1">
      <c r="A819" s="759" t="s">
        <v>2664</v>
      </c>
      <c r="B819" s="723">
        <v>45271</v>
      </c>
      <c r="C819" s="722" t="s">
        <v>1597</v>
      </c>
      <c r="D819" s="722" t="s">
        <v>1598</v>
      </c>
      <c r="E819" s="725">
        <v>7.1</v>
      </c>
      <c r="F819" s="724" t="s">
        <v>1599</v>
      </c>
      <c r="G819" s="724" t="s">
        <v>1600</v>
      </c>
      <c r="H819" s="772" t="s">
        <v>1893</v>
      </c>
      <c r="I819" s="727">
        <v>2167</v>
      </c>
      <c r="J819" s="753" t="s">
        <v>1599</v>
      </c>
      <c r="K819" s="728">
        <v>2200</v>
      </c>
      <c r="L819" s="743">
        <f t="shared" si="67"/>
        <v>4442.55</v>
      </c>
      <c r="M819" s="741">
        <v>6642.55</v>
      </c>
      <c r="N819" s="842">
        <v>3332.95</v>
      </c>
      <c r="O819" s="710">
        <f t="shared" si="61"/>
        <v>23.663944999999995</v>
      </c>
      <c r="P819" s="711">
        <f t="shared" si="62"/>
        <v>0.73949828124999983</v>
      </c>
      <c r="Q819" s="712">
        <f t="shared" si="63"/>
        <v>7222.5026499999994</v>
      </c>
    </row>
    <row r="820" spans="1:17" s="683" customFormat="1" ht="15.75" customHeight="1">
      <c r="A820" s="783" t="s">
        <v>2665</v>
      </c>
      <c r="B820" s="774">
        <v>45272</v>
      </c>
      <c r="C820" s="775" t="s">
        <v>1597</v>
      </c>
      <c r="D820" s="775" t="s">
        <v>1598</v>
      </c>
      <c r="E820" s="776">
        <v>6.5</v>
      </c>
      <c r="F820" s="773" t="s">
        <v>1599</v>
      </c>
      <c r="G820" s="773" t="s">
        <v>1600</v>
      </c>
      <c r="H820" s="777" t="s">
        <v>1836</v>
      </c>
      <c r="I820" s="778">
        <v>14544</v>
      </c>
      <c r="J820" s="779" t="s">
        <v>1599</v>
      </c>
      <c r="K820" s="780">
        <v>3840</v>
      </c>
      <c r="L820" s="781">
        <f t="shared" si="67"/>
        <v>17889.099999999999</v>
      </c>
      <c r="M820" s="782">
        <v>21729.1</v>
      </c>
      <c r="N820" s="897">
        <v>14665.2</v>
      </c>
      <c r="O820" s="710">
        <f t="shared" si="61"/>
        <v>95.323800000000006</v>
      </c>
      <c r="P820" s="711">
        <f t="shared" si="62"/>
        <v>2.9788687500000002</v>
      </c>
      <c r="Q820" s="712">
        <f t="shared" si="63"/>
        <v>213290.66880000001</v>
      </c>
    </row>
    <row r="821" spans="1:17" ht="15.75" customHeight="1">
      <c r="A821" s="759" t="s">
        <v>2666</v>
      </c>
      <c r="B821" s="723">
        <v>45274</v>
      </c>
      <c r="C821" s="722" t="s">
        <v>1597</v>
      </c>
      <c r="D821" s="722" t="s">
        <v>1598</v>
      </c>
      <c r="E821" s="725">
        <v>6.2</v>
      </c>
      <c r="F821" s="724" t="s">
        <v>1599</v>
      </c>
      <c r="G821" s="724" t="s">
        <v>1600</v>
      </c>
      <c r="H821" s="772" t="s">
        <v>1815</v>
      </c>
      <c r="I821" s="727">
        <v>17387</v>
      </c>
      <c r="J821" s="753" t="s">
        <v>1599</v>
      </c>
      <c r="K821" s="728">
        <v>3840</v>
      </c>
      <c r="L821" s="743">
        <f t="shared" si="67"/>
        <v>17170.88</v>
      </c>
      <c r="M821" s="730">
        <v>21010.880000000001</v>
      </c>
      <c r="N821" s="842">
        <v>14892.1</v>
      </c>
      <c r="O821" s="710">
        <f t="shared" si="61"/>
        <v>92.331020000000009</v>
      </c>
      <c r="P821" s="711">
        <f t="shared" si="62"/>
        <v>2.8853443750000003</v>
      </c>
      <c r="Q821" s="712">
        <f t="shared" si="63"/>
        <v>258928.94270000001</v>
      </c>
    </row>
    <row r="822" spans="1:17" s="683" customFormat="1" ht="15.75" customHeight="1">
      <c r="A822" s="783" t="s">
        <v>2667</v>
      </c>
      <c r="B822" s="774">
        <v>45273</v>
      </c>
      <c r="C822" s="775" t="s">
        <v>1597</v>
      </c>
      <c r="D822" s="775" t="s">
        <v>1598</v>
      </c>
      <c r="E822" s="776">
        <v>6.2</v>
      </c>
      <c r="F822" s="773" t="s">
        <v>1599</v>
      </c>
      <c r="G822" s="773" t="s">
        <v>1600</v>
      </c>
      <c r="H822" s="777" t="s">
        <v>1880</v>
      </c>
      <c r="I822" s="778">
        <v>13558</v>
      </c>
      <c r="J822" s="779" t="s">
        <v>1599</v>
      </c>
      <c r="K822" s="780">
        <v>3700</v>
      </c>
      <c r="L822" s="781">
        <f t="shared" si="67"/>
        <v>19071.599999999999</v>
      </c>
      <c r="M822" s="790">
        <v>22771.599999999999</v>
      </c>
      <c r="N822" s="897">
        <v>15602.4</v>
      </c>
      <c r="O822" s="710">
        <f t="shared" si="61"/>
        <v>96.734880000000004</v>
      </c>
      <c r="P822" s="711">
        <f t="shared" si="62"/>
        <v>3.0229650000000001</v>
      </c>
      <c r="Q822" s="712">
        <f t="shared" si="63"/>
        <v>211537.33919999999</v>
      </c>
    </row>
    <row r="823" spans="1:17" ht="15.75" customHeight="1">
      <c r="A823" s="759" t="s">
        <v>2668</v>
      </c>
      <c r="B823" s="723">
        <v>45271</v>
      </c>
      <c r="C823" s="722" t="s">
        <v>1597</v>
      </c>
      <c r="D823" s="722" t="s">
        <v>1598</v>
      </c>
      <c r="E823" s="725">
        <v>6.5</v>
      </c>
      <c r="F823" s="724" t="s">
        <v>1599</v>
      </c>
      <c r="G823" s="724" t="s">
        <v>1600</v>
      </c>
      <c r="H823" s="772" t="s">
        <v>1805</v>
      </c>
      <c r="I823" s="727">
        <v>8894</v>
      </c>
      <c r="J823" s="753" t="s">
        <v>1599</v>
      </c>
      <c r="K823" s="728">
        <v>2260</v>
      </c>
      <c r="L823" s="743">
        <f t="shared" si="67"/>
        <v>13467</v>
      </c>
      <c r="M823" s="741">
        <v>15727</v>
      </c>
      <c r="N823" s="842">
        <v>12812.32</v>
      </c>
      <c r="O823" s="710">
        <f t="shared" si="61"/>
        <v>83.280079999999998</v>
      </c>
      <c r="P823" s="711">
        <f t="shared" si="62"/>
        <v>2.6025024999999999</v>
      </c>
      <c r="Q823" s="712">
        <f t="shared" si="63"/>
        <v>113952.77408</v>
      </c>
    </row>
    <row r="824" spans="1:17" s="683" customFormat="1" ht="15.75" customHeight="1">
      <c r="A824" s="783" t="s">
        <v>2669</v>
      </c>
      <c r="B824" s="774">
        <v>45273</v>
      </c>
      <c r="C824" s="775" t="s">
        <v>1597</v>
      </c>
      <c r="D824" s="775" t="s">
        <v>1598</v>
      </c>
      <c r="E824" s="776">
        <v>6</v>
      </c>
      <c r="F824" s="773" t="s">
        <v>1599</v>
      </c>
      <c r="G824" s="773" t="s">
        <v>1600</v>
      </c>
      <c r="H824" s="777" t="s">
        <v>1818</v>
      </c>
      <c r="I824" s="778">
        <v>14000</v>
      </c>
      <c r="J824" s="779" t="s">
        <v>1599</v>
      </c>
      <c r="K824" s="780">
        <v>3820</v>
      </c>
      <c r="L824" s="781">
        <f t="shared" si="67"/>
        <v>18329.919999999998</v>
      </c>
      <c r="M824" s="790">
        <v>22149.919999999998</v>
      </c>
      <c r="N824" s="897">
        <v>16103.96</v>
      </c>
      <c r="O824" s="710">
        <f t="shared" si="61"/>
        <v>96.62375999999999</v>
      </c>
      <c r="P824" s="711">
        <f t="shared" si="62"/>
        <v>3.0194924999999997</v>
      </c>
      <c r="Q824" s="712">
        <f t="shared" si="63"/>
        <v>225455.44</v>
      </c>
    </row>
    <row r="825" spans="1:17" ht="15.75" customHeight="1">
      <c r="A825" s="759" t="s">
        <v>2670</v>
      </c>
      <c r="B825" s="723">
        <v>45273</v>
      </c>
      <c r="C825" s="722" t="s">
        <v>1597</v>
      </c>
      <c r="D825" s="722" t="s">
        <v>1598</v>
      </c>
      <c r="E825" s="725">
        <v>6</v>
      </c>
      <c r="F825" s="724" t="s">
        <v>1599</v>
      </c>
      <c r="G825" s="724" t="s">
        <v>1600</v>
      </c>
      <c r="H825" s="772" t="s">
        <v>1818</v>
      </c>
      <c r="I825" s="727">
        <v>14000</v>
      </c>
      <c r="J825" s="753" t="s">
        <v>1599</v>
      </c>
      <c r="K825" s="728">
        <v>3750</v>
      </c>
      <c r="L825" s="743">
        <f t="shared" si="67"/>
        <v>17920.98</v>
      </c>
      <c r="M825" s="730">
        <v>21670.98</v>
      </c>
      <c r="N825" s="842">
        <v>15745.74</v>
      </c>
      <c r="O825" s="710">
        <f t="shared" si="61"/>
        <v>94.474440000000001</v>
      </c>
      <c r="P825" s="711">
        <f t="shared" si="62"/>
        <v>2.95232625</v>
      </c>
      <c r="Q825" s="712">
        <f t="shared" si="63"/>
        <v>220440.36</v>
      </c>
    </row>
    <row r="826" spans="1:17" s="683" customFormat="1" ht="15.75" customHeight="1">
      <c r="A826" s="775" t="s">
        <v>2671</v>
      </c>
      <c r="B826" s="774">
        <v>45273</v>
      </c>
      <c r="C826" s="775" t="s">
        <v>1597</v>
      </c>
      <c r="D826" s="775" t="s">
        <v>1598</v>
      </c>
      <c r="E826" s="776">
        <v>6</v>
      </c>
      <c r="F826" s="773" t="s">
        <v>1599</v>
      </c>
      <c r="G826" s="773" t="s">
        <v>1600</v>
      </c>
      <c r="H826" s="777" t="s">
        <v>1818</v>
      </c>
      <c r="I826" s="778">
        <v>14000</v>
      </c>
      <c r="J826" s="779" t="s">
        <v>1599</v>
      </c>
      <c r="K826" s="780">
        <v>3700</v>
      </c>
      <c r="L826" s="781">
        <f t="shared" si="67"/>
        <v>17629.98</v>
      </c>
      <c r="M826" s="790">
        <v>21329.98</v>
      </c>
      <c r="N826" s="897">
        <v>15474.22</v>
      </c>
      <c r="O826" s="710">
        <f t="shared" si="61"/>
        <v>92.845319999999987</v>
      </c>
      <c r="P826" s="711">
        <f t="shared" si="62"/>
        <v>2.9014162499999996</v>
      </c>
      <c r="Q826" s="712">
        <f t="shared" si="63"/>
        <v>216639.08</v>
      </c>
    </row>
    <row r="827" spans="1:17" ht="15.75" customHeight="1">
      <c r="A827" s="759" t="s">
        <v>2672</v>
      </c>
      <c r="B827" s="723">
        <v>45273</v>
      </c>
      <c r="C827" s="722" t="s">
        <v>1597</v>
      </c>
      <c r="D827" s="722" t="s">
        <v>1598</v>
      </c>
      <c r="E827" s="725">
        <v>6</v>
      </c>
      <c r="F827" s="724" t="s">
        <v>1599</v>
      </c>
      <c r="G827" s="724" t="s">
        <v>1600</v>
      </c>
      <c r="H827" s="772" t="s">
        <v>1818</v>
      </c>
      <c r="I827" s="727">
        <v>14000</v>
      </c>
      <c r="J827" s="753" t="s">
        <v>1599</v>
      </c>
      <c r="K827" s="728">
        <v>3670</v>
      </c>
      <c r="L827" s="743">
        <f t="shared" si="67"/>
        <v>17937.72</v>
      </c>
      <c r="M827" s="730">
        <v>21607.72</v>
      </c>
      <c r="N827" s="842">
        <v>15964.7</v>
      </c>
      <c r="O827" s="710">
        <f t="shared" si="61"/>
        <v>95.788200000000018</v>
      </c>
      <c r="P827" s="711">
        <f t="shared" si="62"/>
        <v>2.9933812500000005</v>
      </c>
      <c r="Q827" s="712">
        <f t="shared" si="63"/>
        <v>223505.8</v>
      </c>
    </row>
    <row r="828" spans="1:17" s="683" customFormat="1" ht="15.75" customHeight="1">
      <c r="A828" s="783" t="s">
        <v>2673</v>
      </c>
      <c r="B828" s="774">
        <v>45285</v>
      </c>
      <c r="C828" s="775" t="s">
        <v>1597</v>
      </c>
      <c r="D828" s="775" t="s">
        <v>1598</v>
      </c>
      <c r="E828" s="776">
        <v>3.6</v>
      </c>
      <c r="F828" s="773" t="s">
        <v>1599</v>
      </c>
      <c r="G828" s="773" t="s">
        <v>1600</v>
      </c>
      <c r="H828" s="777" t="s">
        <v>2043</v>
      </c>
      <c r="I828" s="778">
        <v>4220</v>
      </c>
      <c r="J828" s="779" t="s">
        <v>1599</v>
      </c>
      <c r="K828" s="776">
        <v>2210</v>
      </c>
      <c r="L828" s="781">
        <f t="shared" si="67"/>
        <v>5240.3500000000004</v>
      </c>
      <c r="M828" s="776">
        <v>7450.35</v>
      </c>
      <c r="N828" s="897">
        <v>4100.4399999999996</v>
      </c>
      <c r="O828" s="710">
        <f t="shared" si="61"/>
        <v>14.761583999999999</v>
      </c>
      <c r="P828" s="711">
        <f t="shared" si="62"/>
        <v>0.46129949999999997</v>
      </c>
      <c r="Q828" s="712">
        <f t="shared" si="63"/>
        <v>17303.856799999998</v>
      </c>
    </row>
    <row r="829" spans="1:17" ht="15.75" customHeight="1">
      <c r="A829" s="759" t="s">
        <v>2674</v>
      </c>
      <c r="B829" s="723">
        <v>45273</v>
      </c>
      <c r="C829" s="722" t="s">
        <v>1597</v>
      </c>
      <c r="D829" s="722" t="s">
        <v>1598</v>
      </c>
      <c r="E829" s="725">
        <v>5.8</v>
      </c>
      <c r="F829" s="724" t="s">
        <v>1599</v>
      </c>
      <c r="G829" s="724" t="s">
        <v>1600</v>
      </c>
      <c r="H829" s="772" t="s">
        <v>1850</v>
      </c>
      <c r="I829" s="727">
        <v>9687</v>
      </c>
      <c r="J829" s="753" t="s">
        <v>1599</v>
      </c>
      <c r="K829" s="728">
        <v>3800</v>
      </c>
      <c r="L829" s="743">
        <f t="shared" si="67"/>
        <v>19897</v>
      </c>
      <c r="M829" s="741">
        <v>23697</v>
      </c>
      <c r="N829" s="842">
        <v>18561</v>
      </c>
      <c r="O829" s="710">
        <f t="shared" si="61"/>
        <v>107.6538</v>
      </c>
      <c r="P829" s="711">
        <f t="shared" si="62"/>
        <v>3.3641812500000001</v>
      </c>
      <c r="Q829" s="712">
        <f t="shared" si="63"/>
        <v>179800.40700000001</v>
      </c>
    </row>
    <row r="830" spans="1:17" s="683" customFormat="1" ht="15.75" customHeight="1">
      <c r="A830" s="783" t="s">
        <v>2675</v>
      </c>
      <c r="B830" s="774">
        <v>45274</v>
      </c>
      <c r="C830" s="775" t="s">
        <v>1597</v>
      </c>
      <c r="D830" s="775" t="s">
        <v>1598</v>
      </c>
      <c r="E830" s="776">
        <v>6.2</v>
      </c>
      <c r="F830" s="773" t="s">
        <v>1599</v>
      </c>
      <c r="G830" s="773" t="s">
        <v>1600</v>
      </c>
      <c r="H830" s="777" t="s">
        <v>1836</v>
      </c>
      <c r="I830" s="778">
        <v>14544</v>
      </c>
      <c r="J830" s="779" t="s">
        <v>1599</v>
      </c>
      <c r="K830" s="780">
        <v>3700</v>
      </c>
      <c r="L830" s="781">
        <f t="shared" si="67"/>
        <v>16362.8</v>
      </c>
      <c r="M830" s="790">
        <v>20062.8</v>
      </c>
      <c r="N830" s="897">
        <v>14035</v>
      </c>
      <c r="O830" s="710">
        <f t="shared" si="61"/>
        <v>87.016999999999996</v>
      </c>
      <c r="P830" s="711">
        <f t="shared" si="62"/>
        <v>2.7192812499999999</v>
      </c>
      <c r="Q830" s="712">
        <f t="shared" si="63"/>
        <v>204125.04</v>
      </c>
    </row>
    <row r="831" spans="1:17" ht="15.75" customHeight="1">
      <c r="A831" s="759" t="s">
        <v>2676</v>
      </c>
      <c r="B831" s="723">
        <v>45275</v>
      </c>
      <c r="C831" s="722" t="s">
        <v>1597</v>
      </c>
      <c r="D831" s="722" t="s">
        <v>1598</v>
      </c>
      <c r="E831" s="725">
        <v>7.1</v>
      </c>
      <c r="F831" s="724" t="s">
        <v>1599</v>
      </c>
      <c r="G831" s="724" t="s">
        <v>1600</v>
      </c>
      <c r="H831" s="772" t="s">
        <v>1880</v>
      </c>
      <c r="I831" s="727">
        <v>13558</v>
      </c>
      <c r="J831" s="753" t="s">
        <v>1599</v>
      </c>
      <c r="K831" s="728">
        <v>3700</v>
      </c>
      <c r="L831" s="743">
        <f t="shared" si="67"/>
        <v>16362.8</v>
      </c>
      <c r="M831" s="728">
        <v>20062.8</v>
      </c>
      <c r="N831" s="842">
        <v>14035</v>
      </c>
      <c r="O831" s="710">
        <f t="shared" si="61"/>
        <v>99.648499999999999</v>
      </c>
      <c r="P831" s="711">
        <f t="shared" si="62"/>
        <v>3.114015625</v>
      </c>
      <c r="Q831" s="712">
        <f t="shared" si="63"/>
        <v>190286.53</v>
      </c>
    </row>
    <row r="832" spans="1:17" s="683" customFormat="1" ht="15.75" customHeight="1">
      <c r="A832" s="783" t="s">
        <v>2677</v>
      </c>
      <c r="B832" s="774">
        <v>45275</v>
      </c>
      <c r="C832" s="775" t="s">
        <v>1597</v>
      </c>
      <c r="D832" s="775" t="s">
        <v>1598</v>
      </c>
      <c r="E832" s="776">
        <v>7.1</v>
      </c>
      <c r="F832" s="773" t="s">
        <v>1599</v>
      </c>
      <c r="G832" s="773" t="s">
        <v>1600</v>
      </c>
      <c r="H832" s="777" t="s">
        <v>1880</v>
      </c>
      <c r="I832" s="778">
        <v>13558</v>
      </c>
      <c r="J832" s="779" t="s">
        <v>1599</v>
      </c>
      <c r="K832" s="780">
        <v>3900</v>
      </c>
      <c r="L832" s="781">
        <f t="shared" si="67"/>
        <v>12560</v>
      </c>
      <c r="M832" s="790">
        <v>16460</v>
      </c>
      <c r="N832" s="897">
        <v>9747.4</v>
      </c>
      <c r="O832" s="710">
        <f t="shared" si="61"/>
        <v>69.20653999999999</v>
      </c>
      <c r="P832" s="711">
        <f t="shared" si="62"/>
        <v>2.1627043749999997</v>
      </c>
      <c r="Q832" s="712">
        <f t="shared" si="63"/>
        <v>132155.24919999999</v>
      </c>
    </row>
    <row r="833" spans="1:17" ht="15.75" customHeight="1">
      <c r="A833" s="759" t="s">
        <v>2678</v>
      </c>
      <c r="B833" s="723">
        <v>45276</v>
      </c>
      <c r="C833" s="722" t="s">
        <v>1597</v>
      </c>
      <c r="D833" s="722" t="s">
        <v>1598</v>
      </c>
      <c r="E833" s="725">
        <v>7.5</v>
      </c>
      <c r="F833" s="724" t="s">
        <v>1599</v>
      </c>
      <c r="G833" s="724" t="s">
        <v>1600</v>
      </c>
      <c r="H833" s="772" t="s">
        <v>1844</v>
      </c>
      <c r="I833" s="727">
        <v>5727</v>
      </c>
      <c r="J833" s="753" t="s">
        <v>1599</v>
      </c>
      <c r="K833" s="728">
        <v>3770</v>
      </c>
      <c r="L833" s="743">
        <f t="shared" si="67"/>
        <v>8217.26</v>
      </c>
      <c r="M833" s="741">
        <v>11987.26</v>
      </c>
      <c r="N833" s="842">
        <v>6143.94</v>
      </c>
      <c r="O833" s="710">
        <f t="shared" si="61"/>
        <v>46.079549999999998</v>
      </c>
      <c r="P833" s="711">
        <f t="shared" si="62"/>
        <v>1.4399859374999999</v>
      </c>
      <c r="Q833" s="712">
        <f t="shared" si="63"/>
        <v>35186.344379999995</v>
      </c>
    </row>
    <row r="834" spans="1:17" s="683" customFormat="1" ht="15.75" customHeight="1">
      <c r="A834" s="783" t="s">
        <v>2679</v>
      </c>
      <c r="B834" s="774">
        <v>45285</v>
      </c>
      <c r="C834" s="775" t="s">
        <v>1597</v>
      </c>
      <c r="D834" s="775" t="s">
        <v>1598</v>
      </c>
      <c r="E834" s="776">
        <v>5.8</v>
      </c>
      <c r="F834" s="773" t="s">
        <v>1599</v>
      </c>
      <c r="G834" s="773" t="s">
        <v>1600</v>
      </c>
      <c r="H834" s="777" t="s">
        <v>1854</v>
      </c>
      <c r="I834" s="778">
        <v>8865</v>
      </c>
      <c r="J834" s="779" t="s">
        <v>1599</v>
      </c>
      <c r="K834" s="776">
        <v>2150</v>
      </c>
      <c r="L834" s="781">
        <f t="shared" si="67"/>
        <v>11618</v>
      </c>
      <c r="M834" s="776">
        <v>13768</v>
      </c>
      <c r="N834" s="897">
        <v>9875</v>
      </c>
      <c r="O834" s="710">
        <f t="shared" si="61"/>
        <v>57.274999999999999</v>
      </c>
      <c r="P834" s="711">
        <f t="shared" si="62"/>
        <v>1.78984375</v>
      </c>
      <c r="Q834" s="712">
        <f t="shared" si="63"/>
        <v>87541.875</v>
      </c>
    </row>
    <row r="835" spans="1:17" ht="15.75" customHeight="1">
      <c r="A835" s="759" t="s">
        <v>2680</v>
      </c>
      <c r="B835" s="723">
        <v>45281</v>
      </c>
      <c r="C835" s="722" t="s">
        <v>1597</v>
      </c>
      <c r="D835" s="722" t="s">
        <v>1598</v>
      </c>
      <c r="E835" s="725">
        <v>3.6</v>
      </c>
      <c r="F835" s="724" t="s">
        <v>1599</v>
      </c>
      <c r="G835" s="724" t="s">
        <v>1600</v>
      </c>
      <c r="H835" s="772" t="s">
        <v>1976</v>
      </c>
      <c r="I835" s="727">
        <v>4608</v>
      </c>
      <c r="J835" s="753" t="s">
        <v>1599</v>
      </c>
      <c r="K835" s="728">
        <v>2100</v>
      </c>
      <c r="L835" s="743">
        <f t="shared" si="67"/>
        <v>5349.3</v>
      </c>
      <c r="M835" s="741">
        <v>7449.3</v>
      </c>
      <c r="N835" s="842">
        <v>4211.9799999999996</v>
      </c>
      <c r="O835" s="710">
        <f t="shared" si="61"/>
        <v>15.163127999999999</v>
      </c>
      <c r="P835" s="711">
        <f t="shared" si="62"/>
        <v>0.47384774999999996</v>
      </c>
      <c r="Q835" s="712">
        <f t="shared" si="63"/>
        <v>19408.803839999997</v>
      </c>
    </row>
    <row r="836" spans="1:17" s="683" customFormat="1" ht="15.75" customHeight="1">
      <c r="A836" s="783" t="s">
        <v>2681</v>
      </c>
      <c r="B836" s="774">
        <v>45275</v>
      </c>
      <c r="C836" s="775" t="s">
        <v>1597</v>
      </c>
      <c r="D836" s="775" t="s">
        <v>1598</v>
      </c>
      <c r="E836" s="776">
        <v>7.1</v>
      </c>
      <c r="F836" s="773" t="s">
        <v>1599</v>
      </c>
      <c r="G836" s="773" t="s">
        <v>1600</v>
      </c>
      <c r="H836" s="777" t="s">
        <v>1809</v>
      </c>
      <c r="I836" s="778">
        <v>15168</v>
      </c>
      <c r="J836" s="779" t="s">
        <v>1599</v>
      </c>
      <c r="K836" s="780">
        <v>3950</v>
      </c>
      <c r="L836" s="781">
        <f t="shared" si="67"/>
        <v>20664.599999999999</v>
      </c>
      <c r="M836" s="790">
        <v>24614.6</v>
      </c>
      <c r="N836" s="897">
        <v>16464</v>
      </c>
      <c r="O836" s="710">
        <f t="shared" si="61"/>
        <v>116.89439999999999</v>
      </c>
      <c r="P836" s="711">
        <f t="shared" si="62"/>
        <v>3.6529499999999997</v>
      </c>
      <c r="Q836" s="712">
        <f t="shared" si="63"/>
        <v>249725.95199999999</v>
      </c>
    </row>
    <row r="837" spans="1:17" ht="15.75" customHeight="1">
      <c r="A837" s="759" t="s">
        <v>2682</v>
      </c>
      <c r="B837" s="723">
        <v>45278</v>
      </c>
      <c r="C837" s="722" t="s">
        <v>1597</v>
      </c>
      <c r="D837" s="722" t="s">
        <v>1598</v>
      </c>
      <c r="E837" s="725">
        <v>11.9</v>
      </c>
      <c r="F837" s="724" t="s">
        <v>1599</v>
      </c>
      <c r="G837" s="724" t="s">
        <v>1600</v>
      </c>
      <c r="H837" s="772" t="s">
        <v>1807</v>
      </c>
      <c r="I837" s="727">
        <v>1734</v>
      </c>
      <c r="J837" s="753" t="s">
        <v>1599</v>
      </c>
      <c r="K837" s="728">
        <v>3650</v>
      </c>
      <c r="L837" s="743">
        <f t="shared" si="67"/>
        <v>10058.6</v>
      </c>
      <c r="M837" s="728">
        <v>13708.6</v>
      </c>
      <c r="N837" s="842">
        <v>7931.1</v>
      </c>
      <c r="O837" s="710">
        <f t="shared" si="61"/>
        <v>94.38009000000001</v>
      </c>
      <c r="P837" s="711">
        <f t="shared" si="62"/>
        <v>2.9493778125000003</v>
      </c>
      <c r="Q837" s="712">
        <f t="shared" si="63"/>
        <v>13752.527400000001</v>
      </c>
    </row>
    <row r="838" spans="1:17" s="683" customFormat="1" ht="15.75" customHeight="1">
      <c r="A838" s="783" t="s">
        <v>2683</v>
      </c>
      <c r="B838" s="774">
        <v>45278</v>
      </c>
      <c r="C838" s="775" t="s">
        <v>1597</v>
      </c>
      <c r="D838" s="775" t="s">
        <v>1598</v>
      </c>
      <c r="E838" s="776">
        <v>11.9</v>
      </c>
      <c r="F838" s="773" t="s">
        <v>1599</v>
      </c>
      <c r="G838" s="773" t="s">
        <v>1600</v>
      </c>
      <c r="H838" s="777" t="s">
        <v>1807</v>
      </c>
      <c r="I838" s="778">
        <v>1734</v>
      </c>
      <c r="J838" s="779" t="s">
        <v>1599</v>
      </c>
      <c r="K838" s="780">
        <v>3590</v>
      </c>
      <c r="L838" s="781">
        <f t="shared" si="67"/>
        <v>12342</v>
      </c>
      <c r="M838" s="780">
        <v>15932</v>
      </c>
      <c r="N838" s="897">
        <v>9511</v>
      </c>
      <c r="O838" s="710">
        <f t="shared" ref="O838:O867" si="68">N838*E838/1000</f>
        <v>113.18090000000001</v>
      </c>
      <c r="P838" s="711">
        <f t="shared" ref="P838:P867" si="69">O838/32</f>
        <v>3.5369031250000003</v>
      </c>
      <c r="Q838" s="712">
        <f t="shared" ref="Q838:Q867" si="70">N838*I838/1000</f>
        <v>16492.074000000001</v>
      </c>
    </row>
    <row r="839" spans="1:17" ht="15.75" customHeight="1">
      <c r="A839" s="759" t="s">
        <v>2684</v>
      </c>
      <c r="B839" s="723">
        <v>45278</v>
      </c>
      <c r="C839" s="722" t="s">
        <v>1597</v>
      </c>
      <c r="D839" s="722" t="s">
        <v>1598</v>
      </c>
      <c r="E839" s="725">
        <v>6.5</v>
      </c>
      <c r="F839" s="724" t="s">
        <v>1599</v>
      </c>
      <c r="G839" s="724" t="s">
        <v>1600</v>
      </c>
      <c r="H839" s="772" t="s">
        <v>1963</v>
      </c>
      <c r="I839" s="727">
        <v>14253</v>
      </c>
      <c r="J839" s="753" t="s">
        <v>1599</v>
      </c>
      <c r="K839" s="728">
        <v>3700</v>
      </c>
      <c r="L839" s="743">
        <f t="shared" si="67"/>
        <v>10382.77</v>
      </c>
      <c r="M839" s="728">
        <v>14082.77</v>
      </c>
      <c r="N839" s="842">
        <v>7650.69</v>
      </c>
      <c r="O839" s="710">
        <f t="shared" si="68"/>
        <v>49.729485000000004</v>
      </c>
      <c r="P839" s="711">
        <f t="shared" si="69"/>
        <v>1.5540464062500001</v>
      </c>
      <c r="Q839" s="712">
        <f t="shared" si="70"/>
        <v>109045.28456999999</v>
      </c>
    </row>
    <row r="840" spans="1:17" s="683" customFormat="1" ht="15.75" customHeight="1">
      <c r="A840" s="783" t="s">
        <v>2685</v>
      </c>
      <c r="B840" s="774">
        <v>45279</v>
      </c>
      <c r="C840" s="775" t="s">
        <v>1597</v>
      </c>
      <c r="D840" s="775" t="s">
        <v>1598</v>
      </c>
      <c r="E840" s="776">
        <v>6.2</v>
      </c>
      <c r="F840" s="773" t="s">
        <v>1599</v>
      </c>
      <c r="G840" s="773" t="s">
        <v>1600</v>
      </c>
      <c r="H840" s="777" t="s">
        <v>1836</v>
      </c>
      <c r="I840" s="778">
        <v>14544</v>
      </c>
      <c r="J840" s="779" t="s">
        <v>1599</v>
      </c>
      <c r="K840" s="780">
        <v>3700</v>
      </c>
      <c r="L840" s="781">
        <f t="shared" si="67"/>
        <v>17889.099999999999</v>
      </c>
      <c r="M840" s="780">
        <v>21589.1</v>
      </c>
      <c r="N840" s="897">
        <v>14665.2</v>
      </c>
      <c r="O840" s="710">
        <f t="shared" si="68"/>
        <v>90.924240000000012</v>
      </c>
      <c r="P840" s="711">
        <f t="shared" si="69"/>
        <v>2.8413825000000004</v>
      </c>
      <c r="Q840" s="712">
        <f t="shared" si="70"/>
        <v>213290.66880000001</v>
      </c>
    </row>
    <row r="841" spans="1:17" ht="15.75" customHeight="1">
      <c r="A841" s="722" t="s">
        <v>2686</v>
      </c>
      <c r="B841" s="723">
        <v>45279</v>
      </c>
      <c r="C841" s="701" t="s">
        <v>1597</v>
      </c>
      <c r="D841" s="701" t="s">
        <v>1598</v>
      </c>
      <c r="E841" s="703">
        <v>6.5</v>
      </c>
      <c r="F841" s="701" t="s">
        <v>1599</v>
      </c>
      <c r="G841" s="701" t="s">
        <v>1600</v>
      </c>
      <c r="H841" s="772" t="s">
        <v>1846</v>
      </c>
      <c r="I841" s="727">
        <v>5317</v>
      </c>
      <c r="J841" s="706" t="s">
        <v>1599</v>
      </c>
      <c r="K841" s="707">
        <v>2220</v>
      </c>
      <c r="L841" s="747">
        <v>3802.89</v>
      </c>
      <c r="M841" s="754">
        <v>6023</v>
      </c>
      <c r="N841" s="842">
        <v>2636.01</v>
      </c>
      <c r="O841" s="710">
        <f t="shared" si="68"/>
        <v>17.134065000000003</v>
      </c>
      <c r="P841" s="711">
        <f t="shared" si="69"/>
        <v>0.5354395312500001</v>
      </c>
      <c r="Q841" s="712">
        <f t="shared" si="70"/>
        <v>14015.665170000002</v>
      </c>
    </row>
    <row r="842" spans="1:17" s="683" customFormat="1" ht="15.75" customHeight="1">
      <c r="A842" s="783" t="s">
        <v>2687</v>
      </c>
      <c r="B842" s="774">
        <v>45280</v>
      </c>
      <c r="C842" s="775" t="s">
        <v>1597</v>
      </c>
      <c r="D842" s="775" t="s">
        <v>1598</v>
      </c>
      <c r="E842" s="776">
        <v>6.2</v>
      </c>
      <c r="F842" s="773" t="s">
        <v>1599</v>
      </c>
      <c r="G842" s="773" t="s">
        <v>1600</v>
      </c>
      <c r="H842" s="777" t="s">
        <v>1880</v>
      </c>
      <c r="I842" s="778">
        <v>13558</v>
      </c>
      <c r="J842" s="779" t="s">
        <v>1599</v>
      </c>
      <c r="K842" s="780">
        <v>3700</v>
      </c>
      <c r="L842" s="781">
        <f t="shared" ref="L842:L867" si="71">M842-K842</f>
        <v>19071.599999999999</v>
      </c>
      <c r="M842" s="782">
        <v>22771.599999999999</v>
      </c>
      <c r="N842" s="897">
        <v>15602.4</v>
      </c>
      <c r="O842" s="710">
        <f t="shared" si="68"/>
        <v>96.734880000000004</v>
      </c>
      <c r="P842" s="711">
        <f t="shared" si="69"/>
        <v>3.0229650000000001</v>
      </c>
      <c r="Q842" s="712">
        <f t="shared" si="70"/>
        <v>211537.33919999999</v>
      </c>
    </row>
    <row r="843" spans="1:17" ht="15.75" customHeight="1">
      <c r="A843" s="759" t="s">
        <v>2688</v>
      </c>
      <c r="B843" s="723">
        <v>45279</v>
      </c>
      <c r="C843" s="722" t="s">
        <v>1597</v>
      </c>
      <c r="D843" s="722" t="s">
        <v>1598</v>
      </c>
      <c r="E843" s="725">
        <v>6.5</v>
      </c>
      <c r="F843" s="724" t="s">
        <v>1599</v>
      </c>
      <c r="G843" s="724" t="s">
        <v>1600</v>
      </c>
      <c r="H843" s="772" t="s">
        <v>1886</v>
      </c>
      <c r="I843" s="727">
        <v>13877</v>
      </c>
      <c r="J843" s="753" t="s">
        <v>1599</v>
      </c>
      <c r="K843" s="728">
        <v>3870</v>
      </c>
      <c r="L843" s="743">
        <f t="shared" si="71"/>
        <v>9774.2000000000007</v>
      </c>
      <c r="M843" s="728">
        <v>13644.2</v>
      </c>
      <c r="N843" s="842">
        <v>6917.4</v>
      </c>
      <c r="O843" s="710">
        <f t="shared" si="68"/>
        <v>44.963099999999997</v>
      </c>
      <c r="P843" s="711">
        <f t="shared" si="69"/>
        <v>1.4050968749999999</v>
      </c>
      <c r="Q843" s="712">
        <f t="shared" si="70"/>
        <v>95992.7598</v>
      </c>
    </row>
    <row r="844" spans="1:17" s="683" customFormat="1" ht="15.75" customHeight="1">
      <c r="A844" s="783" t="s">
        <v>2689</v>
      </c>
      <c r="B844" s="774">
        <v>45281</v>
      </c>
      <c r="C844" s="775" t="s">
        <v>1597</v>
      </c>
      <c r="D844" s="775" t="s">
        <v>1598</v>
      </c>
      <c r="E844" s="776">
        <v>6.5</v>
      </c>
      <c r="F844" s="773" t="s">
        <v>1599</v>
      </c>
      <c r="G844" s="773" t="s">
        <v>1600</v>
      </c>
      <c r="H844" s="777" t="s">
        <v>1886</v>
      </c>
      <c r="I844" s="778">
        <v>13877</v>
      </c>
      <c r="J844" s="779" t="s">
        <v>1599</v>
      </c>
      <c r="K844" s="780">
        <v>3900</v>
      </c>
      <c r="L844" s="781">
        <f t="shared" si="71"/>
        <v>10213.4</v>
      </c>
      <c r="M844" s="782">
        <v>14113.4</v>
      </c>
      <c r="N844" s="897">
        <v>7356.6</v>
      </c>
      <c r="O844" s="710">
        <f t="shared" si="68"/>
        <v>47.817900000000002</v>
      </c>
      <c r="P844" s="711">
        <f t="shared" si="69"/>
        <v>1.4943093750000001</v>
      </c>
      <c r="Q844" s="712">
        <f t="shared" si="70"/>
        <v>102087.53820000001</v>
      </c>
    </row>
    <row r="845" spans="1:17" ht="15.75" customHeight="1">
      <c r="A845" s="759" t="s">
        <v>2690</v>
      </c>
      <c r="B845" s="723">
        <v>45281</v>
      </c>
      <c r="C845" s="722" t="s">
        <v>1597</v>
      </c>
      <c r="D845" s="722" t="s">
        <v>1598</v>
      </c>
      <c r="E845" s="725">
        <v>6.5</v>
      </c>
      <c r="F845" s="724" t="s">
        <v>1599</v>
      </c>
      <c r="G845" s="724" t="s">
        <v>1600</v>
      </c>
      <c r="H845" s="772" t="s">
        <v>1886</v>
      </c>
      <c r="I845" s="727">
        <v>13877</v>
      </c>
      <c r="J845" s="753" t="s">
        <v>1599</v>
      </c>
      <c r="K845" s="728">
        <v>3840</v>
      </c>
      <c r="L845" s="743">
        <f t="shared" si="71"/>
        <v>10726</v>
      </c>
      <c r="M845" s="730">
        <v>14566</v>
      </c>
      <c r="N845" s="842">
        <v>8196.2000000000007</v>
      </c>
      <c r="O845" s="710">
        <f t="shared" si="68"/>
        <v>53.275300000000001</v>
      </c>
      <c r="P845" s="711">
        <f t="shared" si="69"/>
        <v>1.664853125</v>
      </c>
      <c r="Q845" s="712">
        <f t="shared" si="70"/>
        <v>113738.66740000001</v>
      </c>
    </row>
    <row r="846" spans="1:17" s="683" customFormat="1" ht="15.75" customHeight="1">
      <c r="A846" s="783" t="s">
        <v>2691</v>
      </c>
      <c r="B846" s="774">
        <v>45280</v>
      </c>
      <c r="C846" s="775" t="s">
        <v>1597</v>
      </c>
      <c r="D846" s="775" t="s">
        <v>1598</v>
      </c>
      <c r="E846" s="776">
        <v>6.5</v>
      </c>
      <c r="F846" s="773" t="s">
        <v>1599</v>
      </c>
      <c r="G846" s="773" t="s">
        <v>1600</v>
      </c>
      <c r="H846" s="777" t="s">
        <v>1886</v>
      </c>
      <c r="I846" s="778">
        <v>13877</v>
      </c>
      <c r="J846" s="779" t="s">
        <v>1599</v>
      </c>
      <c r="K846" s="780">
        <v>3860</v>
      </c>
      <c r="L846" s="781">
        <f t="shared" si="71"/>
        <v>10189.799999999999</v>
      </c>
      <c r="M846" s="782">
        <v>14049.8</v>
      </c>
      <c r="N846" s="897">
        <v>7660</v>
      </c>
      <c r="O846" s="710">
        <f t="shared" si="68"/>
        <v>49.79</v>
      </c>
      <c r="P846" s="711">
        <f t="shared" si="69"/>
        <v>1.5559375</v>
      </c>
      <c r="Q846" s="712">
        <f t="shared" si="70"/>
        <v>106297.82</v>
      </c>
    </row>
    <row r="847" spans="1:17" ht="15.75" customHeight="1">
      <c r="A847" s="759" t="s">
        <v>2692</v>
      </c>
      <c r="B847" s="723">
        <v>45280</v>
      </c>
      <c r="C847" s="722" t="s">
        <v>1597</v>
      </c>
      <c r="D847" s="722" t="s">
        <v>1598</v>
      </c>
      <c r="E847" s="725">
        <v>6</v>
      </c>
      <c r="F847" s="724" t="s">
        <v>1599</v>
      </c>
      <c r="G847" s="724" t="s">
        <v>1600</v>
      </c>
      <c r="H847" s="772" t="s">
        <v>1971</v>
      </c>
      <c r="I847" s="727">
        <v>4358</v>
      </c>
      <c r="J847" s="753" t="s">
        <v>1599</v>
      </c>
      <c r="K847" s="728">
        <v>2245</v>
      </c>
      <c r="L847" s="743">
        <f t="shared" si="71"/>
        <v>5353.25</v>
      </c>
      <c r="M847" s="741">
        <v>7598.25</v>
      </c>
      <c r="N847" s="842">
        <v>4242.9399999999996</v>
      </c>
      <c r="O847" s="710">
        <f t="shared" si="68"/>
        <v>25.457639999999998</v>
      </c>
      <c r="P847" s="711">
        <f t="shared" si="69"/>
        <v>0.79555124999999993</v>
      </c>
      <c r="Q847" s="712">
        <f t="shared" si="70"/>
        <v>18490.732519999998</v>
      </c>
    </row>
    <row r="848" spans="1:17" s="683" customFormat="1" ht="15.75" customHeight="1">
      <c r="A848" s="783" t="s">
        <v>2693</v>
      </c>
      <c r="B848" s="774">
        <v>45282</v>
      </c>
      <c r="C848" s="775" t="s">
        <v>1597</v>
      </c>
      <c r="D848" s="775" t="s">
        <v>1598</v>
      </c>
      <c r="E848" s="776">
        <v>3.6</v>
      </c>
      <c r="F848" s="773" t="s">
        <v>1599</v>
      </c>
      <c r="G848" s="773" t="s">
        <v>1600</v>
      </c>
      <c r="H848" s="777" t="s">
        <v>1965</v>
      </c>
      <c r="I848" s="778">
        <v>5092</v>
      </c>
      <c r="J848" s="779" t="s">
        <v>1599</v>
      </c>
      <c r="K848" s="780">
        <v>2200</v>
      </c>
      <c r="L848" s="781">
        <f t="shared" si="71"/>
        <v>5336.4</v>
      </c>
      <c r="M848" s="782">
        <v>7536.4</v>
      </c>
      <c r="N848" s="897">
        <v>4173.3999999999996</v>
      </c>
      <c r="O848" s="710">
        <f t="shared" si="68"/>
        <v>15.024239999999999</v>
      </c>
      <c r="P848" s="711">
        <f t="shared" si="69"/>
        <v>0.46950749999999997</v>
      </c>
      <c r="Q848" s="712">
        <f t="shared" si="70"/>
        <v>21250.952799999995</v>
      </c>
    </row>
    <row r="849" spans="1:17" ht="15.75" customHeight="1">
      <c r="A849" s="759" t="s">
        <v>2694</v>
      </c>
      <c r="B849" s="723">
        <v>45285</v>
      </c>
      <c r="C849" s="722" t="s">
        <v>1597</v>
      </c>
      <c r="D849" s="722" t="s">
        <v>1598</v>
      </c>
      <c r="E849" s="725">
        <v>3.6</v>
      </c>
      <c r="F849" s="724" t="s">
        <v>1599</v>
      </c>
      <c r="G849" s="724" t="s">
        <v>1600</v>
      </c>
      <c r="H849" s="772" t="s">
        <v>1932</v>
      </c>
      <c r="I849" s="727">
        <v>4823</v>
      </c>
      <c r="J849" s="753" t="s">
        <v>1599</v>
      </c>
      <c r="K849" s="725">
        <v>2180</v>
      </c>
      <c r="L849" s="743">
        <f t="shared" si="71"/>
        <v>5380.1</v>
      </c>
      <c r="M849" s="725">
        <v>7560.1</v>
      </c>
      <c r="N849" s="842">
        <v>4218.92</v>
      </c>
      <c r="O849" s="710">
        <f t="shared" si="68"/>
        <v>15.188112</v>
      </c>
      <c r="P849" s="711">
        <f t="shared" si="69"/>
        <v>0.47462850000000001</v>
      </c>
      <c r="Q849" s="712">
        <f t="shared" si="70"/>
        <v>20347.851159999998</v>
      </c>
    </row>
    <row r="850" spans="1:17" s="683" customFormat="1" ht="15.75" customHeight="1">
      <c r="A850" s="783" t="s">
        <v>2695</v>
      </c>
      <c r="B850" s="774">
        <v>45279</v>
      </c>
      <c r="C850" s="775" t="s">
        <v>1597</v>
      </c>
      <c r="D850" s="775" t="s">
        <v>1598</v>
      </c>
      <c r="E850" s="776">
        <v>5.2</v>
      </c>
      <c r="F850" s="773" t="s">
        <v>1599</v>
      </c>
      <c r="G850" s="773" t="s">
        <v>1600</v>
      </c>
      <c r="H850" s="777" t="s">
        <v>1825</v>
      </c>
      <c r="I850" s="778">
        <v>15486</v>
      </c>
      <c r="J850" s="779" t="s">
        <v>1599</v>
      </c>
      <c r="K850" s="780">
        <v>3800</v>
      </c>
      <c r="L850" s="781">
        <f t="shared" si="71"/>
        <v>10906.4</v>
      </c>
      <c r="M850" s="780">
        <v>14706.4</v>
      </c>
      <c r="N850" s="897">
        <v>8324.8799999999992</v>
      </c>
      <c r="O850" s="710">
        <f t="shared" si="68"/>
        <v>43.289375999999997</v>
      </c>
      <c r="P850" s="711">
        <f t="shared" si="69"/>
        <v>1.3527929999999999</v>
      </c>
      <c r="Q850" s="712">
        <f t="shared" si="70"/>
        <v>128919.09168</v>
      </c>
    </row>
    <row r="851" spans="1:17" ht="15.75" customHeight="1">
      <c r="A851" s="759" t="s">
        <v>2696</v>
      </c>
      <c r="B851" s="723">
        <v>45281</v>
      </c>
      <c r="C851" s="722" t="s">
        <v>1597</v>
      </c>
      <c r="D851" s="722" t="s">
        <v>1598</v>
      </c>
      <c r="E851" s="725">
        <v>6.2</v>
      </c>
      <c r="F851" s="724" t="s">
        <v>1599</v>
      </c>
      <c r="G851" s="724" t="s">
        <v>1600</v>
      </c>
      <c r="H851" s="772" t="s">
        <v>1815</v>
      </c>
      <c r="I851" s="727">
        <v>17387</v>
      </c>
      <c r="J851" s="753" t="s">
        <v>1599</v>
      </c>
      <c r="K851" s="728">
        <v>3860</v>
      </c>
      <c r="L851" s="743">
        <f t="shared" si="71"/>
        <v>19049.16</v>
      </c>
      <c r="M851" s="741">
        <v>22909.16</v>
      </c>
      <c r="N851" s="842">
        <v>16904.16</v>
      </c>
      <c r="O851" s="710">
        <f t="shared" si="68"/>
        <v>104.805792</v>
      </c>
      <c r="P851" s="711">
        <f t="shared" si="69"/>
        <v>3.2751809999999999</v>
      </c>
      <c r="Q851" s="712">
        <f t="shared" si="70"/>
        <v>293912.62992000004</v>
      </c>
    </row>
    <row r="852" spans="1:17" s="683" customFormat="1" ht="15.75" customHeight="1">
      <c r="A852" s="783" t="s">
        <v>2697</v>
      </c>
      <c r="B852" s="774">
        <v>45280</v>
      </c>
      <c r="C852" s="775" t="s">
        <v>1597</v>
      </c>
      <c r="D852" s="775" t="s">
        <v>1598</v>
      </c>
      <c r="E852" s="776">
        <v>6.2</v>
      </c>
      <c r="F852" s="773" t="s">
        <v>1599</v>
      </c>
      <c r="G852" s="773" t="s">
        <v>1600</v>
      </c>
      <c r="H852" s="777" t="s">
        <v>1831</v>
      </c>
      <c r="I852" s="778">
        <v>7283</v>
      </c>
      <c r="J852" s="779" t="s">
        <v>1599</v>
      </c>
      <c r="K852" s="780">
        <v>3700</v>
      </c>
      <c r="L852" s="781">
        <f t="shared" si="71"/>
        <v>24642</v>
      </c>
      <c r="M852" s="782">
        <v>28342</v>
      </c>
      <c r="N852" s="897">
        <v>20093</v>
      </c>
      <c r="O852" s="710">
        <f t="shared" si="68"/>
        <v>124.5766</v>
      </c>
      <c r="P852" s="711">
        <f t="shared" si="69"/>
        <v>3.89301875</v>
      </c>
      <c r="Q852" s="712">
        <f t="shared" si="70"/>
        <v>146337.31899999999</v>
      </c>
    </row>
    <row r="853" spans="1:17" ht="15.75" customHeight="1">
      <c r="A853" s="759" t="s">
        <v>2698</v>
      </c>
      <c r="B853" s="723">
        <v>45279</v>
      </c>
      <c r="C853" s="722" t="s">
        <v>1597</v>
      </c>
      <c r="D853" s="722" t="s">
        <v>1598</v>
      </c>
      <c r="E853" s="725">
        <v>5.2</v>
      </c>
      <c r="F853" s="724" t="s">
        <v>1599</v>
      </c>
      <c r="G853" s="724" t="s">
        <v>1600</v>
      </c>
      <c r="H853" s="772" t="s">
        <v>1825</v>
      </c>
      <c r="I853" s="727">
        <v>15486</v>
      </c>
      <c r="J853" s="753" t="s">
        <v>1599</v>
      </c>
      <c r="K853" s="728">
        <v>3700</v>
      </c>
      <c r="L853" s="743">
        <f t="shared" si="71"/>
        <v>10588</v>
      </c>
      <c r="M853" s="728">
        <v>14288</v>
      </c>
      <c r="N853" s="842">
        <v>7899</v>
      </c>
      <c r="O853" s="710">
        <f t="shared" si="68"/>
        <v>41.074800000000003</v>
      </c>
      <c r="P853" s="711">
        <f t="shared" si="69"/>
        <v>1.2835875000000001</v>
      </c>
      <c r="Q853" s="712">
        <f t="shared" si="70"/>
        <v>122323.914</v>
      </c>
    </row>
    <row r="854" spans="1:17" s="683" customFormat="1" ht="15.75" customHeight="1">
      <c r="A854" s="783" t="s">
        <v>2699</v>
      </c>
      <c r="B854" s="774">
        <v>45282</v>
      </c>
      <c r="C854" s="775" t="s">
        <v>1597</v>
      </c>
      <c r="D854" s="775" t="s">
        <v>1598</v>
      </c>
      <c r="E854" s="776">
        <v>6.2</v>
      </c>
      <c r="F854" s="773" t="s">
        <v>1599</v>
      </c>
      <c r="G854" s="773" t="s">
        <v>1600</v>
      </c>
      <c r="H854" s="777" t="s">
        <v>1836</v>
      </c>
      <c r="I854" s="778">
        <v>14544</v>
      </c>
      <c r="J854" s="779" t="s">
        <v>1599</v>
      </c>
      <c r="K854" s="780">
        <v>3800</v>
      </c>
      <c r="L854" s="781">
        <f t="shared" si="71"/>
        <v>16362.8</v>
      </c>
      <c r="M854" s="782">
        <v>20162.8</v>
      </c>
      <c r="N854" s="897">
        <v>14035</v>
      </c>
      <c r="O854" s="710">
        <f t="shared" si="68"/>
        <v>87.016999999999996</v>
      </c>
      <c r="P854" s="711">
        <f t="shared" si="69"/>
        <v>2.7192812499999999</v>
      </c>
      <c r="Q854" s="712">
        <f t="shared" si="70"/>
        <v>204125.04</v>
      </c>
    </row>
    <row r="855" spans="1:17" ht="15.75" customHeight="1">
      <c r="A855" s="759" t="s">
        <v>2700</v>
      </c>
      <c r="B855" s="723">
        <v>45281</v>
      </c>
      <c r="C855" s="722" t="s">
        <v>1597</v>
      </c>
      <c r="D855" s="722" t="s">
        <v>1598</v>
      </c>
      <c r="E855" s="725">
        <v>6.2</v>
      </c>
      <c r="F855" s="724" t="s">
        <v>1599</v>
      </c>
      <c r="G855" s="724" t="s">
        <v>1600</v>
      </c>
      <c r="H855" s="772" t="s">
        <v>1836</v>
      </c>
      <c r="I855" s="727">
        <v>14544</v>
      </c>
      <c r="J855" s="753" t="s">
        <v>1599</v>
      </c>
      <c r="K855" s="728">
        <v>3840</v>
      </c>
      <c r="L855" s="743">
        <f t="shared" si="71"/>
        <v>16362.8</v>
      </c>
      <c r="M855" s="741">
        <v>20202.8</v>
      </c>
      <c r="N855" s="842">
        <v>14035</v>
      </c>
      <c r="O855" s="710">
        <f t="shared" si="68"/>
        <v>87.016999999999996</v>
      </c>
      <c r="P855" s="711">
        <f t="shared" si="69"/>
        <v>2.7192812499999999</v>
      </c>
      <c r="Q855" s="712">
        <f t="shared" si="70"/>
        <v>204125.04</v>
      </c>
    </row>
    <row r="856" spans="1:17" s="683" customFormat="1" ht="15.75" customHeight="1">
      <c r="A856" s="783" t="s">
        <v>2701</v>
      </c>
      <c r="B856" s="774">
        <v>45282</v>
      </c>
      <c r="C856" s="775" t="s">
        <v>1597</v>
      </c>
      <c r="D856" s="775" t="s">
        <v>1598</v>
      </c>
      <c r="E856" s="776">
        <v>6.5</v>
      </c>
      <c r="F856" s="773" t="s">
        <v>1599</v>
      </c>
      <c r="G856" s="773" t="s">
        <v>1600</v>
      </c>
      <c r="H856" s="777" t="s">
        <v>1836</v>
      </c>
      <c r="I856" s="778">
        <v>14544</v>
      </c>
      <c r="J856" s="779" t="s">
        <v>1599</v>
      </c>
      <c r="K856" s="780">
        <v>3840</v>
      </c>
      <c r="L856" s="781">
        <f t="shared" si="71"/>
        <v>19071.599999999999</v>
      </c>
      <c r="M856" s="790">
        <v>22911.599999999999</v>
      </c>
      <c r="N856" s="897">
        <v>15602.4</v>
      </c>
      <c r="O856" s="710">
        <f t="shared" si="68"/>
        <v>101.4156</v>
      </c>
      <c r="P856" s="711">
        <f t="shared" si="69"/>
        <v>3.1692374999999999</v>
      </c>
      <c r="Q856" s="712">
        <f t="shared" si="70"/>
        <v>226921.30559999999</v>
      </c>
    </row>
    <row r="857" spans="1:17" ht="15.75" customHeight="1">
      <c r="A857" s="759" t="s">
        <v>2702</v>
      </c>
      <c r="B857" s="723">
        <v>45282</v>
      </c>
      <c r="C857" s="722" t="s">
        <v>1597</v>
      </c>
      <c r="D857" s="722" t="s">
        <v>1598</v>
      </c>
      <c r="E857" s="725">
        <v>6.2</v>
      </c>
      <c r="F857" s="724" t="s">
        <v>1599</v>
      </c>
      <c r="G857" s="724" t="s">
        <v>1600</v>
      </c>
      <c r="H857" s="772" t="s">
        <v>1963</v>
      </c>
      <c r="I857" s="727">
        <v>14253</v>
      </c>
      <c r="J857" s="753" t="s">
        <v>1599</v>
      </c>
      <c r="K857" s="728">
        <v>3700</v>
      </c>
      <c r="L857" s="743">
        <f t="shared" si="71"/>
        <v>10865.66</v>
      </c>
      <c r="M857" s="791">
        <v>14565.66</v>
      </c>
      <c r="N857" s="842">
        <v>8109.74</v>
      </c>
      <c r="O857" s="710">
        <f t="shared" si="68"/>
        <v>50.280388000000002</v>
      </c>
      <c r="P857" s="711">
        <f t="shared" si="69"/>
        <v>1.5712621250000001</v>
      </c>
      <c r="Q857" s="712">
        <f t="shared" si="70"/>
        <v>115588.12422</v>
      </c>
    </row>
    <row r="858" spans="1:17" s="683" customFormat="1" ht="15.75" customHeight="1">
      <c r="A858" s="783" t="s">
        <v>2703</v>
      </c>
      <c r="B858" s="774">
        <v>45283</v>
      </c>
      <c r="C858" s="775" t="s">
        <v>1597</v>
      </c>
      <c r="D858" s="775" t="s">
        <v>1598</v>
      </c>
      <c r="E858" s="776">
        <v>6.5</v>
      </c>
      <c r="F858" s="773" t="s">
        <v>1599</v>
      </c>
      <c r="G858" s="773" t="s">
        <v>1600</v>
      </c>
      <c r="H858" s="777" t="s">
        <v>1884</v>
      </c>
      <c r="I858" s="778">
        <v>13413</v>
      </c>
      <c r="J858" s="779" t="s">
        <v>1599</v>
      </c>
      <c r="K858" s="780">
        <v>3700</v>
      </c>
      <c r="L858" s="781">
        <f t="shared" si="71"/>
        <v>12560</v>
      </c>
      <c r="M858" s="782">
        <v>16260</v>
      </c>
      <c r="N858" s="897">
        <v>9747.4</v>
      </c>
      <c r="O858" s="710">
        <f t="shared" si="68"/>
        <v>63.3581</v>
      </c>
      <c r="P858" s="711">
        <f t="shared" si="69"/>
        <v>1.979940625</v>
      </c>
      <c r="Q858" s="712">
        <f t="shared" si="70"/>
        <v>130741.87619999998</v>
      </c>
    </row>
    <row r="859" spans="1:17" ht="15.75" customHeight="1">
      <c r="A859" s="722" t="s">
        <v>2704</v>
      </c>
      <c r="B859" s="723">
        <v>45285</v>
      </c>
      <c r="C859" s="722" t="s">
        <v>1597</v>
      </c>
      <c r="D859" s="722" t="s">
        <v>1598</v>
      </c>
      <c r="E859" s="725">
        <v>6.5</v>
      </c>
      <c r="F859" s="724" t="s">
        <v>1599</v>
      </c>
      <c r="G859" s="724" t="s">
        <v>1600</v>
      </c>
      <c r="H859" s="772" t="s">
        <v>1884</v>
      </c>
      <c r="I859" s="727">
        <v>13413</v>
      </c>
      <c r="J859" s="753" t="s">
        <v>1599</v>
      </c>
      <c r="K859" s="725">
        <v>3750</v>
      </c>
      <c r="L859" s="743">
        <f t="shared" si="71"/>
        <v>16362.8</v>
      </c>
      <c r="M859" s="725">
        <v>20112.8</v>
      </c>
      <c r="N859" s="842">
        <v>14035</v>
      </c>
      <c r="O859" s="710">
        <f t="shared" si="68"/>
        <v>91.227500000000006</v>
      </c>
      <c r="P859" s="711">
        <f t="shared" si="69"/>
        <v>2.8508593750000002</v>
      </c>
      <c r="Q859" s="712">
        <f t="shared" si="70"/>
        <v>188251.45499999999</v>
      </c>
    </row>
    <row r="860" spans="1:17" s="683" customFormat="1" ht="15.75" customHeight="1">
      <c r="A860" s="783" t="s">
        <v>2705</v>
      </c>
      <c r="B860" s="774">
        <v>45281</v>
      </c>
      <c r="C860" s="775" t="s">
        <v>1597</v>
      </c>
      <c r="D860" s="775" t="s">
        <v>1598</v>
      </c>
      <c r="E860" s="776">
        <v>6.2</v>
      </c>
      <c r="F860" s="773" t="s">
        <v>1599</v>
      </c>
      <c r="G860" s="773" t="s">
        <v>1600</v>
      </c>
      <c r="H860" s="777" t="s">
        <v>1828</v>
      </c>
      <c r="I860" s="778">
        <v>7448</v>
      </c>
      <c r="J860" s="779" t="s">
        <v>1599</v>
      </c>
      <c r="K860" s="780">
        <v>3890</v>
      </c>
      <c r="L860" s="781">
        <f t="shared" si="71"/>
        <v>23902</v>
      </c>
      <c r="M860" s="782">
        <v>27792</v>
      </c>
      <c r="N860" s="897">
        <v>16992</v>
      </c>
      <c r="O860" s="710">
        <f t="shared" si="68"/>
        <v>105.35040000000001</v>
      </c>
      <c r="P860" s="711">
        <f t="shared" si="69"/>
        <v>3.2922000000000002</v>
      </c>
      <c r="Q860" s="712">
        <f t="shared" si="70"/>
        <v>126556.416</v>
      </c>
    </row>
    <row r="861" spans="1:17" ht="15.75" customHeight="1">
      <c r="A861" s="759" t="s">
        <v>2706</v>
      </c>
      <c r="B861" s="723">
        <v>45280</v>
      </c>
      <c r="C861" s="722" t="s">
        <v>1597</v>
      </c>
      <c r="D861" s="722" t="s">
        <v>1598</v>
      </c>
      <c r="E861" s="725">
        <v>6.2</v>
      </c>
      <c r="F861" s="724" t="s">
        <v>1599</v>
      </c>
      <c r="G861" s="724" t="s">
        <v>1600</v>
      </c>
      <c r="H861" s="772" t="s">
        <v>1828</v>
      </c>
      <c r="I861" s="727">
        <v>7448</v>
      </c>
      <c r="J861" s="753" t="s">
        <v>1599</v>
      </c>
      <c r="K861" s="728">
        <v>3900</v>
      </c>
      <c r="L861" s="743">
        <f t="shared" si="71"/>
        <v>19352</v>
      </c>
      <c r="M861" s="741">
        <v>23252</v>
      </c>
      <c r="N861" s="842">
        <v>15181.5</v>
      </c>
      <c r="O861" s="710">
        <f t="shared" si="68"/>
        <v>94.12530000000001</v>
      </c>
      <c r="P861" s="711">
        <f t="shared" si="69"/>
        <v>2.9414156250000003</v>
      </c>
      <c r="Q861" s="712">
        <f t="shared" si="70"/>
        <v>113071.81200000001</v>
      </c>
    </row>
    <row r="862" spans="1:17" s="683" customFormat="1" ht="15.75" customHeight="1">
      <c r="A862" s="783" t="s">
        <v>2707</v>
      </c>
      <c r="B862" s="774">
        <v>45280</v>
      </c>
      <c r="C862" s="775" t="s">
        <v>1597</v>
      </c>
      <c r="D862" s="775" t="s">
        <v>1598</v>
      </c>
      <c r="E862" s="776">
        <v>6.2</v>
      </c>
      <c r="F862" s="773" t="s">
        <v>1599</v>
      </c>
      <c r="G862" s="773" t="s">
        <v>1600</v>
      </c>
      <c r="H862" s="777" t="s">
        <v>1828</v>
      </c>
      <c r="I862" s="778">
        <v>7448</v>
      </c>
      <c r="J862" s="779" t="s">
        <v>1599</v>
      </c>
      <c r="K862" s="780">
        <v>3850</v>
      </c>
      <c r="L862" s="781">
        <f t="shared" si="71"/>
        <v>24732</v>
      </c>
      <c r="M862" s="782">
        <v>28582</v>
      </c>
      <c r="N862" s="897">
        <v>21189.5</v>
      </c>
      <c r="O862" s="710">
        <f t="shared" si="68"/>
        <v>131.3749</v>
      </c>
      <c r="P862" s="711">
        <f t="shared" si="69"/>
        <v>4.1054656249999999</v>
      </c>
      <c r="Q862" s="712">
        <f t="shared" si="70"/>
        <v>157819.39600000001</v>
      </c>
    </row>
    <row r="863" spans="1:17" ht="15.75" customHeight="1">
      <c r="A863" s="759" t="s">
        <v>2708</v>
      </c>
      <c r="B863" s="723">
        <v>45280</v>
      </c>
      <c r="C863" s="722" t="s">
        <v>1597</v>
      </c>
      <c r="D863" s="722" t="s">
        <v>1598</v>
      </c>
      <c r="E863" s="725">
        <v>6.2</v>
      </c>
      <c r="F863" s="724" t="s">
        <v>1599</v>
      </c>
      <c r="G863" s="724" t="s">
        <v>1600</v>
      </c>
      <c r="H863" s="772" t="s">
        <v>1828</v>
      </c>
      <c r="I863" s="727">
        <v>7448</v>
      </c>
      <c r="J863" s="753" t="s">
        <v>1599</v>
      </c>
      <c r="K863" s="728">
        <v>3680</v>
      </c>
      <c r="L863" s="743">
        <f t="shared" si="71"/>
        <v>25007</v>
      </c>
      <c r="M863" s="741">
        <v>28687</v>
      </c>
      <c r="N863" s="842">
        <v>21405</v>
      </c>
      <c r="O863" s="710">
        <f t="shared" si="68"/>
        <v>132.71100000000001</v>
      </c>
      <c r="P863" s="711">
        <f t="shared" si="69"/>
        <v>4.1472187500000004</v>
      </c>
      <c r="Q863" s="712">
        <f t="shared" si="70"/>
        <v>159424.44</v>
      </c>
    </row>
    <row r="864" spans="1:17" s="683" customFormat="1" ht="15.75" customHeight="1">
      <c r="A864" s="783" t="s">
        <v>2709</v>
      </c>
      <c r="B864" s="774">
        <v>45280</v>
      </c>
      <c r="C864" s="775" t="s">
        <v>1597</v>
      </c>
      <c r="D864" s="775" t="s">
        <v>1598</v>
      </c>
      <c r="E864" s="776">
        <v>6.2</v>
      </c>
      <c r="F864" s="773" t="s">
        <v>1599</v>
      </c>
      <c r="G864" s="773" t="s">
        <v>1600</v>
      </c>
      <c r="H864" s="777" t="s">
        <v>1828</v>
      </c>
      <c r="I864" s="778">
        <v>7448</v>
      </c>
      <c r="J864" s="779" t="s">
        <v>1599</v>
      </c>
      <c r="K864" s="780">
        <v>3750</v>
      </c>
      <c r="L864" s="781">
        <f t="shared" si="71"/>
        <v>12202</v>
      </c>
      <c r="M864" s="782">
        <v>15952</v>
      </c>
      <c r="N864" s="897">
        <v>6797.5</v>
      </c>
      <c r="O864" s="710">
        <f t="shared" si="68"/>
        <v>42.144500000000001</v>
      </c>
      <c r="P864" s="711">
        <f t="shared" si="69"/>
        <v>1.317015625</v>
      </c>
      <c r="Q864" s="712">
        <f t="shared" si="70"/>
        <v>50627.78</v>
      </c>
    </row>
    <row r="865" spans="1:17" ht="15.75" customHeight="1">
      <c r="A865" s="759" t="s">
        <v>2710</v>
      </c>
      <c r="B865" s="723">
        <v>45281</v>
      </c>
      <c r="C865" s="722" t="s">
        <v>1597</v>
      </c>
      <c r="D865" s="722" t="s">
        <v>1598</v>
      </c>
      <c r="E865" s="725">
        <v>6.2</v>
      </c>
      <c r="F865" s="724" t="s">
        <v>1599</v>
      </c>
      <c r="G865" s="724" t="s">
        <v>1600</v>
      </c>
      <c r="H865" s="772" t="s">
        <v>1828</v>
      </c>
      <c r="I865" s="727">
        <v>7448</v>
      </c>
      <c r="J865" s="753" t="s">
        <v>1599</v>
      </c>
      <c r="K865" s="728">
        <v>3750</v>
      </c>
      <c r="L865" s="743">
        <f t="shared" si="71"/>
        <v>19227</v>
      </c>
      <c r="M865" s="741">
        <v>22977</v>
      </c>
      <c r="N865" s="842">
        <v>14621</v>
      </c>
      <c r="O865" s="710">
        <f t="shared" si="68"/>
        <v>90.650199999999998</v>
      </c>
      <c r="P865" s="711">
        <f t="shared" si="69"/>
        <v>2.8328187499999999</v>
      </c>
      <c r="Q865" s="712">
        <f t="shared" si="70"/>
        <v>108897.208</v>
      </c>
    </row>
    <row r="866" spans="1:17" s="683" customFormat="1" ht="15.75" customHeight="1">
      <c r="A866" s="783" t="s">
        <v>2711</v>
      </c>
      <c r="B866" s="774">
        <v>45282</v>
      </c>
      <c r="C866" s="775" t="s">
        <v>1597</v>
      </c>
      <c r="D866" s="775" t="s">
        <v>1598</v>
      </c>
      <c r="E866" s="776">
        <v>6</v>
      </c>
      <c r="F866" s="773" t="s">
        <v>1599</v>
      </c>
      <c r="G866" s="773" t="s">
        <v>1600</v>
      </c>
      <c r="H866" s="777" t="s">
        <v>1838</v>
      </c>
      <c r="I866" s="778">
        <v>4972</v>
      </c>
      <c r="J866" s="779" t="s">
        <v>1599</v>
      </c>
      <c r="K866" s="780">
        <v>2210</v>
      </c>
      <c r="L866" s="781">
        <f t="shared" si="71"/>
        <v>5689.66</v>
      </c>
      <c r="M866" s="782">
        <v>7899.66</v>
      </c>
      <c r="N866" s="897">
        <v>4646.82</v>
      </c>
      <c r="O866" s="710">
        <f t="shared" si="68"/>
        <v>27.88092</v>
      </c>
      <c r="P866" s="711">
        <f t="shared" si="69"/>
        <v>0.87127874999999999</v>
      </c>
      <c r="Q866" s="712">
        <f t="shared" si="70"/>
        <v>23103.98904</v>
      </c>
    </row>
    <row r="867" spans="1:17" ht="15.75" customHeight="1">
      <c r="A867" s="759" t="s">
        <v>2712</v>
      </c>
      <c r="B867" s="723">
        <v>45285</v>
      </c>
      <c r="C867" s="722" t="s">
        <v>1597</v>
      </c>
      <c r="D867" s="722" t="s">
        <v>1598</v>
      </c>
      <c r="E867" s="725">
        <v>6</v>
      </c>
      <c r="F867" s="724" t="s">
        <v>1599</v>
      </c>
      <c r="G867" s="724" t="s">
        <v>1600</v>
      </c>
      <c r="H867" s="772" t="s">
        <v>1846</v>
      </c>
      <c r="I867" s="727">
        <v>5317</v>
      </c>
      <c r="J867" s="753" t="s">
        <v>1599</v>
      </c>
      <c r="K867" s="725">
        <v>2245</v>
      </c>
      <c r="L867" s="743">
        <f t="shared" si="71"/>
        <v>3794.7200000000003</v>
      </c>
      <c r="M867" s="725">
        <v>6039.72</v>
      </c>
      <c r="N867" s="842">
        <v>2768.85</v>
      </c>
      <c r="O867" s="710">
        <f t="shared" si="68"/>
        <v>16.613099999999999</v>
      </c>
      <c r="P867" s="711">
        <f t="shared" si="69"/>
        <v>0.51915937499999998</v>
      </c>
      <c r="Q867" s="712">
        <f t="shared" si="70"/>
        <v>14721.97545</v>
      </c>
    </row>
    <row r="868" spans="1:17" ht="15.75" customHeight="1">
      <c r="A868" s="638"/>
      <c r="B868" s="638"/>
      <c r="C868" s="638"/>
      <c r="D868" s="638"/>
      <c r="E868" s="637"/>
      <c r="F868" s="634"/>
      <c r="G868" s="634"/>
      <c r="H868" s="638"/>
      <c r="I868" s="690"/>
      <c r="J868" s="638"/>
      <c r="K868" s="637"/>
      <c r="L868" s="638"/>
      <c r="M868" s="637"/>
      <c r="N868" s="634"/>
      <c r="O868" s="700"/>
      <c r="P868" s="700"/>
      <c r="Q868" s="699"/>
    </row>
    <row r="869" spans="1:17" ht="15.75" customHeight="1">
      <c r="A869" s="631"/>
      <c r="B869" s="631"/>
      <c r="C869" s="631"/>
      <c r="D869" s="631"/>
      <c r="E869" s="630"/>
      <c r="F869" s="628"/>
      <c r="G869" s="628"/>
      <c r="H869" s="631"/>
      <c r="I869" s="691"/>
      <c r="J869" s="631"/>
      <c r="K869" s="630"/>
      <c r="L869" s="631"/>
      <c r="M869" s="630"/>
      <c r="N869" s="628"/>
      <c r="O869" s="631"/>
      <c r="P869" s="631"/>
    </row>
    <row r="870" spans="1:17" ht="15.75" customHeight="1">
      <c r="A870" s="638"/>
      <c r="B870" s="638"/>
      <c r="C870" s="638"/>
      <c r="D870" s="638"/>
      <c r="E870" s="637"/>
      <c r="F870" s="634"/>
      <c r="G870" s="634"/>
      <c r="H870" s="638"/>
      <c r="I870" s="690"/>
      <c r="J870" s="638"/>
      <c r="K870" s="637"/>
      <c r="L870" s="638"/>
      <c r="M870" s="637"/>
      <c r="N870" s="634"/>
      <c r="O870" s="638"/>
      <c r="P870" s="638"/>
    </row>
    <row r="871" spans="1:17" ht="15.75" customHeight="1">
      <c r="A871" s="631"/>
      <c r="B871" s="631"/>
      <c r="C871" s="631"/>
      <c r="D871" s="631"/>
      <c r="E871" s="630"/>
      <c r="F871" s="628"/>
      <c r="G871" s="628"/>
      <c r="H871" s="631"/>
      <c r="I871" s="691"/>
      <c r="J871" s="631"/>
      <c r="K871" s="630"/>
      <c r="L871" s="631"/>
      <c r="M871" s="630"/>
      <c r="N871" s="628"/>
      <c r="O871" s="631"/>
      <c r="P871" s="631"/>
    </row>
    <row r="872" spans="1:17" ht="15.75" customHeight="1">
      <c r="A872" s="638"/>
      <c r="B872" s="638"/>
      <c r="C872" s="638"/>
      <c r="D872" s="638"/>
      <c r="E872" s="637"/>
      <c r="F872" s="634"/>
      <c r="G872" s="634"/>
      <c r="H872" s="638"/>
      <c r="I872" s="690"/>
      <c r="J872" s="638"/>
      <c r="K872" s="637"/>
      <c r="L872" s="638"/>
      <c r="M872" s="637"/>
      <c r="N872" s="634"/>
      <c r="O872" s="638"/>
      <c r="P872" s="638"/>
    </row>
    <row r="873" spans="1:17" ht="15.75" customHeight="1">
      <c r="A873" s="631"/>
      <c r="B873" s="631"/>
      <c r="C873" s="631"/>
      <c r="D873" s="631"/>
      <c r="E873" s="630"/>
      <c r="F873" s="628"/>
      <c r="G873" s="628"/>
      <c r="H873" s="631"/>
      <c r="I873" s="691"/>
      <c r="J873" s="631"/>
      <c r="K873" s="630"/>
      <c r="L873" s="631"/>
      <c r="M873" s="630"/>
      <c r="N873" s="628"/>
      <c r="O873" s="631"/>
      <c r="P873" s="631"/>
    </row>
    <row r="874" spans="1:17" ht="15.75" customHeight="1">
      <c r="A874" s="638"/>
      <c r="B874" s="638"/>
      <c r="C874" s="638"/>
      <c r="D874" s="638"/>
      <c r="E874" s="637"/>
      <c r="F874" s="634"/>
      <c r="G874" s="634"/>
      <c r="H874" s="638"/>
      <c r="I874" s="690"/>
      <c r="J874" s="638"/>
      <c r="K874" s="637"/>
      <c r="L874" s="638"/>
      <c r="M874" s="637"/>
      <c r="N874" s="634"/>
      <c r="O874" s="638"/>
      <c r="P874" s="638"/>
    </row>
    <row r="875" spans="1:17" ht="15.75" customHeight="1">
      <c r="A875" s="631"/>
      <c r="B875" s="631"/>
      <c r="C875" s="631"/>
      <c r="D875" s="631"/>
      <c r="E875" s="630"/>
      <c r="F875" s="628"/>
      <c r="G875" s="628"/>
      <c r="H875" s="631"/>
      <c r="I875" s="691"/>
      <c r="J875" s="631"/>
      <c r="K875" s="630"/>
      <c r="L875" s="631"/>
      <c r="M875" s="630"/>
      <c r="N875" s="628"/>
      <c r="O875" s="631"/>
      <c r="P875" s="631"/>
    </row>
    <row r="876" spans="1:17" ht="15.75" customHeight="1">
      <c r="A876" s="638"/>
      <c r="B876" s="638"/>
      <c r="C876" s="638"/>
      <c r="D876" s="638"/>
      <c r="E876" s="637"/>
      <c r="F876" s="634"/>
      <c r="G876" s="634"/>
      <c r="H876" s="638"/>
      <c r="I876" s="690"/>
      <c r="J876" s="638"/>
      <c r="K876" s="637"/>
      <c r="L876" s="638"/>
      <c r="M876" s="637"/>
      <c r="N876" s="634"/>
      <c r="O876" s="638"/>
      <c r="P876" s="638"/>
    </row>
    <row r="877" spans="1:17" ht="15.75" customHeight="1">
      <c r="A877" s="631"/>
      <c r="B877" s="631"/>
      <c r="C877" s="631"/>
      <c r="D877" s="631"/>
      <c r="E877" s="630"/>
      <c r="F877" s="628"/>
      <c r="G877" s="628"/>
      <c r="H877" s="631"/>
      <c r="I877" s="691"/>
      <c r="J877" s="631"/>
      <c r="K877" s="630"/>
      <c r="L877" s="631"/>
      <c r="M877" s="630"/>
      <c r="N877" s="628"/>
      <c r="O877" s="631"/>
      <c r="P877" s="631"/>
    </row>
    <row r="878" spans="1:17" ht="15.75" customHeight="1">
      <c r="A878" s="638"/>
      <c r="B878" s="638"/>
      <c r="C878" s="638"/>
      <c r="D878" s="638"/>
      <c r="E878" s="637"/>
      <c r="F878" s="634"/>
      <c r="G878" s="634"/>
      <c r="H878" s="638"/>
      <c r="I878" s="690"/>
      <c r="J878" s="638"/>
      <c r="K878" s="637"/>
      <c r="L878" s="638"/>
      <c r="M878" s="637"/>
      <c r="N878" s="634"/>
      <c r="O878" s="638"/>
      <c r="P878" s="638"/>
    </row>
    <row r="879" spans="1:17" ht="15.75" customHeight="1">
      <c r="A879" s="631"/>
      <c r="B879" s="631"/>
      <c r="C879" s="631"/>
      <c r="D879" s="631"/>
      <c r="E879" s="630"/>
      <c r="F879" s="628"/>
      <c r="G879" s="628"/>
      <c r="H879" s="631"/>
      <c r="I879" s="691"/>
      <c r="J879" s="631"/>
      <c r="K879" s="630"/>
      <c r="L879" s="631"/>
      <c r="M879" s="630"/>
      <c r="N879" s="628"/>
      <c r="O879" s="631"/>
      <c r="P879" s="631"/>
    </row>
    <row r="880" spans="1:17" ht="15.75" customHeight="1">
      <c r="A880" s="638"/>
      <c r="B880" s="638"/>
      <c r="C880" s="638"/>
      <c r="D880" s="638"/>
      <c r="E880" s="637"/>
      <c r="F880" s="634"/>
      <c r="G880" s="634"/>
      <c r="H880" s="638"/>
      <c r="I880" s="690"/>
      <c r="J880" s="638"/>
      <c r="K880" s="637"/>
      <c r="L880" s="638"/>
      <c r="M880" s="637"/>
      <c r="N880" s="634"/>
      <c r="O880" s="638"/>
      <c r="P880" s="638"/>
    </row>
    <row r="881" spans="1:16" ht="15.75" customHeight="1">
      <c r="A881" s="631"/>
      <c r="B881" s="631"/>
      <c r="C881" s="631"/>
      <c r="D881" s="631"/>
      <c r="E881" s="630"/>
      <c r="F881" s="628"/>
      <c r="G881" s="628"/>
      <c r="H881" s="631"/>
      <c r="I881" s="691"/>
      <c r="J881" s="631"/>
      <c r="K881" s="630"/>
      <c r="L881" s="631"/>
      <c r="M881" s="630"/>
      <c r="N881" s="628"/>
      <c r="O881" s="631"/>
      <c r="P881" s="631"/>
    </row>
    <row r="882" spans="1:16" ht="15.75" customHeight="1">
      <c r="A882" s="638"/>
      <c r="B882" s="638"/>
      <c r="C882" s="638"/>
      <c r="D882" s="638"/>
      <c r="E882" s="637"/>
      <c r="F882" s="634"/>
      <c r="G882" s="634"/>
      <c r="H882" s="638"/>
      <c r="I882" s="690"/>
      <c r="J882" s="638"/>
      <c r="K882" s="637"/>
      <c r="L882" s="638"/>
      <c r="M882" s="637"/>
      <c r="N882" s="634"/>
      <c r="O882" s="638"/>
      <c r="P882" s="638"/>
    </row>
    <row r="883" spans="1:16" ht="15.75" customHeight="1">
      <c r="A883" s="631"/>
      <c r="B883" s="631"/>
      <c r="C883" s="631"/>
      <c r="D883" s="631"/>
      <c r="E883" s="630"/>
      <c r="F883" s="628"/>
      <c r="G883" s="628"/>
      <c r="H883" s="631"/>
      <c r="I883" s="691"/>
      <c r="J883" s="631"/>
      <c r="K883" s="630"/>
      <c r="L883" s="631"/>
      <c r="M883" s="630"/>
      <c r="N883" s="628"/>
      <c r="O883" s="631"/>
      <c r="P883" s="631"/>
    </row>
    <row r="884" spans="1:16" ht="15.75" customHeight="1">
      <c r="A884" s="638"/>
      <c r="B884" s="638"/>
      <c r="C884" s="638"/>
      <c r="D884" s="638"/>
      <c r="E884" s="637"/>
      <c r="F884" s="634"/>
      <c r="G884" s="634"/>
      <c r="H884" s="638"/>
      <c r="I884" s="690"/>
      <c r="J884" s="638"/>
      <c r="K884" s="637"/>
      <c r="L884" s="638"/>
      <c r="M884" s="637"/>
      <c r="N884" s="634"/>
      <c r="O884" s="638"/>
      <c r="P884" s="638"/>
    </row>
    <row r="885" spans="1:16" ht="15.75" customHeight="1">
      <c r="A885" s="631"/>
      <c r="B885" s="631"/>
      <c r="C885" s="631"/>
      <c r="D885" s="631"/>
      <c r="E885" s="630"/>
      <c r="F885" s="628"/>
      <c r="G885" s="628"/>
      <c r="H885" s="631"/>
      <c r="I885" s="691"/>
      <c r="J885" s="631"/>
      <c r="K885" s="630"/>
      <c r="L885" s="631"/>
      <c r="M885" s="630"/>
      <c r="N885" s="628"/>
      <c r="O885" s="631"/>
      <c r="P885" s="631"/>
    </row>
    <row r="886" spans="1:16" ht="15.75" customHeight="1">
      <c r="A886" s="638"/>
      <c r="B886" s="638"/>
      <c r="C886" s="638"/>
      <c r="D886" s="638"/>
      <c r="E886" s="637"/>
      <c r="F886" s="634"/>
      <c r="G886" s="634"/>
      <c r="H886" s="638"/>
      <c r="I886" s="690"/>
      <c r="J886" s="638"/>
      <c r="K886" s="637"/>
      <c r="L886" s="638"/>
      <c r="M886" s="637"/>
      <c r="N886" s="634"/>
      <c r="O886" s="638"/>
      <c r="P886" s="638"/>
    </row>
    <row r="887" spans="1:16" ht="15.75" customHeight="1">
      <c r="A887" s="631"/>
      <c r="B887" s="631"/>
      <c r="C887" s="631"/>
      <c r="D887" s="631"/>
      <c r="E887" s="630"/>
      <c r="F887" s="628"/>
      <c r="G887" s="628"/>
      <c r="H887" s="631"/>
      <c r="I887" s="691"/>
      <c r="J887" s="631"/>
      <c r="K887" s="630"/>
      <c r="L887" s="631"/>
      <c r="M887" s="630"/>
      <c r="N887" s="628"/>
      <c r="O887" s="631"/>
      <c r="P887" s="631"/>
    </row>
    <row r="888" spans="1:16" ht="15.75" customHeight="1">
      <c r="A888" s="638"/>
      <c r="B888" s="638"/>
      <c r="C888" s="638"/>
      <c r="D888" s="638"/>
      <c r="E888" s="637"/>
      <c r="F888" s="634"/>
      <c r="G888" s="634"/>
      <c r="H888" s="638"/>
      <c r="I888" s="690"/>
      <c r="J888" s="638"/>
      <c r="K888" s="637"/>
      <c r="L888" s="638"/>
      <c r="M888" s="637"/>
      <c r="N888" s="634"/>
      <c r="O888" s="638"/>
      <c r="P888" s="638"/>
    </row>
    <row r="889" spans="1:16" ht="15.75" customHeight="1">
      <c r="A889" s="631"/>
      <c r="B889" s="631"/>
      <c r="C889" s="631"/>
      <c r="D889" s="631"/>
      <c r="E889" s="630"/>
      <c r="F889" s="628"/>
      <c r="G889" s="628"/>
      <c r="H889" s="631"/>
      <c r="I889" s="691"/>
      <c r="J889" s="631"/>
      <c r="K889" s="630"/>
      <c r="L889" s="631"/>
      <c r="M889" s="630"/>
      <c r="N889" s="628"/>
      <c r="O889" s="631"/>
      <c r="P889" s="631"/>
    </row>
    <row r="890" spans="1:16" ht="15.75" customHeight="1">
      <c r="A890" s="638"/>
      <c r="B890" s="638"/>
      <c r="C890" s="638"/>
      <c r="D890" s="638"/>
      <c r="E890" s="637"/>
      <c r="F890" s="634"/>
      <c r="G890" s="634"/>
      <c r="H890" s="638"/>
      <c r="I890" s="690"/>
      <c r="J890" s="638"/>
      <c r="K890" s="637"/>
      <c r="L890" s="638"/>
      <c r="M890" s="637"/>
      <c r="N890" s="634"/>
      <c r="O890" s="638"/>
      <c r="P890" s="638"/>
    </row>
    <row r="891" spans="1:16" ht="15.75" customHeight="1">
      <c r="A891" s="631"/>
      <c r="B891" s="631"/>
      <c r="C891" s="631"/>
      <c r="D891" s="631"/>
      <c r="E891" s="630"/>
      <c r="F891" s="628"/>
      <c r="G891" s="628"/>
      <c r="H891" s="631"/>
      <c r="I891" s="691"/>
      <c r="J891" s="631"/>
      <c r="K891" s="630"/>
      <c r="L891" s="631"/>
      <c r="M891" s="630"/>
      <c r="N891" s="628"/>
      <c r="O891" s="631"/>
      <c r="P891" s="631"/>
    </row>
    <row r="892" spans="1:16" ht="15.75" customHeight="1">
      <c r="A892" s="638"/>
      <c r="B892" s="638"/>
      <c r="C892" s="638"/>
      <c r="D892" s="638"/>
      <c r="E892" s="637"/>
      <c r="F892" s="634"/>
      <c r="G892" s="634"/>
      <c r="H892" s="638"/>
      <c r="I892" s="690"/>
      <c r="J892" s="638"/>
      <c r="K892" s="637"/>
      <c r="L892" s="638"/>
      <c r="M892" s="637"/>
      <c r="N892" s="634"/>
      <c r="O892" s="638"/>
      <c r="P892" s="638"/>
    </row>
    <row r="893" spans="1:16" ht="15.75" customHeight="1">
      <c r="A893" s="631"/>
      <c r="B893" s="631"/>
      <c r="C893" s="631"/>
      <c r="D893" s="631"/>
      <c r="E893" s="630"/>
      <c r="F893" s="628"/>
      <c r="G893" s="628"/>
      <c r="H893" s="631"/>
      <c r="I893" s="691"/>
      <c r="J893" s="631"/>
      <c r="K893" s="630"/>
      <c r="L893" s="631"/>
      <c r="M893" s="630"/>
      <c r="N893" s="628"/>
      <c r="O893" s="631"/>
      <c r="P893" s="631"/>
    </row>
    <row r="894" spans="1:16" ht="15.75" customHeight="1">
      <c r="A894" s="638"/>
      <c r="B894" s="638"/>
      <c r="C894" s="638"/>
      <c r="D894" s="638"/>
      <c r="E894" s="637"/>
      <c r="F894" s="634"/>
      <c r="G894" s="634"/>
      <c r="H894" s="638"/>
      <c r="I894" s="690"/>
      <c r="J894" s="638"/>
      <c r="K894" s="637"/>
      <c r="L894" s="638"/>
      <c r="M894" s="637"/>
      <c r="N894" s="634"/>
      <c r="O894" s="638"/>
      <c r="P894" s="638"/>
    </row>
    <row r="895" spans="1:16" ht="15.75" customHeight="1">
      <c r="A895" s="631"/>
      <c r="B895" s="631"/>
      <c r="C895" s="631"/>
      <c r="D895" s="631"/>
      <c r="E895" s="630"/>
      <c r="F895" s="628"/>
      <c r="G895" s="628"/>
      <c r="H895" s="631"/>
      <c r="I895" s="691"/>
      <c r="J895" s="631"/>
      <c r="K895" s="630"/>
      <c r="L895" s="631"/>
      <c r="M895" s="630"/>
      <c r="N895" s="628"/>
      <c r="O895" s="631"/>
      <c r="P895" s="631"/>
    </row>
    <row r="896" spans="1:16" ht="15.75" customHeight="1">
      <c r="A896" s="638"/>
      <c r="B896" s="638"/>
      <c r="C896" s="638"/>
      <c r="D896" s="638"/>
      <c r="E896" s="637"/>
      <c r="F896" s="634"/>
      <c r="G896" s="634"/>
      <c r="H896" s="638"/>
      <c r="I896" s="690"/>
      <c r="J896" s="638"/>
      <c r="K896" s="637"/>
      <c r="L896" s="638"/>
      <c r="M896" s="637"/>
      <c r="N896" s="634"/>
      <c r="O896" s="638"/>
      <c r="P896" s="638"/>
    </row>
    <row r="897" spans="1:16" ht="15.75" customHeight="1">
      <c r="A897" s="631"/>
      <c r="B897" s="631"/>
      <c r="C897" s="631"/>
      <c r="D897" s="631"/>
      <c r="E897" s="630"/>
      <c r="F897" s="628"/>
      <c r="G897" s="628"/>
      <c r="H897" s="631"/>
      <c r="I897" s="691"/>
      <c r="J897" s="631"/>
      <c r="K897" s="630"/>
      <c r="L897" s="631"/>
      <c r="M897" s="630"/>
      <c r="N897" s="628"/>
      <c r="O897" s="631"/>
      <c r="P897" s="631"/>
    </row>
    <row r="898" spans="1:16" ht="15.75" customHeight="1">
      <c r="A898" s="638"/>
      <c r="B898" s="638"/>
      <c r="C898" s="638"/>
      <c r="D898" s="638"/>
      <c r="E898" s="637"/>
      <c r="F898" s="634"/>
      <c r="G898" s="634"/>
      <c r="H898" s="638"/>
      <c r="I898" s="690"/>
      <c r="J898" s="638"/>
      <c r="K898" s="637"/>
      <c r="L898" s="638"/>
      <c r="M898" s="637"/>
      <c r="N898" s="634"/>
      <c r="O898" s="638"/>
      <c r="P898" s="638"/>
    </row>
    <row r="899" spans="1:16" ht="15.75" customHeight="1">
      <c r="A899" s="631"/>
      <c r="B899" s="631"/>
      <c r="C899" s="631"/>
      <c r="D899" s="631"/>
      <c r="E899" s="630"/>
      <c r="F899" s="628"/>
      <c r="G899" s="628"/>
      <c r="H899" s="631"/>
      <c r="I899" s="691"/>
      <c r="J899" s="631"/>
      <c r="K899" s="630"/>
      <c r="L899" s="631"/>
      <c r="M899" s="630"/>
      <c r="N899" s="628"/>
      <c r="O899" s="631"/>
      <c r="P899" s="631"/>
    </row>
    <row r="900" spans="1:16" ht="15.75" customHeight="1">
      <c r="A900" s="638"/>
      <c r="B900" s="638"/>
      <c r="C900" s="638"/>
      <c r="D900" s="638"/>
      <c r="E900" s="637"/>
      <c r="F900" s="634"/>
      <c r="G900" s="634"/>
      <c r="H900" s="638"/>
      <c r="I900" s="690"/>
      <c r="J900" s="638"/>
      <c r="K900" s="637"/>
      <c r="L900" s="638"/>
      <c r="M900" s="637"/>
      <c r="N900" s="634"/>
      <c r="O900" s="638"/>
      <c r="P900" s="638"/>
    </row>
    <row r="901" spans="1:16" ht="15.75" customHeight="1">
      <c r="A901" s="631"/>
      <c r="B901" s="631"/>
      <c r="C901" s="631"/>
      <c r="D901" s="631"/>
      <c r="E901" s="630"/>
      <c r="F901" s="628"/>
      <c r="G901" s="628"/>
      <c r="H901" s="631"/>
      <c r="I901" s="691"/>
      <c r="J901" s="631"/>
      <c r="K901" s="630"/>
      <c r="L901" s="631"/>
      <c r="M901" s="630"/>
      <c r="N901" s="628"/>
      <c r="O901" s="631"/>
      <c r="P901" s="631"/>
    </row>
    <row r="902" spans="1:16" ht="15.75" customHeight="1">
      <c r="A902" s="638"/>
      <c r="B902" s="638"/>
      <c r="C902" s="638"/>
      <c r="D902" s="638"/>
      <c r="E902" s="637"/>
      <c r="F902" s="634"/>
      <c r="G902" s="634"/>
      <c r="H902" s="638"/>
      <c r="I902" s="690"/>
      <c r="J902" s="638"/>
      <c r="K902" s="637"/>
      <c r="L902" s="638"/>
      <c r="M902" s="637"/>
      <c r="N902" s="634"/>
      <c r="O902" s="638"/>
      <c r="P902" s="638"/>
    </row>
    <row r="903" spans="1:16" ht="15.75" customHeight="1">
      <c r="A903" s="631"/>
      <c r="B903" s="631"/>
      <c r="C903" s="631"/>
      <c r="D903" s="631"/>
      <c r="E903" s="630"/>
      <c r="F903" s="628"/>
      <c r="G903" s="628"/>
      <c r="H903" s="631"/>
      <c r="I903" s="691"/>
      <c r="J903" s="631"/>
      <c r="K903" s="630"/>
      <c r="L903" s="631"/>
      <c r="M903" s="630"/>
      <c r="N903" s="628"/>
      <c r="O903" s="631"/>
      <c r="P903" s="631"/>
    </row>
    <row r="904" spans="1:16" ht="15.75" customHeight="1">
      <c r="A904" s="638"/>
      <c r="B904" s="638"/>
      <c r="C904" s="638"/>
      <c r="D904" s="638"/>
      <c r="E904" s="637"/>
      <c r="F904" s="634"/>
      <c r="G904" s="634"/>
      <c r="H904" s="638"/>
      <c r="I904" s="690"/>
      <c r="J904" s="638"/>
      <c r="K904" s="637"/>
      <c r="L904" s="638"/>
      <c r="M904" s="637"/>
      <c r="N904" s="634"/>
      <c r="O904" s="638"/>
      <c r="P904" s="638"/>
    </row>
    <row r="905" spans="1:16" ht="15.75" customHeight="1">
      <c r="A905" s="631"/>
      <c r="B905" s="631"/>
      <c r="C905" s="631"/>
      <c r="D905" s="631"/>
      <c r="E905" s="630"/>
      <c r="F905" s="628"/>
      <c r="G905" s="628"/>
      <c r="H905" s="631"/>
      <c r="I905" s="691"/>
      <c r="J905" s="631"/>
      <c r="K905" s="630"/>
      <c r="L905" s="631"/>
      <c r="M905" s="630"/>
      <c r="N905" s="628"/>
      <c r="O905" s="631"/>
      <c r="P905" s="631"/>
    </row>
    <row r="906" spans="1:16" ht="15.75" customHeight="1">
      <c r="A906" s="638"/>
      <c r="B906" s="638"/>
      <c r="C906" s="638"/>
      <c r="D906" s="638"/>
      <c r="E906" s="637"/>
      <c r="F906" s="634"/>
      <c r="G906" s="634"/>
      <c r="H906" s="638"/>
      <c r="I906" s="690"/>
      <c r="J906" s="638"/>
      <c r="K906" s="637"/>
      <c r="L906" s="638"/>
      <c r="M906" s="637"/>
      <c r="N906" s="634"/>
      <c r="O906" s="638"/>
      <c r="P906" s="638"/>
    </row>
    <row r="907" spans="1:16" ht="15.75" customHeight="1">
      <c r="A907" s="631"/>
      <c r="B907" s="631"/>
      <c r="C907" s="631"/>
      <c r="D907" s="631"/>
      <c r="E907" s="630"/>
      <c r="F907" s="628"/>
      <c r="G907" s="628"/>
      <c r="H907" s="631"/>
      <c r="I907" s="691"/>
      <c r="J907" s="631"/>
      <c r="K907" s="630"/>
      <c r="L907" s="631"/>
      <c r="M907" s="630"/>
      <c r="N907" s="628"/>
      <c r="O907" s="631"/>
      <c r="P907" s="631"/>
    </row>
    <row r="908" spans="1:16" ht="15.75" customHeight="1">
      <c r="A908" s="638"/>
      <c r="B908" s="638"/>
      <c r="C908" s="638"/>
      <c r="D908" s="638"/>
      <c r="E908" s="637"/>
      <c r="F908" s="634"/>
      <c r="G908" s="634"/>
      <c r="H908" s="638"/>
      <c r="I908" s="690"/>
      <c r="J908" s="638"/>
      <c r="K908" s="637"/>
      <c r="L908" s="638"/>
      <c r="M908" s="637"/>
      <c r="N908" s="634"/>
      <c r="O908" s="638"/>
      <c r="P908" s="638"/>
    </row>
    <row r="909" spans="1:16" ht="15.75" customHeight="1">
      <c r="A909" s="631"/>
      <c r="B909" s="631"/>
      <c r="C909" s="631"/>
      <c r="D909" s="631"/>
      <c r="E909" s="630"/>
      <c r="F909" s="628"/>
      <c r="G909" s="628"/>
      <c r="H909" s="631"/>
      <c r="I909" s="691"/>
      <c r="J909" s="631"/>
      <c r="K909" s="630"/>
      <c r="L909" s="631"/>
      <c r="M909" s="630"/>
      <c r="N909" s="628"/>
      <c r="O909" s="631"/>
      <c r="P909" s="631"/>
    </row>
    <row r="910" spans="1:16" ht="15.75" customHeight="1">
      <c r="A910" s="638"/>
      <c r="B910" s="638"/>
      <c r="C910" s="638"/>
      <c r="D910" s="638"/>
      <c r="E910" s="637"/>
      <c r="F910" s="634"/>
      <c r="G910" s="634"/>
      <c r="H910" s="638"/>
      <c r="I910" s="690"/>
      <c r="J910" s="638"/>
      <c r="K910" s="637"/>
      <c r="L910" s="638"/>
      <c r="M910" s="637"/>
      <c r="N910" s="634"/>
      <c r="O910" s="638"/>
      <c r="P910" s="638"/>
    </row>
    <row r="911" spans="1:16" ht="15.75" customHeight="1">
      <c r="A911" s="631"/>
      <c r="B911" s="631"/>
      <c r="C911" s="631"/>
      <c r="D911" s="631"/>
      <c r="E911" s="630"/>
      <c r="F911" s="628"/>
      <c r="G911" s="628"/>
      <c r="H911" s="631"/>
      <c r="I911" s="691"/>
      <c r="J911" s="631"/>
      <c r="K911" s="630"/>
      <c r="L911" s="631"/>
      <c r="M911" s="630"/>
      <c r="N911" s="628"/>
      <c r="O911" s="631"/>
      <c r="P911" s="631"/>
    </row>
    <row r="912" spans="1:16" ht="15.75" customHeight="1">
      <c r="A912" s="638"/>
      <c r="B912" s="638"/>
      <c r="C912" s="638"/>
      <c r="D912" s="638"/>
      <c r="E912" s="637"/>
      <c r="F912" s="634"/>
      <c r="G912" s="634"/>
      <c r="H912" s="638"/>
      <c r="I912" s="690"/>
      <c r="J912" s="638"/>
      <c r="K912" s="637"/>
      <c r="L912" s="638"/>
      <c r="M912" s="637"/>
      <c r="N912" s="634"/>
      <c r="O912" s="638"/>
      <c r="P912" s="638"/>
    </row>
    <row r="913" spans="1:16" ht="15.75" customHeight="1">
      <c r="A913" s="631"/>
      <c r="B913" s="631"/>
      <c r="C913" s="631"/>
      <c r="D913" s="631"/>
      <c r="E913" s="630"/>
      <c r="F913" s="628"/>
      <c r="G913" s="628"/>
      <c r="H913" s="631"/>
      <c r="I913" s="691"/>
      <c r="J913" s="631"/>
      <c r="K913" s="630"/>
      <c r="L913" s="631"/>
      <c r="M913" s="630"/>
      <c r="N913" s="628"/>
      <c r="O913" s="631"/>
      <c r="P913" s="631"/>
    </row>
    <row r="914" spans="1:16" ht="15.75" customHeight="1">
      <c r="A914" s="638"/>
      <c r="B914" s="638"/>
      <c r="C914" s="638"/>
      <c r="D914" s="638"/>
      <c r="E914" s="637"/>
      <c r="F914" s="634"/>
      <c r="G914" s="634"/>
      <c r="H914" s="638"/>
      <c r="I914" s="690"/>
      <c r="J914" s="638"/>
      <c r="K914" s="637"/>
      <c r="L914" s="638"/>
      <c r="M914" s="637"/>
      <c r="N914" s="634"/>
      <c r="O914" s="638"/>
      <c r="P914" s="638"/>
    </row>
    <row r="915" spans="1:16" ht="15.75" customHeight="1">
      <c r="A915" s="631"/>
      <c r="B915" s="631"/>
      <c r="C915" s="631"/>
      <c r="D915" s="631"/>
      <c r="E915" s="630"/>
      <c r="F915" s="628"/>
      <c r="G915" s="628"/>
      <c r="H915" s="631"/>
      <c r="I915" s="691"/>
      <c r="J915" s="631"/>
      <c r="K915" s="630"/>
      <c r="L915" s="631"/>
      <c r="M915" s="630"/>
      <c r="N915" s="628"/>
      <c r="O915" s="631"/>
      <c r="P915" s="631"/>
    </row>
    <row r="916" spans="1:16" ht="15.75" customHeight="1">
      <c r="A916" s="638"/>
      <c r="B916" s="638"/>
      <c r="C916" s="638"/>
      <c r="D916" s="638"/>
      <c r="E916" s="637"/>
      <c r="F916" s="634"/>
      <c r="G916" s="634"/>
      <c r="H916" s="638"/>
      <c r="I916" s="690"/>
      <c r="J916" s="638"/>
      <c r="K916" s="637"/>
      <c r="L916" s="638"/>
      <c r="M916" s="637"/>
      <c r="N916" s="634"/>
      <c r="O916" s="638"/>
      <c r="P916" s="638"/>
    </row>
    <row r="917" spans="1:16" ht="15.75" customHeight="1">
      <c r="A917" s="631"/>
      <c r="B917" s="631"/>
      <c r="C917" s="631"/>
      <c r="D917" s="631"/>
      <c r="E917" s="630"/>
      <c r="F917" s="628"/>
      <c r="G917" s="628"/>
      <c r="H917" s="631"/>
      <c r="I917" s="691"/>
      <c r="J917" s="631"/>
      <c r="K917" s="630"/>
      <c r="L917" s="631"/>
      <c r="M917" s="630"/>
      <c r="N917" s="628"/>
      <c r="O917" s="631"/>
      <c r="P917" s="631"/>
    </row>
    <row r="918" spans="1:16" ht="15.75" customHeight="1">
      <c r="A918" s="638"/>
      <c r="B918" s="638"/>
      <c r="C918" s="638"/>
      <c r="D918" s="638"/>
      <c r="E918" s="637"/>
      <c r="F918" s="634"/>
      <c r="G918" s="634"/>
      <c r="H918" s="638"/>
      <c r="I918" s="690"/>
      <c r="J918" s="638"/>
      <c r="K918" s="637"/>
      <c r="L918" s="638"/>
      <c r="M918" s="637"/>
      <c r="N918" s="634"/>
      <c r="O918" s="638"/>
      <c r="P918" s="638"/>
    </row>
    <row r="919" spans="1:16" ht="15.75" customHeight="1">
      <c r="A919" s="631"/>
      <c r="B919" s="631"/>
      <c r="C919" s="631"/>
      <c r="D919" s="631"/>
      <c r="E919" s="630"/>
      <c r="F919" s="628"/>
      <c r="G919" s="628"/>
      <c r="H919" s="631"/>
      <c r="I919" s="691"/>
      <c r="J919" s="631"/>
      <c r="K919" s="630"/>
      <c r="L919" s="631"/>
      <c r="M919" s="630"/>
      <c r="N919" s="628"/>
      <c r="O919" s="631"/>
      <c r="P919" s="631"/>
    </row>
    <row r="920" spans="1:16" ht="15.75" customHeight="1">
      <c r="A920" s="638"/>
      <c r="B920" s="638"/>
      <c r="C920" s="638"/>
      <c r="D920" s="638"/>
      <c r="E920" s="637"/>
      <c r="F920" s="634"/>
      <c r="G920" s="634"/>
      <c r="H920" s="638"/>
      <c r="I920" s="690"/>
      <c r="J920" s="638"/>
      <c r="K920" s="637"/>
      <c r="L920" s="638"/>
      <c r="M920" s="637"/>
      <c r="N920" s="634"/>
      <c r="O920" s="638"/>
      <c r="P920" s="638"/>
    </row>
    <row r="921" spans="1:16" ht="15.75" customHeight="1">
      <c r="A921" s="631"/>
      <c r="B921" s="631"/>
      <c r="C921" s="631"/>
      <c r="D921" s="631"/>
      <c r="E921" s="630"/>
      <c r="F921" s="628"/>
      <c r="G921" s="628"/>
      <c r="H921" s="631"/>
      <c r="I921" s="691"/>
      <c r="J921" s="631"/>
      <c r="K921" s="630"/>
      <c r="L921" s="631"/>
      <c r="M921" s="630"/>
      <c r="N921" s="628"/>
      <c r="O921" s="631"/>
      <c r="P921" s="631"/>
    </row>
    <row r="922" spans="1:16" ht="15.75" customHeight="1">
      <c r="A922" s="638"/>
      <c r="B922" s="638"/>
      <c r="C922" s="638"/>
      <c r="D922" s="638"/>
      <c r="E922" s="637"/>
      <c r="F922" s="634"/>
      <c r="G922" s="634"/>
      <c r="H922" s="638"/>
      <c r="I922" s="690"/>
      <c r="J922" s="638"/>
      <c r="K922" s="637"/>
      <c r="L922" s="638"/>
      <c r="M922" s="637"/>
      <c r="N922" s="634"/>
      <c r="O922" s="638"/>
      <c r="P922" s="638"/>
    </row>
    <row r="923" spans="1:16" ht="15.75" customHeight="1">
      <c r="A923" s="631"/>
      <c r="B923" s="631"/>
      <c r="C923" s="631"/>
      <c r="D923" s="631"/>
      <c r="E923" s="630"/>
      <c r="F923" s="628"/>
      <c r="G923" s="628"/>
      <c r="H923" s="631"/>
      <c r="I923" s="691"/>
      <c r="J923" s="631"/>
      <c r="K923" s="630"/>
      <c r="L923" s="631"/>
      <c r="M923" s="630"/>
      <c r="N923" s="628"/>
      <c r="O923" s="631"/>
      <c r="P923" s="631"/>
    </row>
    <row r="924" spans="1:16" ht="15.75" customHeight="1">
      <c r="A924" s="638"/>
      <c r="B924" s="638"/>
      <c r="C924" s="638"/>
      <c r="D924" s="638"/>
      <c r="E924" s="637"/>
      <c r="F924" s="634"/>
      <c r="G924" s="634"/>
      <c r="H924" s="638"/>
      <c r="I924" s="690"/>
      <c r="J924" s="638"/>
      <c r="K924" s="637"/>
      <c r="L924" s="638"/>
      <c r="M924" s="637"/>
      <c r="N924" s="634"/>
      <c r="O924" s="638"/>
      <c r="P924" s="638"/>
    </row>
    <row r="925" spans="1:16" ht="15.75" customHeight="1">
      <c r="A925" s="631"/>
      <c r="B925" s="631"/>
      <c r="C925" s="631"/>
      <c r="D925" s="631"/>
      <c r="E925" s="630"/>
      <c r="F925" s="628"/>
      <c r="G925" s="628"/>
      <c r="H925" s="631"/>
      <c r="I925" s="691"/>
      <c r="J925" s="631"/>
      <c r="K925" s="630"/>
      <c r="L925" s="631"/>
      <c r="M925" s="630"/>
      <c r="N925" s="628"/>
      <c r="O925" s="631"/>
      <c r="P925" s="631"/>
    </row>
    <row r="926" spans="1:16" ht="15.75" customHeight="1">
      <c r="A926" s="638"/>
      <c r="B926" s="638"/>
      <c r="C926" s="638"/>
      <c r="D926" s="638"/>
      <c r="E926" s="637"/>
      <c r="F926" s="634"/>
      <c r="G926" s="634"/>
      <c r="H926" s="638"/>
      <c r="I926" s="690"/>
      <c r="J926" s="638"/>
      <c r="K926" s="637"/>
      <c r="L926" s="638"/>
      <c r="M926" s="637"/>
      <c r="N926" s="634"/>
      <c r="O926" s="638"/>
      <c r="P926" s="638"/>
    </row>
    <row r="927" spans="1:16" ht="15.75" customHeight="1">
      <c r="A927" s="631"/>
      <c r="B927" s="631"/>
      <c r="C927" s="631"/>
      <c r="D927" s="631"/>
      <c r="E927" s="630"/>
      <c r="F927" s="628"/>
      <c r="G927" s="628"/>
      <c r="H927" s="631"/>
      <c r="I927" s="691"/>
      <c r="J927" s="631"/>
      <c r="K927" s="630"/>
      <c r="L927" s="631"/>
      <c r="M927" s="630"/>
      <c r="N927" s="628"/>
      <c r="O927" s="631"/>
      <c r="P927" s="631"/>
    </row>
    <row r="928" spans="1:16" ht="15.75" customHeight="1">
      <c r="A928" s="638"/>
      <c r="B928" s="638"/>
      <c r="C928" s="638"/>
      <c r="D928" s="638"/>
      <c r="E928" s="637"/>
      <c r="F928" s="634"/>
      <c r="G928" s="634"/>
      <c r="H928" s="638"/>
      <c r="I928" s="690"/>
      <c r="J928" s="638"/>
      <c r="K928" s="637"/>
      <c r="L928" s="638"/>
      <c r="M928" s="637"/>
      <c r="N928" s="634"/>
      <c r="O928" s="638"/>
      <c r="P928" s="638"/>
    </row>
    <row r="929" spans="1:16" ht="15.75" customHeight="1">
      <c r="A929" s="631"/>
      <c r="B929" s="631"/>
      <c r="C929" s="631"/>
      <c r="D929" s="631"/>
      <c r="E929" s="630"/>
      <c r="F929" s="628"/>
      <c r="G929" s="628"/>
      <c r="H929" s="631"/>
      <c r="I929" s="691"/>
      <c r="J929" s="631"/>
      <c r="K929" s="630"/>
      <c r="L929" s="631"/>
      <c r="M929" s="630"/>
      <c r="N929" s="628"/>
      <c r="O929" s="631"/>
      <c r="P929" s="631"/>
    </row>
    <row r="930" spans="1:16" ht="15.75" customHeight="1">
      <c r="A930" s="638"/>
      <c r="B930" s="638"/>
      <c r="C930" s="638"/>
      <c r="D930" s="638"/>
      <c r="E930" s="637"/>
      <c r="F930" s="634"/>
      <c r="G930" s="634"/>
      <c r="H930" s="638"/>
      <c r="I930" s="690"/>
      <c r="J930" s="638"/>
      <c r="K930" s="637"/>
      <c r="L930" s="638"/>
      <c r="M930" s="637"/>
      <c r="N930" s="634"/>
      <c r="O930" s="638"/>
      <c r="P930" s="638"/>
    </row>
    <row r="931" spans="1:16" ht="15.75" customHeight="1">
      <c r="A931" s="631"/>
      <c r="B931" s="631"/>
      <c r="C931" s="631"/>
      <c r="D931" s="631"/>
      <c r="E931" s="630"/>
      <c r="F931" s="628"/>
      <c r="G931" s="628"/>
      <c r="H931" s="631"/>
      <c r="I931" s="691"/>
      <c r="J931" s="631"/>
      <c r="K931" s="630"/>
      <c r="L931" s="631"/>
      <c r="M931" s="630"/>
      <c r="N931" s="628"/>
      <c r="O931" s="631"/>
      <c r="P931" s="631"/>
    </row>
    <row r="932" spans="1:16" ht="15.75" customHeight="1">
      <c r="A932" s="638"/>
      <c r="B932" s="638"/>
      <c r="C932" s="638"/>
      <c r="D932" s="638"/>
      <c r="E932" s="637"/>
      <c r="F932" s="634"/>
      <c r="G932" s="634"/>
      <c r="H932" s="638"/>
      <c r="I932" s="690"/>
      <c r="J932" s="638"/>
      <c r="K932" s="637"/>
      <c r="L932" s="638"/>
      <c r="M932" s="637"/>
      <c r="N932" s="634"/>
      <c r="O932" s="638"/>
      <c r="P932" s="638"/>
    </row>
    <row r="933" spans="1:16" ht="15.75" customHeight="1">
      <c r="A933" s="631"/>
      <c r="B933" s="631"/>
      <c r="C933" s="631"/>
      <c r="D933" s="631"/>
      <c r="E933" s="630"/>
      <c r="F933" s="628"/>
      <c r="G933" s="628"/>
      <c r="H933" s="631"/>
      <c r="I933" s="691"/>
      <c r="J933" s="631"/>
      <c r="K933" s="630"/>
      <c r="L933" s="631"/>
      <c r="M933" s="630"/>
      <c r="N933" s="628"/>
      <c r="O933" s="631"/>
      <c r="P933" s="631"/>
    </row>
    <row r="934" spans="1:16" ht="15.75" customHeight="1">
      <c r="A934" s="638"/>
      <c r="B934" s="638"/>
      <c r="C934" s="638"/>
      <c r="D934" s="638"/>
      <c r="E934" s="637"/>
      <c r="F934" s="634"/>
      <c r="G934" s="634"/>
      <c r="H934" s="638"/>
      <c r="I934" s="690"/>
      <c r="J934" s="638"/>
      <c r="K934" s="637"/>
      <c r="L934" s="638"/>
      <c r="M934" s="637"/>
      <c r="N934" s="634"/>
      <c r="O934" s="638"/>
      <c r="P934" s="638"/>
    </row>
    <row r="935" spans="1:16" ht="15.75" customHeight="1">
      <c r="A935" s="631"/>
      <c r="B935" s="631"/>
      <c r="C935" s="631"/>
      <c r="D935" s="631"/>
      <c r="E935" s="630"/>
      <c r="F935" s="628"/>
      <c r="G935" s="628"/>
      <c r="H935" s="631"/>
      <c r="I935" s="691"/>
      <c r="J935" s="631"/>
      <c r="K935" s="630"/>
      <c r="L935" s="631"/>
      <c r="M935" s="630"/>
      <c r="N935" s="628"/>
      <c r="O935" s="631"/>
      <c r="P935" s="631"/>
    </row>
    <row r="936" spans="1:16" ht="15.75" customHeight="1">
      <c r="A936" s="638"/>
      <c r="B936" s="638"/>
      <c r="C936" s="638"/>
      <c r="D936" s="638"/>
      <c r="E936" s="637"/>
      <c r="F936" s="634"/>
      <c r="G936" s="634"/>
      <c r="H936" s="638"/>
      <c r="I936" s="690"/>
      <c r="J936" s="638"/>
      <c r="K936" s="637"/>
      <c r="L936" s="638"/>
      <c r="M936" s="637"/>
      <c r="N936" s="634"/>
      <c r="O936" s="638"/>
      <c r="P936" s="638"/>
    </row>
    <row r="937" spans="1:16" ht="15.75" customHeight="1">
      <c r="A937" s="631"/>
      <c r="B937" s="631"/>
      <c r="C937" s="631"/>
      <c r="D937" s="631"/>
      <c r="E937" s="630"/>
      <c r="F937" s="628"/>
      <c r="G937" s="628"/>
      <c r="H937" s="631"/>
      <c r="I937" s="691"/>
      <c r="J937" s="631"/>
      <c r="K937" s="630"/>
      <c r="L937" s="631"/>
      <c r="M937" s="630"/>
      <c r="N937" s="628"/>
      <c r="O937" s="631"/>
      <c r="P937" s="631"/>
    </row>
    <row r="938" spans="1:16" ht="15.75" customHeight="1">
      <c r="A938" s="638"/>
      <c r="B938" s="638"/>
      <c r="C938" s="638"/>
      <c r="D938" s="638"/>
      <c r="E938" s="637"/>
      <c r="F938" s="634"/>
      <c r="G938" s="634"/>
      <c r="H938" s="638"/>
      <c r="I938" s="690"/>
      <c r="J938" s="638"/>
      <c r="K938" s="637"/>
      <c r="L938" s="638"/>
      <c r="M938" s="637"/>
      <c r="N938" s="634"/>
      <c r="O938" s="638"/>
      <c r="P938" s="638"/>
    </row>
    <row r="939" spans="1:16" ht="15.75" customHeight="1">
      <c r="A939" s="631"/>
      <c r="B939" s="631"/>
      <c r="C939" s="631"/>
      <c r="D939" s="631"/>
      <c r="E939" s="630"/>
      <c r="F939" s="628"/>
      <c r="G939" s="628"/>
      <c r="H939" s="631"/>
      <c r="I939" s="691"/>
      <c r="J939" s="631"/>
      <c r="K939" s="630"/>
      <c r="L939" s="631"/>
      <c r="M939" s="630"/>
      <c r="N939" s="628"/>
      <c r="O939" s="631"/>
      <c r="P939" s="631"/>
    </row>
    <row r="940" spans="1:16" ht="15.75" customHeight="1">
      <c r="A940" s="638"/>
      <c r="B940" s="638"/>
      <c r="C940" s="638"/>
      <c r="D940" s="638"/>
      <c r="E940" s="637"/>
      <c r="F940" s="634"/>
      <c r="G940" s="634"/>
      <c r="H940" s="638"/>
      <c r="I940" s="690"/>
      <c r="J940" s="638"/>
      <c r="K940" s="637"/>
      <c r="L940" s="638"/>
      <c r="M940" s="637"/>
      <c r="N940" s="634"/>
      <c r="O940" s="638"/>
      <c r="P940" s="638"/>
    </row>
    <row r="941" spans="1:16" ht="15.75" customHeight="1">
      <c r="A941" s="631"/>
      <c r="B941" s="631"/>
      <c r="C941" s="631"/>
      <c r="D941" s="631"/>
      <c r="E941" s="630"/>
      <c r="F941" s="628"/>
      <c r="G941" s="628"/>
      <c r="H941" s="631"/>
      <c r="I941" s="691"/>
      <c r="J941" s="631"/>
      <c r="K941" s="630"/>
      <c r="L941" s="631"/>
      <c r="M941" s="630"/>
      <c r="N941" s="628"/>
      <c r="O941" s="631"/>
      <c r="P941" s="631"/>
    </row>
    <row r="942" spans="1:16" ht="15.75" customHeight="1">
      <c r="A942" s="638"/>
      <c r="B942" s="638"/>
      <c r="C942" s="638"/>
      <c r="D942" s="638"/>
      <c r="E942" s="637"/>
      <c r="F942" s="634"/>
      <c r="G942" s="634"/>
      <c r="H942" s="638"/>
      <c r="I942" s="690"/>
      <c r="J942" s="638"/>
      <c r="K942" s="637"/>
      <c r="L942" s="638"/>
      <c r="M942" s="637"/>
      <c r="N942" s="634"/>
      <c r="O942" s="638"/>
      <c r="P942" s="638"/>
    </row>
    <row r="943" spans="1:16" ht="15.75" customHeight="1">
      <c r="A943" s="631"/>
      <c r="B943" s="631"/>
      <c r="C943" s="631"/>
      <c r="D943" s="631"/>
      <c r="E943" s="630"/>
      <c r="F943" s="628"/>
      <c r="G943" s="628"/>
      <c r="H943" s="631"/>
      <c r="I943" s="691"/>
      <c r="J943" s="631"/>
      <c r="K943" s="630"/>
      <c r="L943" s="631"/>
      <c r="M943" s="630"/>
      <c r="N943" s="628"/>
      <c r="O943" s="631"/>
      <c r="P943" s="631"/>
    </row>
    <row r="944" spans="1:16" ht="15.75" customHeight="1">
      <c r="A944" s="638"/>
      <c r="B944" s="638"/>
      <c r="C944" s="638"/>
      <c r="D944" s="638"/>
      <c r="E944" s="637"/>
      <c r="F944" s="634"/>
      <c r="G944" s="634"/>
      <c r="H944" s="638"/>
      <c r="I944" s="690"/>
      <c r="J944" s="638"/>
      <c r="K944" s="637"/>
      <c r="L944" s="638"/>
      <c r="M944" s="637"/>
      <c r="N944" s="634"/>
      <c r="O944" s="638"/>
      <c r="P944" s="638"/>
    </row>
    <row r="945" spans="1:16" ht="15.75" customHeight="1">
      <c r="A945" s="631"/>
      <c r="B945" s="631"/>
      <c r="C945" s="631"/>
      <c r="D945" s="631"/>
      <c r="E945" s="630"/>
      <c r="F945" s="628"/>
      <c r="G945" s="628"/>
      <c r="H945" s="631"/>
      <c r="I945" s="691"/>
      <c r="J945" s="631"/>
      <c r="K945" s="630"/>
      <c r="L945" s="631"/>
      <c r="M945" s="630"/>
      <c r="N945" s="628"/>
      <c r="O945" s="631"/>
      <c r="P945" s="631"/>
    </row>
    <row r="946" spans="1:16" ht="15.75" customHeight="1">
      <c r="A946" s="638"/>
      <c r="B946" s="638"/>
      <c r="C946" s="638"/>
      <c r="D946" s="638"/>
      <c r="E946" s="637"/>
      <c r="F946" s="634"/>
      <c r="G946" s="634"/>
      <c r="H946" s="638"/>
      <c r="I946" s="690"/>
      <c r="J946" s="638"/>
      <c r="K946" s="637"/>
      <c r="L946" s="638"/>
      <c r="M946" s="637"/>
      <c r="N946" s="634"/>
      <c r="O946" s="638"/>
      <c r="P946" s="638"/>
    </row>
    <row r="947" spans="1:16" ht="15.75" customHeight="1">
      <c r="A947" s="631"/>
      <c r="B947" s="631"/>
      <c r="C947" s="631"/>
      <c r="D947" s="631"/>
      <c r="E947" s="630"/>
      <c r="F947" s="628"/>
      <c r="G947" s="628"/>
      <c r="H947" s="631"/>
      <c r="I947" s="691"/>
      <c r="J947" s="631"/>
      <c r="K947" s="630"/>
      <c r="L947" s="631"/>
      <c r="M947" s="630"/>
      <c r="N947" s="628"/>
      <c r="O947" s="631"/>
      <c r="P947" s="631"/>
    </row>
    <row r="948" spans="1:16" ht="15.75" customHeight="1">
      <c r="A948" s="638"/>
      <c r="B948" s="638"/>
      <c r="C948" s="638"/>
      <c r="D948" s="638"/>
      <c r="E948" s="637"/>
      <c r="F948" s="634"/>
      <c r="G948" s="634"/>
      <c r="H948" s="638"/>
      <c r="I948" s="690"/>
      <c r="J948" s="638"/>
      <c r="K948" s="637"/>
      <c r="L948" s="638"/>
      <c r="M948" s="637"/>
      <c r="N948" s="634"/>
      <c r="O948" s="638"/>
      <c r="P948" s="638"/>
    </row>
    <row r="949" spans="1:16" ht="15.75" customHeight="1">
      <c r="A949" s="631"/>
      <c r="B949" s="631"/>
      <c r="C949" s="631"/>
      <c r="D949" s="631"/>
      <c r="E949" s="630"/>
      <c r="F949" s="628"/>
      <c r="G949" s="628"/>
      <c r="H949" s="631"/>
      <c r="I949" s="691"/>
      <c r="J949" s="631"/>
      <c r="K949" s="630"/>
      <c r="L949" s="631"/>
      <c r="M949" s="630"/>
      <c r="N949" s="628"/>
      <c r="O949" s="631"/>
      <c r="P949" s="631"/>
    </row>
    <row r="950" spans="1:16" ht="15.75" customHeight="1">
      <c r="A950" s="638"/>
      <c r="B950" s="638"/>
      <c r="C950" s="638"/>
      <c r="D950" s="638"/>
      <c r="E950" s="637"/>
      <c r="F950" s="634"/>
      <c r="G950" s="634"/>
      <c r="H950" s="638"/>
      <c r="I950" s="690"/>
      <c r="J950" s="638"/>
      <c r="K950" s="637"/>
      <c r="L950" s="638"/>
      <c r="M950" s="637"/>
      <c r="N950" s="634"/>
      <c r="O950" s="638"/>
      <c r="P950" s="638"/>
    </row>
    <row r="951" spans="1:16" ht="15.75" customHeight="1">
      <c r="A951" s="631"/>
      <c r="B951" s="631"/>
      <c r="C951" s="631"/>
      <c r="D951" s="631"/>
      <c r="E951" s="630"/>
      <c r="F951" s="628"/>
      <c r="G951" s="628"/>
      <c r="H951" s="631"/>
      <c r="I951" s="691"/>
      <c r="J951" s="631"/>
      <c r="K951" s="630"/>
      <c r="L951" s="631"/>
      <c r="M951" s="630"/>
      <c r="N951" s="628"/>
      <c r="O951" s="631"/>
      <c r="P951" s="631"/>
    </row>
    <row r="952" spans="1:16" ht="15.75" customHeight="1">
      <c r="A952" s="638"/>
      <c r="B952" s="638"/>
      <c r="C952" s="638"/>
      <c r="D952" s="638"/>
      <c r="E952" s="637"/>
      <c r="F952" s="634"/>
      <c r="G952" s="634"/>
      <c r="H952" s="638"/>
      <c r="I952" s="690"/>
      <c r="J952" s="638"/>
      <c r="K952" s="637"/>
      <c r="L952" s="638"/>
      <c r="M952" s="637"/>
      <c r="N952" s="634"/>
      <c r="O952" s="638"/>
      <c r="P952" s="638"/>
    </row>
    <row r="953" spans="1:16" ht="15.75" customHeight="1">
      <c r="A953" s="631"/>
      <c r="B953" s="631"/>
      <c r="C953" s="631"/>
      <c r="D953" s="631"/>
      <c r="E953" s="630"/>
      <c r="F953" s="628"/>
      <c r="G953" s="628"/>
      <c r="H953" s="631"/>
      <c r="I953" s="691"/>
      <c r="J953" s="631"/>
      <c r="K953" s="630"/>
      <c r="L953" s="631"/>
      <c r="M953" s="630"/>
      <c r="N953" s="628"/>
      <c r="O953" s="631"/>
      <c r="P953" s="631"/>
    </row>
    <row r="954" spans="1:16" ht="15.75" customHeight="1">
      <c r="A954" s="638"/>
      <c r="B954" s="638"/>
      <c r="C954" s="638"/>
      <c r="D954" s="638"/>
      <c r="E954" s="637"/>
      <c r="F954" s="634"/>
      <c r="G954" s="634"/>
      <c r="H954" s="638"/>
      <c r="I954" s="690"/>
      <c r="J954" s="638"/>
      <c r="K954" s="637"/>
      <c r="L954" s="638"/>
      <c r="M954" s="637"/>
      <c r="N954" s="634"/>
      <c r="O954" s="638"/>
      <c r="P954" s="638"/>
    </row>
    <row r="955" spans="1:16" ht="15.75" customHeight="1">
      <c r="A955" s="631"/>
      <c r="B955" s="631"/>
      <c r="C955" s="631"/>
      <c r="D955" s="631"/>
      <c r="E955" s="630"/>
      <c r="F955" s="628"/>
      <c r="G955" s="628"/>
      <c r="H955" s="631"/>
      <c r="I955" s="691"/>
      <c r="J955" s="631"/>
      <c r="K955" s="630"/>
      <c r="L955" s="631"/>
      <c r="M955" s="630"/>
      <c r="N955" s="628"/>
      <c r="O955" s="631"/>
      <c r="P955" s="631"/>
    </row>
    <row r="956" spans="1:16" ht="15.75" customHeight="1">
      <c r="A956" s="638"/>
      <c r="B956" s="638"/>
      <c r="C956" s="638"/>
      <c r="D956" s="638"/>
      <c r="E956" s="637"/>
      <c r="F956" s="634"/>
      <c r="G956" s="634"/>
      <c r="H956" s="638"/>
      <c r="I956" s="690"/>
      <c r="J956" s="638"/>
      <c r="K956" s="637"/>
      <c r="L956" s="638"/>
      <c r="M956" s="637"/>
      <c r="N956" s="634"/>
      <c r="O956" s="638"/>
      <c r="P956" s="638"/>
    </row>
    <row r="957" spans="1:16" ht="15.75" customHeight="1">
      <c r="A957" s="631"/>
      <c r="B957" s="631"/>
      <c r="C957" s="631"/>
      <c r="D957" s="631"/>
      <c r="E957" s="630"/>
      <c r="F957" s="628"/>
      <c r="G957" s="628"/>
      <c r="H957" s="631"/>
      <c r="I957" s="691"/>
      <c r="J957" s="631"/>
      <c r="K957" s="630"/>
      <c r="L957" s="631"/>
      <c r="M957" s="630"/>
      <c r="N957" s="628"/>
      <c r="O957" s="631"/>
      <c r="P957" s="631"/>
    </row>
    <row r="958" spans="1:16" ht="15.75" customHeight="1">
      <c r="A958" s="638"/>
      <c r="B958" s="638"/>
      <c r="C958" s="638"/>
      <c r="D958" s="638"/>
      <c r="E958" s="637"/>
      <c r="F958" s="634"/>
      <c r="G958" s="634"/>
      <c r="H958" s="638"/>
      <c r="I958" s="690"/>
      <c r="J958" s="638"/>
      <c r="K958" s="637"/>
      <c r="L958" s="638"/>
      <c r="M958" s="637"/>
      <c r="N958" s="634"/>
      <c r="O958" s="638"/>
      <c r="P958" s="638"/>
    </row>
    <row r="959" spans="1:16" ht="15.75" customHeight="1">
      <c r="A959" s="631"/>
      <c r="B959" s="631"/>
      <c r="C959" s="631"/>
      <c r="D959" s="631"/>
      <c r="E959" s="630"/>
      <c r="F959" s="628"/>
      <c r="G959" s="628"/>
      <c r="H959" s="631"/>
      <c r="I959" s="691"/>
      <c r="J959" s="631"/>
      <c r="K959" s="630"/>
      <c r="L959" s="631"/>
      <c r="M959" s="630"/>
      <c r="N959" s="628"/>
      <c r="O959" s="631"/>
      <c r="P959" s="631"/>
    </row>
    <row r="960" spans="1:16" ht="15.75" customHeight="1">
      <c r="A960" s="638"/>
      <c r="B960" s="638"/>
      <c r="C960" s="638"/>
      <c r="D960" s="638"/>
      <c r="E960" s="637"/>
      <c r="F960" s="634"/>
      <c r="G960" s="634"/>
      <c r="H960" s="638"/>
      <c r="I960" s="690"/>
      <c r="J960" s="638"/>
      <c r="K960" s="637"/>
      <c r="L960" s="638"/>
      <c r="M960" s="637"/>
      <c r="N960" s="634"/>
      <c r="O960" s="638"/>
      <c r="P960" s="638"/>
    </row>
    <row r="961" spans="1:16" ht="15.75" customHeight="1">
      <c r="A961" s="631"/>
      <c r="B961" s="631"/>
      <c r="C961" s="631"/>
      <c r="D961" s="631"/>
      <c r="E961" s="630"/>
      <c r="F961" s="628"/>
      <c r="G961" s="628"/>
      <c r="H961" s="631"/>
      <c r="I961" s="691"/>
      <c r="J961" s="631"/>
      <c r="K961" s="630"/>
      <c r="L961" s="631"/>
      <c r="M961" s="630"/>
      <c r="N961" s="628"/>
      <c r="O961" s="631"/>
      <c r="P961" s="631"/>
    </row>
    <row r="962" spans="1:16" ht="15.75" customHeight="1">
      <c r="A962" s="638"/>
      <c r="B962" s="638"/>
      <c r="C962" s="638"/>
      <c r="D962" s="638"/>
      <c r="E962" s="637"/>
      <c r="F962" s="634"/>
      <c r="G962" s="634"/>
      <c r="H962" s="638"/>
      <c r="I962" s="690"/>
      <c r="J962" s="638"/>
      <c r="K962" s="637"/>
      <c r="L962" s="638"/>
      <c r="M962" s="637"/>
      <c r="N962" s="634"/>
      <c r="O962" s="638"/>
      <c r="P962" s="638"/>
    </row>
    <row r="963" spans="1:16" ht="15.75" customHeight="1">
      <c r="A963" s="631"/>
      <c r="B963" s="631"/>
      <c r="C963" s="631"/>
      <c r="D963" s="631"/>
      <c r="E963" s="630"/>
      <c r="F963" s="628"/>
      <c r="G963" s="628"/>
      <c r="H963" s="631"/>
      <c r="I963" s="691"/>
      <c r="J963" s="631"/>
      <c r="K963" s="630"/>
      <c r="L963" s="631"/>
      <c r="M963" s="630"/>
      <c r="N963" s="628"/>
      <c r="O963" s="631"/>
      <c r="P963" s="631"/>
    </row>
    <row r="964" spans="1:16" ht="15.75" customHeight="1">
      <c r="A964" s="638"/>
      <c r="B964" s="638"/>
      <c r="C964" s="638"/>
      <c r="D964" s="638"/>
      <c r="E964" s="637"/>
      <c r="F964" s="634"/>
      <c r="G964" s="634"/>
      <c r="H964" s="638"/>
      <c r="I964" s="690"/>
      <c r="J964" s="638"/>
      <c r="K964" s="637"/>
      <c r="L964" s="638"/>
      <c r="M964" s="637"/>
      <c r="N964" s="634"/>
      <c r="O964" s="638"/>
      <c r="P964" s="638"/>
    </row>
    <row r="965" spans="1:16" ht="15.75" customHeight="1">
      <c r="A965" s="631"/>
      <c r="B965" s="631"/>
      <c r="C965" s="631"/>
      <c r="D965" s="631"/>
      <c r="E965" s="630"/>
      <c r="F965" s="628"/>
      <c r="G965" s="628"/>
      <c r="H965" s="631"/>
      <c r="I965" s="691"/>
      <c r="J965" s="631"/>
      <c r="K965" s="630"/>
      <c r="L965" s="631"/>
      <c r="M965" s="630"/>
      <c r="N965" s="628"/>
      <c r="O965" s="631"/>
      <c r="P965" s="631"/>
    </row>
    <row r="966" spans="1:16" ht="15.75" customHeight="1">
      <c r="A966" s="638"/>
      <c r="B966" s="638"/>
      <c r="C966" s="638"/>
      <c r="D966" s="638"/>
      <c r="E966" s="637"/>
      <c r="F966" s="634"/>
      <c r="G966" s="634"/>
      <c r="H966" s="638"/>
      <c r="I966" s="690"/>
      <c r="J966" s="638"/>
      <c r="K966" s="637"/>
      <c r="L966" s="638"/>
      <c r="M966" s="637"/>
      <c r="N966" s="634"/>
      <c r="O966" s="638"/>
      <c r="P966" s="638"/>
    </row>
    <row r="967" spans="1:16" ht="15.75" customHeight="1">
      <c r="A967" s="631"/>
      <c r="B967" s="631"/>
      <c r="C967" s="631"/>
      <c r="D967" s="631"/>
      <c r="E967" s="630"/>
      <c r="F967" s="628"/>
      <c r="G967" s="628"/>
      <c r="H967" s="631"/>
      <c r="I967" s="691"/>
      <c r="J967" s="631"/>
      <c r="K967" s="630"/>
      <c r="L967" s="631"/>
      <c r="M967" s="630"/>
      <c r="N967" s="628"/>
      <c r="O967" s="631"/>
      <c r="P967" s="631"/>
    </row>
    <row r="968" spans="1:16" ht="15.75" customHeight="1">
      <c r="A968" s="638"/>
      <c r="B968" s="638"/>
      <c r="C968" s="638"/>
      <c r="D968" s="638"/>
      <c r="E968" s="637"/>
      <c r="F968" s="634"/>
      <c r="G968" s="634"/>
      <c r="H968" s="638"/>
      <c r="I968" s="690"/>
      <c r="J968" s="638"/>
      <c r="K968" s="637"/>
      <c r="L968" s="638"/>
      <c r="M968" s="637"/>
      <c r="N968" s="634"/>
      <c r="O968" s="638"/>
      <c r="P968" s="638"/>
    </row>
    <row r="969" spans="1:16" ht="15.75" customHeight="1">
      <c r="A969" s="631"/>
      <c r="B969" s="631"/>
      <c r="C969" s="631"/>
      <c r="D969" s="631"/>
      <c r="E969" s="630"/>
      <c r="F969" s="628"/>
      <c r="G969" s="628"/>
      <c r="H969" s="631"/>
      <c r="I969" s="691"/>
      <c r="J969" s="631"/>
      <c r="K969" s="630"/>
      <c r="L969" s="631"/>
      <c r="M969" s="630"/>
      <c r="N969" s="628"/>
      <c r="O969" s="631"/>
      <c r="P969" s="631"/>
    </row>
    <row r="970" spans="1:16" ht="15.75" customHeight="1">
      <c r="A970" s="638"/>
      <c r="B970" s="638"/>
      <c r="C970" s="638"/>
      <c r="D970" s="638"/>
      <c r="E970" s="637"/>
      <c r="F970" s="634"/>
      <c r="G970" s="634"/>
      <c r="H970" s="638"/>
      <c r="I970" s="690"/>
      <c r="J970" s="638"/>
      <c r="K970" s="637"/>
      <c r="L970" s="638"/>
      <c r="M970" s="637"/>
      <c r="N970" s="634"/>
      <c r="O970" s="638"/>
      <c r="P970" s="638"/>
    </row>
    <row r="971" spans="1:16" ht="15.75" customHeight="1">
      <c r="A971" s="631"/>
      <c r="B971" s="631"/>
      <c r="C971" s="631"/>
      <c r="D971" s="631"/>
      <c r="E971" s="630"/>
      <c r="F971" s="628"/>
      <c r="G971" s="628"/>
      <c r="H971" s="631"/>
      <c r="I971" s="691"/>
      <c r="J971" s="631"/>
      <c r="K971" s="630"/>
      <c r="L971" s="631"/>
      <c r="M971" s="630"/>
      <c r="N971" s="628"/>
      <c r="O971" s="631"/>
      <c r="P971" s="631"/>
    </row>
    <row r="972" spans="1:16" ht="15.75" customHeight="1">
      <c r="A972" s="638"/>
      <c r="B972" s="638"/>
      <c r="C972" s="638"/>
      <c r="D972" s="638"/>
      <c r="E972" s="637"/>
      <c r="F972" s="634"/>
      <c r="G972" s="634"/>
      <c r="H972" s="638"/>
      <c r="I972" s="690"/>
      <c r="J972" s="638"/>
      <c r="K972" s="637"/>
      <c r="L972" s="638"/>
      <c r="M972" s="637"/>
      <c r="N972" s="634"/>
      <c r="O972" s="638"/>
      <c r="P972" s="638"/>
    </row>
    <row r="973" spans="1:16" ht="15.75" customHeight="1">
      <c r="A973" s="631"/>
      <c r="B973" s="631"/>
      <c r="C973" s="631"/>
      <c r="D973" s="631"/>
      <c r="E973" s="630"/>
      <c r="F973" s="628"/>
      <c r="G973" s="628"/>
      <c r="H973" s="631"/>
      <c r="I973" s="691"/>
      <c r="J973" s="631"/>
      <c r="K973" s="630"/>
      <c r="L973" s="631"/>
      <c r="M973" s="630"/>
      <c r="N973" s="628"/>
      <c r="O973" s="631"/>
      <c r="P973" s="631"/>
    </row>
    <row r="974" spans="1:16" ht="15.75" customHeight="1">
      <c r="A974" s="638"/>
      <c r="B974" s="638"/>
      <c r="C974" s="638"/>
      <c r="D974" s="638"/>
      <c r="E974" s="637"/>
      <c r="F974" s="634"/>
      <c r="G974" s="634"/>
      <c r="H974" s="638"/>
      <c r="I974" s="690"/>
      <c r="J974" s="638"/>
      <c r="K974" s="637"/>
      <c r="L974" s="638"/>
      <c r="M974" s="637"/>
      <c r="N974" s="634"/>
      <c r="O974" s="638"/>
      <c r="P974" s="638"/>
    </row>
    <row r="975" spans="1:16" ht="15.75" customHeight="1">
      <c r="A975" s="631"/>
      <c r="B975" s="631"/>
      <c r="C975" s="631"/>
      <c r="D975" s="631"/>
      <c r="E975" s="630"/>
      <c r="F975" s="628"/>
      <c r="G975" s="628"/>
      <c r="H975" s="631"/>
      <c r="I975" s="691"/>
      <c r="J975" s="631"/>
      <c r="K975" s="630"/>
      <c r="L975" s="631"/>
      <c r="M975" s="630"/>
      <c r="N975" s="628"/>
      <c r="O975" s="631"/>
      <c r="P975" s="631"/>
    </row>
    <row r="976" spans="1:16" ht="15.75" customHeight="1">
      <c r="A976" s="638"/>
      <c r="B976" s="638"/>
      <c r="C976" s="638"/>
      <c r="D976" s="638"/>
      <c r="E976" s="637"/>
      <c r="F976" s="634"/>
      <c r="G976" s="634"/>
      <c r="H976" s="638"/>
      <c r="I976" s="690"/>
      <c r="J976" s="638"/>
      <c r="K976" s="637"/>
      <c r="L976" s="638"/>
      <c r="M976" s="637"/>
      <c r="N976" s="634"/>
      <c r="O976" s="638"/>
      <c r="P976" s="638"/>
    </row>
    <row r="977" spans="1:16" ht="15.75" customHeight="1">
      <c r="A977" s="631"/>
      <c r="B977" s="631"/>
      <c r="C977" s="631"/>
      <c r="D977" s="631"/>
      <c r="E977" s="630"/>
      <c r="F977" s="628"/>
      <c r="G977" s="628"/>
      <c r="H977" s="631"/>
      <c r="I977" s="691"/>
      <c r="J977" s="631"/>
      <c r="K977" s="630"/>
      <c r="L977" s="631"/>
      <c r="M977" s="630"/>
      <c r="N977" s="628"/>
      <c r="O977" s="631"/>
      <c r="P977" s="631"/>
    </row>
    <row r="978" spans="1:16" ht="15.75" customHeight="1">
      <c r="A978" s="638"/>
      <c r="B978" s="638"/>
      <c r="C978" s="638"/>
      <c r="D978" s="638"/>
      <c r="E978" s="637"/>
      <c r="F978" s="634"/>
      <c r="G978" s="634"/>
      <c r="H978" s="638"/>
      <c r="I978" s="690"/>
      <c r="J978" s="638"/>
      <c r="K978" s="637"/>
      <c r="L978" s="638"/>
      <c r="M978" s="637"/>
      <c r="N978" s="634"/>
      <c r="O978" s="638"/>
      <c r="P978" s="638"/>
    </row>
    <row r="979" spans="1:16" ht="15.75" customHeight="1">
      <c r="A979" s="631"/>
      <c r="B979" s="631"/>
      <c r="C979" s="631"/>
      <c r="D979" s="631"/>
      <c r="E979" s="630"/>
      <c r="F979" s="628"/>
      <c r="G979" s="628"/>
      <c r="H979" s="631"/>
      <c r="I979" s="691"/>
      <c r="J979" s="631"/>
      <c r="K979" s="630"/>
      <c r="L979" s="631"/>
      <c r="M979" s="630"/>
      <c r="N979" s="628"/>
      <c r="O979" s="631"/>
      <c r="P979" s="631"/>
    </row>
    <row r="980" spans="1:16" ht="15.75" customHeight="1">
      <c r="A980" s="638"/>
      <c r="B980" s="638"/>
      <c r="C980" s="638"/>
      <c r="D980" s="638"/>
      <c r="E980" s="637"/>
      <c r="F980" s="634"/>
      <c r="G980" s="634"/>
      <c r="H980" s="638"/>
      <c r="I980" s="690"/>
      <c r="J980" s="638"/>
      <c r="K980" s="637"/>
      <c r="L980" s="638"/>
      <c r="M980" s="637"/>
      <c r="N980" s="634"/>
      <c r="O980" s="638"/>
      <c r="P980" s="638"/>
    </row>
    <row r="981" spans="1:16" ht="15.75" customHeight="1">
      <c r="A981" s="631"/>
      <c r="B981" s="631"/>
      <c r="C981" s="631"/>
      <c r="D981" s="631"/>
      <c r="E981" s="630"/>
      <c r="F981" s="628"/>
      <c r="G981" s="628"/>
      <c r="H981" s="631"/>
      <c r="I981" s="691"/>
      <c r="J981" s="631"/>
      <c r="K981" s="630"/>
      <c r="L981" s="631"/>
      <c r="M981" s="630"/>
      <c r="N981" s="628"/>
      <c r="O981" s="631"/>
      <c r="P981" s="631"/>
    </row>
    <row r="982" spans="1:16" ht="15.75" customHeight="1">
      <c r="A982" s="638"/>
      <c r="B982" s="638"/>
      <c r="C982" s="638"/>
      <c r="D982" s="638"/>
      <c r="E982" s="637"/>
      <c r="F982" s="634"/>
      <c r="G982" s="634"/>
      <c r="H982" s="638"/>
      <c r="I982" s="690"/>
      <c r="J982" s="638"/>
      <c r="K982" s="637"/>
      <c r="L982" s="638"/>
      <c r="M982" s="637"/>
      <c r="N982" s="634"/>
      <c r="O982" s="638"/>
      <c r="P982" s="638"/>
    </row>
    <row r="983" spans="1:16" ht="15.75" customHeight="1">
      <c r="A983" s="631"/>
      <c r="B983" s="631"/>
      <c r="C983" s="631"/>
      <c r="D983" s="631"/>
      <c r="E983" s="630"/>
      <c r="F983" s="628"/>
      <c r="G983" s="628"/>
      <c r="H983" s="631"/>
      <c r="I983" s="691"/>
      <c r="J983" s="631"/>
      <c r="K983" s="630"/>
      <c r="L983" s="631"/>
      <c r="M983" s="630"/>
      <c r="N983" s="628"/>
      <c r="O983" s="631"/>
      <c r="P983" s="631"/>
    </row>
    <row r="984" spans="1:16" ht="15.75" customHeight="1">
      <c r="A984" s="638"/>
      <c r="B984" s="638"/>
      <c r="C984" s="638"/>
      <c r="D984" s="638"/>
      <c r="E984" s="637"/>
      <c r="F984" s="634"/>
      <c r="G984" s="634"/>
      <c r="H984" s="638"/>
      <c r="I984" s="690"/>
      <c r="J984" s="638"/>
      <c r="K984" s="637"/>
      <c r="L984" s="638"/>
      <c r="M984" s="637"/>
      <c r="N984" s="634"/>
      <c r="O984" s="638"/>
      <c r="P984" s="638"/>
    </row>
    <row r="985" spans="1:16" ht="15.75" customHeight="1">
      <c r="A985" s="631"/>
      <c r="B985" s="631"/>
      <c r="C985" s="631"/>
      <c r="D985" s="631"/>
      <c r="E985" s="630"/>
      <c r="F985" s="628"/>
      <c r="G985" s="628"/>
      <c r="H985" s="631"/>
      <c r="I985" s="691"/>
      <c r="J985" s="631"/>
      <c r="K985" s="630"/>
      <c r="L985" s="631"/>
      <c r="M985" s="630"/>
      <c r="N985" s="628"/>
      <c r="O985" s="631"/>
      <c r="P985" s="631"/>
    </row>
    <row r="986" spans="1:16" ht="15.75" customHeight="1">
      <c r="A986" s="638"/>
      <c r="B986" s="638"/>
      <c r="C986" s="638"/>
      <c r="D986" s="638"/>
      <c r="E986" s="637"/>
      <c r="F986" s="634"/>
      <c r="G986" s="634"/>
      <c r="H986" s="638"/>
      <c r="I986" s="690"/>
      <c r="J986" s="638"/>
      <c r="K986" s="637"/>
      <c r="L986" s="638"/>
      <c r="M986" s="637"/>
      <c r="N986" s="634"/>
      <c r="O986" s="638"/>
      <c r="P986" s="638"/>
    </row>
    <row r="987" spans="1:16" ht="15.75" customHeight="1">
      <c r="A987" s="631"/>
      <c r="B987" s="631"/>
      <c r="C987" s="631"/>
      <c r="D987" s="631"/>
      <c r="E987" s="630"/>
      <c r="F987" s="628"/>
      <c r="G987" s="628"/>
      <c r="H987" s="631"/>
      <c r="I987" s="691"/>
      <c r="J987" s="631"/>
      <c r="K987" s="630"/>
      <c r="L987" s="631"/>
      <c r="M987" s="630"/>
      <c r="N987" s="628"/>
      <c r="O987" s="631"/>
      <c r="P987" s="631"/>
    </row>
    <row r="988" spans="1:16" ht="15.75" customHeight="1">
      <c r="A988" s="638"/>
      <c r="B988" s="638"/>
      <c r="C988" s="638"/>
      <c r="D988" s="638"/>
      <c r="E988" s="637"/>
      <c r="F988" s="634"/>
      <c r="G988" s="634"/>
      <c r="H988" s="638"/>
      <c r="I988" s="690"/>
      <c r="J988" s="638"/>
      <c r="K988" s="637"/>
      <c r="L988" s="638"/>
      <c r="M988" s="637"/>
      <c r="N988" s="634"/>
      <c r="O988" s="638"/>
      <c r="P988" s="638"/>
    </row>
    <row r="989" spans="1:16" ht="15.75" customHeight="1">
      <c r="A989" s="631"/>
      <c r="B989" s="631"/>
      <c r="C989" s="631"/>
      <c r="D989" s="631"/>
      <c r="E989" s="630"/>
      <c r="F989" s="628"/>
      <c r="G989" s="628"/>
      <c r="H989" s="631"/>
      <c r="I989" s="691"/>
      <c r="J989" s="631"/>
      <c r="K989" s="630"/>
      <c r="L989" s="631"/>
      <c r="M989" s="630"/>
      <c r="N989" s="628"/>
      <c r="O989" s="631"/>
      <c r="P989" s="631"/>
    </row>
    <row r="990" spans="1:16" ht="15.75" customHeight="1">
      <c r="A990" s="638"/>
      <c r="B990" s="638"/>
      <c r="C990" s="638"/>
      <c r="D990" s="638"/>
      <c r="E990" s="637"/>
      <c r="F990" s="634"/>
      <c r="G990" s="634"/>
      <c r="H990" s="638"/>
      <c r="I990" s="690"/>
      <c r="J990" s="638"/>
      <c r="K990" s="637"/>
      <c r="L990" s="638"/>
      <c r="M990" s="637"/>
      <c r="N990" s="634"/>
      <c r="O990" s="638"/>
      <c r="P990" s="638"/>
    </row>
    <row r="991" spans="1:16" ht="15.75" customHeight="1">
      <c r="A991" s="631"/>
      <c r="B991" s="631"/>
      <c r="C991" s="631"/>
      <c r="D991" s="631"/>
      <c r="E991" s="630"/>
      <c r="F991" s="628"/>
      <c r="G991" s="628"/>
      <c r="H991" s="631"/>
      <c r="I991" s="691"/>
      <c r="J991" s="631"/>
      <c r="K991" s="630"/>
      <c r="L991" s="631"/>
      <c r="M991" s="630"/>
      <c r="N991" s="628"/>
      <c r="O991" s="631"/>
      <c r="P991" s="631"/>
    </row>
    <row r="992" spans="1:16" ht="15.75" customHeight="1">
      <c r="A992" s="638"/>
      <c r="B992" s="638"/>
      <c r="C992" s="638"/>
      <c r="D992" s="638"/>
      <c r="E992" s="637"/>
      <c r="F992" s="634"/>
      <c r="G992" s="634"/>
      <c r="H992" s="638"/>
      <c r="I992" s="690"/>
      <c r="J992" s="638"/>
      <c r="K992" s="637"/>
      <c r="L992" s="638"/>
      <c r="M992" s="637"/>
      <c r="N992" s="634"/>
      <c r="O992" s="638"/>
      <c r="P992" s="638"/>
    </row>
    <row r="993" spans="1:16" ht="15.75" customHeight="1">
      <c r="A993" s="631"/>
      <c r="B993" s="631"/>
      <c r="C993" s="631"/>
      <c r="D993" s="631"/>
      <c r="E993" s="630"/>
      <c r="F993" s="628"/>
      <c r="G993" s="628"/>
      <c r="H993" s="631"/>
      <c r="I993" s="691"/>
      <c r="J993" s="631"/>
      <c r="K993" s="630"/>
      <c r="L993" s="631"/>
      <c r="M993" s="630"/>
      <c r="N993" s="628"/>
      <c r="O993" s="631"/>
      <c r="P993" s="631"/>
    </row>
    <row r="994" spans="1:16" ht="15.75" customHeight="1">
      <c r="A994" s="638"/>
      <c r="B994" s="638"/>
      <c r="C994" s="638"/>
      <c r="D994" s="638"/>
      <c r="E994" s="637"/>
      <c r="F994" s="634"/>
      <c r="G994" s="634"/>
      <c r="H994" s="638"/>
      <c r="I994" s="690"/>
      <c r="J994" s="638"/>
      <c r="K994" s="637"/>
      <c r="L994" s="638"/>
      <c r="M994" s="637"/>
      <c r="N994" s="634"/>
      <c r="O994" s="638"/>
      <c r="P994" s="638"/>
    </row>
    <row r="995" spans="1:16" ht="15.75" customHeight="1">
      <c r="A995" s="631"/>
      <c r="B995" s="631"/>
      <c r="C995" s="631"/>
      <c r="D995" s="631"/>
      <c r="E995" s="630"/>
      <c r="F995" s="628"/>
      <c r="G995" s="628"/>
      <c r="H995" s="631"/>
      <c r="I995" s="691"/>
      <c r="J995" s="631"/>
      <c r="K995" s="630"/>
      <c r="L995" s="631"/>
      <c r="M995" s="630"/>
      <c r="N995" s="628"/>
      <c r="O995" s="631"/>
      <c r="P995" s="631"/>
    </row>
    <row r="996" spans="1:16" ht="15.75" customHeight="1">
      <c r="A996" s="638"/>
      <c r="B996" s="638"/>
      <c r="C996" s="638"/>
      <c r="D996" s="638"/>
      <c r="E996" s="637"/>
      <c r="F996" s="634"/>
      <c r="G996" s="634"/>
      <c r="H996" s="638"/>
      <c r="I996" s="690"/>
      <c r="J996" s="638"/>
      <c r="K996" s="637"/>
      <c r="L996" s="638"/>
      <c r="M996" s="637"/>
      <c r="N996" s="634"/>
      <c r="O996" s="638"/>
      <c r="P996" s="638"/>
    </row>
    <row r="997" spans="1:16" ht="15.75" customHeight="1">
      <c r="A997" s="631"/>
      <c r="B997" s="631"/>
      <c r="C997" s="631"/>
      <c r="D997" s="631"/>
      <c r="E997" s="630"/>
      <c r="F997" s="628"/>
      <c r="G997" s="628"/>
      <c r="H997" s="631"/>
      <c r="I997" s="691"/>
      <c r="J997" s="631"/>
      <c r="K997" s="630"/>
      <c r="L997" s="631"/>
      <c r="M997" s="630"/>
      <c r="N997" s="628"/>
      <c r="O997" s="631"/>
      <c r="P997" s="631"/>
    </row>
    <row r="998" spans="1:16" ht="15.75" customHeight="1">
      <c r="A998" s="638"/>
      <c r="B998" s="638"/>
      <c r="C998" s="638"/>
      <c r="D998" s="638"/>
      <c r="E998" s="637"/>
      <c r="F998" s="634"/>
      <c r="G998" s="634"/>
      <c r="H998" s="638"/>
      <c r="I998" s="690"/>
      <c r="J998" s="638"/>
      <c r="K998" s="637"/>
      <c r="L998" s="638"/>
      <c r="M998" s="637"/>
      <c r="N998" s="634"/>
      <c r="O998" s="638"/>
      <c r="P998" s="638"/>
    </row>
    <row r="999" spans="1:16" ht="15.75" customHeight="1">
      <c r="A999" s="631"/>
      <c r="B999" s="631"/>
      <c r="C999" s="631"/>
      <c r="D999" s="631"/>
      <c r="E999" s="630"/>
      <c r="F999" s="628"/>
      <c r="G999" s="628"/>
      <c r="H999" s="631"/>
      <c r="I999" s="691"/>
      <c r="J999" s="631"/>
      <c r="K999" s="630"/>
      <c r="L999" s="631"/>
      <c r="M999" s="630"/>
      <c r="N999" s="628"/>
      <c r="O999" s="631"/>
      <c r="P999" s="631"/>
    </row>
    <row r="1000" spans="1:16" ht="15.75" customHeight="1">
      <c r="A1000" s="638"/>
      <c r="B1000" s="638"/>
      <c r="C1000" s="638"/>
      <c r="D1000" s="638"/>
      <c r="E1000" s="637"/>
      <c r="F1000" s="634"/>
      <c r="G1000" s="634"/>
      <c r="H1000" s="638"/>
      <c r="I1000" s="690"/>
      <c r="J1000" s="638"/>
      <c r="K1000" s="637"/>
      <c r="L1000" s="638"/>
      <c r="M1000" s="637"/>
      <c r="N1000" s="634"/>
      <c r="O1000" s="638"/>
      <c r="P1000" s="638"/>
    </row>
    <row r="1001" spans="1:16" ht="15.75" customHeight="1">
      <c r="A1001" s="631"/>
      <c r="B1001" s="631"/>
      <c r="C1001" s="631"/>
      <c r="D1001" s="631"/>
      <c r="E1001" s="630"/>
      <c r="F1001" s="628"/>
      <c r="G1001" s="628"/>
      <c r="H1001" s="631"/>
      <c r="I1001" s="691"/>
      <c r="J1001" s="631"/>
      <c r="K1001" s="630"/>
      <c r="L1001" s="631"/>
      <c r="M1001" s="630"/>
      <c r="N1001" s="628"/>
      <c r="O1001" s="631"/>
      <c r="P1001" s="631"/>
    </row>
    <row r="1002" spans="1:16" ht="15.75" customHeight="1">
      <c r="A1002" s="638"/>
      <c r="B1002" s="638"/>
      <c r="C1002" s="638"/>
      <c r="D1002" s="638"/>
      <c r="E1002" s="637"/>
      <c r="F1002" s="634"/>
      <c r="G1002" s="634"/>
      <c r="H1002" s="638"/>
      <c r="I1002" s="690"/>
      <c r="J1002" s="638"/>
      <c r="K1002" s="637"/>
      <c r="L1002" s="638"/>
      <c r="M1002" s="637"/>
      <c r="N1002" s="634"/>
      <c r="O1002" s="638"/>
      <c r="P1002" s="638"/>
    </row>
  </sheetData>
  <mergeCells count="18">
    <mergeCell ref="K4:M4"/>
    <mergeCell ref="D2:D3"/>
    <mergeCell ref="C2:C3"/>
    <mergeCell ref="B2:B3"/>
    <mergeCell ref="L2:L3"/>
    <mergeCell ref="A2:A3"/>
    <mergeCell ref="A4:D4"/>
    <mergeCell ref="I2:I3"/>
    <mergeCell ref="H2:H3"/>
    <mergeCell ref="G2:G3"/>
    <mergeCell ref="F2:F3"/>
    <mergeCell ref="E2:E3"/>
    <mergeCell ref="G4:H4"/>
    <mergeCell ref="K2:K3"/>
    <mergeCell ref="J2:J3"/>
    <mergeCell ref="O2:P2"/>
    <mergeCell ref="N2:N3"/>
    <mergeCell ref="M2:M3"/>
  </mergeCells>
  <conditionalFormatting sqref="A2 A426:A499 A652:A703">
    <cfRule type="expression" dxfId="6" priority="6">
      <formula>COUNTIF($A:$A,#REF!)&gt;1</formula>
    </cfRule>
  </conditionalFormatting>
  <conditionalFormatting sqref="A5:A230 A349:A425 A500:A651 A704:A1002">
    <cfRule type="expression" dxfId="5" priority="5">
      <formula>COUNTIF($A:$A,A7)&gt;1</formula>
    </cfRule>
  </conditionalFormatting>
  <conditionalFormatting sqref="A231:A348">
    <cfRule type="expression" dxfId="4" priority="3">
      <formula>COUNTIF($A:$A,#REF!)&gt;1</formula>
    </cfRule>
  </conditionalFormatting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FE40-18A5-4E8C-8150-1D5D1A599D92}">
  <sheetPr>
    <tabColor theme="9" tint="0.39997558519241921"/>
  </sheetPr>
  <dimension ref="A1:P1001"/>
  <sheetViews>
    <sheetView workbookViewId="0">
      <selection activeCell="Q17" sqref="Q17"/>
    </sheetView>
  </sheetViews>
  <sheetFormatPr defaultColWidth="14.3984375" defaultRowHeight="13.8"/>
  <cols>
    <col min="1" max="1" width="11.19921875" bestFit="1" customWidth="1"/>
    <col min="2" max="2" width="11.59765625" customWidth="1"/>
    <col min="3" max="3" width="19.59765625" hidden="1" customWidth="1"/>
    <col min="4" max="4" width="19.796875" hidden="1" customWidth="1"/>
    <col min="5" max="5" width="19" hidden="1" customWidth="1"/>
    <col min="6" max="6" width="12" style="560" hidden="1" customWidth="1"/>
    <col min="7" max="7" width="12" hidden="1" customWidth="1"/>
    <col min="8" max="8" width="24.19921875" hidden="1" customWidth="1"/>
    <col min="9" max="9" width="20.19921875" hidden="1" customWidth="1"/>
    <col min="10" max="10" width="12" hidden="1" customWidth="1"/>
    <col min="11" max="11" width="17.59765625" customWidth="1"/>
    <col min="12" max="12" width="18.59765625" customWidth="1"/>
    <col min="13" max="13" width="20" customWidth="1"/>
    <col min="14" max="14" width="26.19921875" customWidth="1"/>
    <col min="15" max="15" width="30.59765625" hidden="1" customWidth="1"/>
    <col min="16" max="16" width="32.19921875" hidden="1" customWidth="1"/>
  </cols>
  <sheetData>
    <row r="1" spans="1:16" ht="39.6">
      <c r="A1" s="604" t="s">
        <v>1589</v>
      </c>
      <c r="B1" s="604" t="s">
        <v>1590</v>
      </c>
      <c r="C1" s="604" t="s">
        <v>1591</v>
      </c>
      <c r="D1" s="604" t="s">
        <v>1592</v>
      </c>
      <c r="E1" s="604" t="s">
        <v>1593</v>
      </c>
      <c r="F1" s="604" t="s">
        <v>1594</v>
      </c>
      <c r="G1" s="605" t="s">
        <v>517</v>
      </c>
      <c r="H1" s="604" t="s">
        <v>1794</v>
      </c>
      <c r="I1" s="606" t="s">
        <v>1795</v>
      </c>
      <c r="J1" s="607" t="s">
        <v>1594</v>
      </c>
      <c r="K1" s="604" t="s">
        <v>1595</v>
      </c>
      <c r="L1" s="607" t="s">
        <v>1796</v>
      </c>
      <c r="M1" s="605" t="s">
        <v>1596</v>
      </c>
      <c r="N1" s="604" t="s">
        <v>2714</v>
      </c>
      <c r="O1" s="604" t="s">
        <v>525</v>
      </c>
      <c r="P1" s="607" t="s">
        <v>526</v>
      </c>
    </row>
    <row r="2" spans="1:16" ht="21" customHeight="1">
      <c r="A2" s="604"/>
      <c r="B2" s="604"/>
      <c r="C2" s="604"/>
      <c r="D2" s="604"/>
      <c r="E2" s="608"/>
      <c r="F2" s="604"/>
      <c r="G2" s="605"/>
      <c r="H2" s="604"/>
      <c r="I2" s="606"/>
      <c r="J2" s="607"/>
      <c r="K2" s="608"/>
      <c r="L2" s="607"/>
      <c r="M2" s="609"/>
      <c r="N2" s="604"/>
      <c r="O2" s="604"/>
      <c r="P2" s="607"/>
    </row>
    <row r="3" spans="1:16" ht="21" customHeight="1">
      <c r="A3" s="1409" t="s">
        <v>270</v>
      </c>
      <c r="B3" s="1409"/>
      <c r="C3" s="1409"/>
      <c r="D3" s="1409"/>
      <c r="E3" s="1409"/>
      <c r="F3" s="1409"/>
      <c r="G3" s="1409"/>
      <c r="H3" s="1409"/>
      <c r="I3" s="1409"/>
      <c r="J3" s="1409"/>
      <c r="K3" s="1409"/>
      <c r="L3" s="1409"/>
      <c r="M3" s="1409"/>
      <c r="N3" s="908">
        <f>SUM(N4:N866)</f>
        <v>9710956.4299999997</v>
      </c>
      <c r="O3" s="604"/>
      <c r="P3" s="607"/>
    </row>
    <row r="4" spans="1:16">
      <c r="A4" s="610" t="s">
        <v>1797</v>
      </c>
      <c r="B4" s="611">
        <v>44930</v>
      </c>
      <c r="C4" s="610" t="s">
        <v>1597</v>
      </c>
      <c r="D4" s="610" t="s">
        <v>1598</v>
      </c>
      <c r="E4" s="612">
        <v>6.2</v>
      </c>
      <c r="F4" s="610" t="s">
        <v>1599</v>
      </c>
      <c r="G4" s="613" t="s">
        <v>1600</v>
      </c>
      <c r="H4" s="610" t="s">
        <v>1798</v>
      </c>
      <c r="I4" s="614">
        <v>1931</v>
      </c>
      <c r="J4" s="615" t="s">
        <v>1599</v>
      </c>
      <c r="K4" s="616">
        <v>2235.52</v>
      </c>
      <c r="L4" s="617">
        <f>M4-K4</f>
        <v>1128.96</v>
      </c>
      <c r="M4" s="899">
        <v>3364.48</v>
      </c>
      <c r="N4" s="909">
        <v>2235.52</v>
      </c>
      <c r="O4" s="618">
        <v>0</v>
      </c>
      <c r="P4" s="619">
        <v>100</v>
      </c>
    </row>
    <row r="5" spans="1:16">
      <c r="A5" s="620" t="s">
        <v>1799</v>
      </c>
      <c r="B5" s="621">
        <v>44930</v>
      </c>
      <c r="C5" s="620" t="s">
        <v>1597</v>
      </c>
      <c r="D5" s="620" t="s">
        <v>1598</v>
      </c>
      <c r="E5" s="622">
        <v>6.2</v>
      </c>
      <c r="F5" s="620" t="s">
        <v>1599</v>
      </c>
      <c r="G5" s="623" t="s">
        <v>1600</v>
      </c>
      <c r="H5" s="620" t="s">
        <v>1798</v>
      </c>
      <c r="I5" s="624">
        <v>1931</v>
      </c>
      <c r="J5" s="625" t="s">
        <v>1599</v>
      </c>
      <c r="K5" s="626">
        <v>3128.1</v>
      </c>
      <c r="L5" s="627">
        <f>M5-K5</f>
        <v>1436.2000000000003</v>
      </c>
      <c r="M5" s="900">
        <v>4564.3</v>
      </c>
      <c r="N5" s="910">
        <v>3128.1</v>
      </c>
      <c r="O5" s="620">
        <v>0</v>
      </c>
      <c r="P5" s="627">
        <v>100</v>
      </c>
    </row>
    <row r="6" spans="1:16">
      <c r="A6" s="628" t="s">
        <v>1800</v>
      </c>
      <c r="B6" s="629">
        <v>44932</v>
      </c>
      <c r="C6" s="618" t="s">
        <v>1597</v>
      </c>
      <c r="D6" s="618" t="s">
        <v>1598</v>
      </c>
      <c r="E6" s="630">
        <v>6.5</v>
      </c>
      <c r="F6" s="628" t="s">
        <v>1599</v>
      </c>
      <c r="G6" s="631" t="s">
        <v>1600</v>
      </c>
      <c r="H6" s="628" t="s">
        <v>1801</v>
      </c>
      <c r="I6" s="632">
        <v>9292</v>
      </c>
      <c r="J6" s="631" t="s">
        <v>1599</v>
      </c>
      <c r="K6" s="633">
        <v>2100</v>
      </c>
      <c r="L6" s="619">
        <f t="shared" ref="L6:L78" si="0">M6-K6</f>
        <v>14805</v>
      </c>
      <c r="M6" s="901">
        <v>16905</v>
      </c>
      <c r="N6" s="909">
        <v>14226.6</v>
      </c>
      <c r="O6" s="618">
        <v>0</v>
      </c>
      <c r="P6" s="619">
        <v>100</v>
      </c>
    </row>
    <row r="7" spans="1:16">
      <c r="A7" s="634" t="s">
        <v>1802</v>
      </c>
      <c r="B7" s="635">
        <v>44932</v>
      </c>
      <c r="C7" s="636" t="s">
        <v>1597</v>
      </c>
      <c r="D7" s="636" t="s">
        <v>1598</v>
      </c>
      <c r="E7" s="637">
        <v>6.5</v>
      </c>
      <c r="F7" s="634" t="s">
        <v>1599</v>
      </c>
      <c r="G7" s="638" t="s">
        <v>1600</v>
      </c>
      <c r="H7" s="634" t="s">
        <v>1803</v>
      </c>
      <c r="I7" s="639">
        <v>8839</v>
      </c>
      <c r="J7" s="638" t="s">
        <v>1599</v>
      </c>
      <c r="K7" s="640">
        <v>3700</v>
      </c>
      <c r="L7" s="641">
        <f t="shared" si="0"/>
        <v>13594</v>
      </c>
      <c r="M7" s="902">
        <v>17294</v>
      </c>
      <c r="N7" s="911">
        <v>10091</v>
      </c>
      <c r="O7" s="636">
        <v>0</v>
      </c>
      <c r="P7" s="641">
        <v>100</v>
      </c>
    </row>
    <row r="8" spans="1:16">
      <c r="A8" s="628" t="s">
        <v>1804</v>
      </c>
      <c r="B8" s="629">
        <v>44933</v>
      </c>
      <c r="C8" s="618" t="s">
        <v>1597</v>
      </c>
      <c r="D8" s="618" t="s">
        <v>1598</v>
      </c>
      <c r="E8" s="630">
        <v>6.5</v>
      </c>
      <c r="F8" s="628" t="s">
        <v>1599</v>
      </c>
      <c r="G8" s="631" t="s">
        <v>1600</v>
      </c>
      <c r="H8" s="628" t="s">
        <v>1805</v>
      </c>
      <c r="I8" s="632">
        <v>8894</v>
      </c>
      <c r="J8" s="631" t="s">
        <v>1599</v>
      </c>
      <c r="K8" s="633">
        <v>2100</v>
      </c>
      <c r="L8" s="619">
        <f t="shared" si="0"/>
        <v>14536.3</v>
      </c>
      <c r="M8" s="901">
        <v>16636.3</v>
      </c>
      <c r="N8" s="912">
        <v>13727</v>
      </c>
      <c r="O8" s="618">
        <v>0</v>
      </c>
      <c r="P8" s="619">
        <v>100</v>
      </c>
    </row>
    <row r="9" spans="1:16">
      <c r="A9" s="634" t="s">
        <v>1806</v>
      </c>
      <c r="B9" s="635">
        <v>44931</v>
      </c>
      <c r="C9" s="636" t="s">
        <v>1597</v>
      </c>
      <c r="D9" s="636" t="s">
        <v>1598</v>
      </c>
      <c r="E9" s="637">
        <v>11.9</v>
      </c>
      <c r="F9" s="634" t="s">
        <v>1599</v>
      </c>
      <c r="G9" s="638" t="s">
        <v>1600</v>
      </c>
      <c r="H9" s="634" t="s">
        <v>1807</v>
      </c>
      <c r="I9" s="639">
        <v>1734</v>
      </c>
      <c r="J9" s="638" t="s">
        <v>1599</v>
      </c>
      <c r="K9" s="640">
        <v>3600</v>
      </c>
      <c r="L9" s="641">
        <f t="shared" si="0"/>
        <v>11341.5</v>
      </c>
      <c r="M9" s="902">
        <v>14941.5</v>
      </c>
      <c r="N9" s="911">
        <v>8580.5</v>
      </c>
      <c r="O9" s="636">
        <v>0</v>
      </c>
      <c r="P9" s="641">
        <v>100</v>
      </c>
    </row>
    <row r="10" spans="1:16">
      <c r="A10" s="628" t="s">
        <v>1808</v>
      </c>
      <c r="B10" s="629">
        <v>44932</v>
      </c>
      <c r="C10" s="618" t="s">
        <v>1597</v>
      </c>
      <c r="D10" s="618" t="s">
        <v>1598</v>
      </c>
      <c r="E10" s="630">
        <v>6.2</v>
      </c>
      <c r="F10" s="628" t="s">
        <v>1599</v>
      </c>
      <c r="G10" s="631" t="s">
        <v>1600</v>
      </c>
      <c r="H10" s="628" t="s">
        <v>1809</v>
      </c>
      <c r="I10" s="632">
        <v>15168</v>
      </c>
      <c r="J10" s="631" t="s">
        <v>1599</v>
      </c>
      <c r="K10" s="633">
        <v>3700</v>
      </c>
      <c r="L10" s="619">
        <f t="shared" si="0"/>
        <v>18640.599999999999</v>
      </c>
      <c r="M10" s="901">
        <v>22340.6</v>
      </c>
      <c r="N10" s="912">
        <v>15321.6</v>
      </c>
      <c r="O10" s="618">
        <v>0</v>
      </c>
      <c r="P10" s="619">
        <v>100</v>
      </c>
    </row>
    <row r="11" spans="1:16">
      <c r="A11" s="634" t="s">
        <v>1810</v>
      </c>
      <c r="B11" s="635">
        <v>44932</v>
      </c>
      <c r="C11" s="636" t="s">
        <v>1597</v>
      </c>
      <c r="D11" s="636" t="s">
        <v>1598</v>
      </c>
      <c r="E11" s="637">
        <v>11.9</v>
      </c>
      <c r="F11" s="634" t="s">
        <v>1599</v>
      </c>
      <c r="G11" s="638" t="s">
        <v>1600</v>
      </c>
      <c r="H11" s="634" t="s">
        <v>1809</v>
      </c>
      <c r="I11" s="639">
        <v>15168</v>
      </c>
      <c r="J11" s="638" t="s">
        <v>1599</v>
      </c>
      <c r="K11" s="640">
        <v>3800</v>
      </c>
      <c r="L11" s="641">
        <f t="shared" si="0"/>
        <v>19997.28</v>
      </c>
      <c r="M11" s="902">
        <v>23797.279999999999</v>
      </c>
      <c r="N11" s="911">
        <v>16872</v>
      </c>
      <c r="O11" s="636">
        <v>0</v>
      </c>
      <c r="P11" s="641">
        <v>100</v>
      </c>
    </row>
    <row r="12" spans="1:16">
      <c r="A12" s="628" t="s">
        <v>1811</v>
      </c>
      <c r="B12" s="629">
        <v>44932</v>
      </c>
      <c r="C12" s="618" t="s">
        <v>1597</v>
      </c>
      <c r="D12" s="618" t="s">
        <v>1598</v>
      </c>
      <c r="E12" s="630">
        <v>11.9</v>
      </c>
      <c r="F12" s="628" t="s">
        <v>1599</v>
      </c>
      <c r="G12" s="631" t="s">
        <v>1600</v>
      </c>
      <c r="H12" s="628" t="s">
        <v>1809</v>
      </c>
      <c r="I12" s="632">
        <v>15168</v>
      </c>
      <c r="J12" s="631" t="s">
        <v>1599</v>
      </c>
      <c r="K12" s="633">
        <v>3570</v>
      </c>
      <c r="L12" s="619">
        <f t="shared" si="0"/>
        <v>18727</v>
      </c>
      <c r="M12" s="901">
        <v>22297</v>
      </c>
      <c r="N12" s="912">
        <v>14962.5</v>
      </c>
      <c r="O12" s="618">
        <v>0</v>
      </c>
      <c r="P12" s="619">
        <v>100</v>
      </c>
    </row>
    <row r="13" spans="1:16">
      <c r="A13" s="634" t="s">
        <v>1812</v>
      </c>
      <c r="B13" s="635">
        <v>44936</v>
      </c>
      <c r="C13" s="636" t="s">
        <v>1597</v>
      </c>
      <c r="D13" s="636" t="s">
        <v>1598</v>
      </c>
      <c r="E13" s="637">
        <v>6.2</v>
      </c>
      <c r="F13" s="634" t="s">
        <v>1599</v>
      </c>
      <c r="G13" s="638" t="s">
        <v>1600</v>
      </c>
      <c r="H13" s="634" t="s">
        <v>1809</v>
      </c>
      <c r="I13" s="639">
        <v>15168</v>
      </c>
      <c r="J13" s="638" t="s">
        <v>1599</v>
      </c>
      <c r="K13" s="640">
        <v>3830</v>
      </c>
      <c r="L13" s="641">
        <f t="shared" si="0"/>
        <v>17077</v>
      </c>
      <c r="M13" s="902">
        <v>20907</v>
      </c>
      <c r="N13" s="911">
        <v>15333.35</v>
      </c>
      <c r="O13" s="636">
        <v>0</v>
      </c>
      <c r="P13" s="641">
        <v>100</v>
      </c>
    </row>
    <row r="14" spans="1:16">
      <c r="A14" s="628" t="s">
        <v>1813</v>
      </c>
      <c r="B14" s="629">
        <v>44936</v>
      </c>
      <c r="C14" s="618" t="s">
        <v>1597</v>
      </c>
      <c r="D14" s="618" t="s">
        <v>1598</v>
      </c>
      <c r="E14" s="630">
        <v>5.3</v>
      </c>
      <c r="F14" s="628" t="s">
        <v>1599</v>
      </c>
      <c r="G14" s="631" t="s">
        <v>1600</v>
      </c>
      <c r="H14" s="628" t="s">
        <v>1807</v>
      </c>
      <c r="I14" s="632">
        <v>1734</v>
      </c>
      <c r="J14" s="631" t="s">
        <v>1599</v>
      </c>
      <c r="K14" s="633">
        <v>3820</v>
      </c>
      <c r="L14" s="619">
        <f t="shared" si="0"/>
        <v>12112.1</v>
      </c>
      <c r="M14" s="901">
        <v>15932.1</v>
      </c>
      <c r="N14" s="912">
        <v>9365.7999999999993</v>
      </c>
      <c r="O14" s="618">
        <v>0</v>
      </c>
      <c r="P14" s="619">
        <v>100</v>
      </c>
    </row>
    <row r="15" spans="1:16">
      <c r="A15" s="634" t="s">
        <v>1814</v>
      </c>
      <c r="B15" s="635">
        <v>44930</v>
      </c>
      <c r="C15" s="636" t="s">
        <v>1597</v>
      </c>
      <c r="D15" s="636" t="s">
        <v>1598</v>
      </c>
      <c r="E15" s="637">
        <v>6.2</v>
      </c>
      <c r="F15" s="634" t="s">
        <v>1599</v>
      </c>
      <c r="G15" s="638" t="s">
        <v>1600</v>
      </c>
      <c r="H15" s="634" t="s">
        <v>1815</v>
      </c>
      <c r="I15" s="639">
        <v>17387</v>
      </c>
      <c r="J15" s="638" t="s">
        <v>1599</v>
      </c>
      <c r="K15" s="640">
        <v>3800</v>
      </c>
      <c r="L15" s="641">
        <f t="shared" si="0"/>
        <v>17973.48</v>
      </c>
      <c r="M15" s="902">
        <v>21773.48</v>
      </c>
      <c r="N15" s="911">
        <v>15759</v>
      </c>
      <c r="O15" s="636">
        <v>0</v>
      </c>
      <c r="P15" s="641">
        <v>100</v>
      </c>
    </row>
    <row r="16" spans="1:16">
      <c r="A16" s="628" t="s">
        <v>1816</v>
      </c>
      <c r="B16" s="629">
        <v>44930</v>
      </c>
      <c r="C16" s="618" t="s">
        <v>1597</v>
      </c>
      <c r="D16" s="618" t="s">
        <v>1598</v>
      </c>
      <c r="E16" s="630">
        <v>6.2</v>
      </c>
      <c r="F16" s="628" t="s">
        <v>1599</v>
      </c>
      <c r="G16" s="631" t="s">
        <v>1600</v>
      </c>
      <c r="H16" s="628" t="s">
        <v>1815</v>
      </c>
      <c r="I16" s="632">
        <v>17387</v>
      </c>
      <c r="J16" s="631" t="s">
        <v>1599</v>
      </c>
      <c r="K16" s="633">
        <v>3700</v>
      </c>
      <c r="L16" s="619">
        <f t="shared" si="0"/>
        <v>17299.64</v>
      </c>
      <c r="M16" s="901">
        <v>20999.64</v>
      </c>
      <c r="N16" s="912">
        <v>15188.82</v>
      </c>
      <c r="O16" s="618">
        <v>0</v>
      </c>
      <c r="P16" s="619">
        <v>100</v>
      </c>
    </row>
    <row r="17" spans="1:16">
      <c r="A17" s="634" t="s">
        <v>1817</v>
      </c>
      <c r="B17" s="635">
        <v>44930</v>
      </c>
      <c r="C17" s="636" t="s">
        <v>1597</v>
      </c>
      <c r="D17" s="636" t="s">
        <v>1598</v>
      </c>
      <c r="E17" s="637">
        <v>6.2</v>
      </c>
      <c r="F17" s="636" t="s">
        <v>1599</v>
      </c>
      <c r="G17" s="638" t="s">
        <v>1600</v>
      </c>
      <c r="H17" s="634" t="s">
        <v>1818</v>
      </c>
      <c r="I17" s="639">
        <v>14000</v>
      </c>
      <c r="J17" s="642" t="s">
        <v>1599</v>
      </c>
      <c r="K17" s="640">
        <v>3700</v>
      </c>
      <c r="L17" s="641">
        <f t="shared" si="0"/>
        <v>18302.63</v>
      </c>
      <c r="M17" s="902">
        <v>22002.63</v>
      </c>
      <c r="N17" s="911">
        <v>15983.79</v>
      </c>
      <c r="O17" s="636">
        <v>0</v>
      </c>
      <c r="P17" s="641">
        <v>100</v>
      </c>
    </row>
    <row r="18" spans="1:16">
      <c r="A18" s="628" t="s">
        <v>1819</v>
      </c>
      <c r="B18" s="629">
        <v>44936</v>
      </c>
      <c r="C18" s="618" t="s">
        <v>1597</v>
      </c>
      <c r="D18" s="618" t="s">
        <v>1598</v>
      </c>
      <c r="E18" s="630">
        <v>6.2</v>
      </c>
      <c r="F18" s="628" t="s">
        <v>1599</v>
      </c>
      <c r="G18" s="631" t="s">
        <v>1600</v>
      </c>
      <c r="H18" s="628" t="s">
        <v>1809</v>
      </c>
      <c r="I18" s="632">
        <v>15168</v>
      </c>
      <c r="J18" s="631" t="s">
        <v>1599</v>
      </c>
      <c r="K18" s="633">
        <v>3800</v>
      </c>
      <c r="L18" s="619">
        <f t="shared" si="0"/>
        <v>19997.28</v>
      </c>
      <c r="M18" s="901">
        <v>23797.279999999999</v>
      </c>
      <c r="N18" s="912">
        <v>16872</v>
      </c>
      <c r="O18" s="618">
        <v>0</v>
      </c>
      <c r="P18" s="619">
        <v>100</v>
      </c>
    </row>
    <row r="19" spans="1:16">
      <c r="A19" s="634" t="s">
        <v>1820</v>
      </c>
      <c r="B19" s="635">
        <v>44939</v>
      </c>
      <c r="C19" s="636" t="s">
        <v>1597</v>
      </c>
      <c r="D19" s="636" t="s">
        <v>1598</v>
      </c>
      <c r="E19" s="637">
        <v>7.1</v>
      </c>
      <c r="F19" s="634" t="s">
        <v>1599</v>
      </c>
      <c r="G19" s="638" t="s">
        <v>1600</v>
      </c>
      <c r="H19" s="634" t="s">
        <v>1809</v>
      </c>
      <c r="I19" s="639">
        <v>15168</v>
      </c>
      <c r="J19" s="638" t="s">
        <v>1599</v>
      </c>
      <c r="K19" s="640">
        <v>3760</v>
      </c>
      <c r="L19" s="641">
        <f t="shared" si="0"/>
        <v>17137</v>
      </c>
      <c r="M19" s="902">
        <v>20897</v>
      </c>
      <c r="N19" s="911">
        <v>13759.2</v>
      </c>
      <c r="O19" s="636">
        <v>0</v>
      </c>
      <c r="P19" s="641">
        <v>100</v>
      </c>
    </row>
    <row r="20" spans="1:16">
      <c r="A20" s="628" t="s">
        <v>1821</v>
      </c>
      <c r="B20" s="629">
        <v>44936</v>
      </c>
      <c r="C20" s="618" t="s">
        <v>1597</v>
      </c>
      <c r="D20" s="618" t="s">
        <v>1598</v>
      </c>
      <c r="E20" s="630">
        <v>6.2</v>
      </c>
      <c r="F20" s="628" t="s">
        <v>1599</v>
      </c>
      <c r="G20" s="631" t="s">
        <v>1600</v>
      </c>
      <c r="H20" s="628" t="s">
        <v>1822</v>
      </c>
      <c r="I20" s="632">
        <v>13787</v>
      </c>
      <c r="J20" s="631" t="s">
        <v>1599</v>
      </c>
      <c r="K20" s="633">
        <v>3300</v>
      </c>
      <c r="L20" s="619">
        <f t="shared" si="0"/>
        <v>14839</v>
      </c>
      <c r="M20" s="901">
        <v>18139</v>
      </c>
      <c r="N20" s="912">
        <v>12511.2</v>
      </c>
      <c r="O20" s="618">
        <v>0</v>
      </c>
      <c r="P20" s="619">
        <v>100</v>
      </c>
    </row>
    <row r="21" spans="1:16">
      <c r="A21" s="634" t="s">
        <v>1823</v>
      </c>
      <c r="B21" s="635">
        <v>44931</v>
      </c>
      <c r="C21" s="636" t="s">
        <v>1597</v>
      </c>
      <c r="D21" s="636" t="s">
        <v>1598</v>
      </c>
      <c r="E21" s="637">
        <v>11.9</v>
      </c>
      <c r="F21" s="634" t="s">
        <v>1599</v>
      </c>
      <c r="G21" s="638" t="s">
        <v>1600</v>
      </c>
      <c r="H21" s="634" t="s">
        <v>1798</v>
      </c>
      <c r="I21" s="639">
        <v>1931</v>
      </c>
      <c r="J21" s="638" t="s">
        <v>1599</v>
      </c>
      <c r="K21" s="640">
        <v>4814</v>
      </c>
      <c r="L21" s="641">
        <f t="shared" si="0"/>
        <v>849</v>
      </c>
      <c r="M21" s="902">
        <v>5663</v>
      </c>
      <c r="N21" s="911">
        <v>4814</v>
      </c>
      <c r="O21" s="636">
        <v>0</v>
      </c>
      <c r="P21" s="641">
        <v>100</v>
      </c>
    </row>
    <row r="22" spans="1:16" ht="15.75" customHeight="1">
      <c r="A22" s="628" t="s">
        <v>1824</v>
      </c>
      <c r="B22" s="629">
        <v>44935</v>
      </c>
      <c r="C22" s="618" t="s">
        <v>1597</v>
      </c>
      <c r="D22" s="618" t="s">
        <v>1598</v>
      </c>
      <c r="E22" s="630">
        <v>5.2</v>
      </c>
      <c r="F22" s="628" t="s">
        <v>1599</v>
      </c>
      <c r="G22" s="631" t="s">
        <v>1600</v>
      </c>
      <c r="H22" s="628" t="s">
        <v>1825</v>
      </c>
      <c r="I22" s="632">
        <v>15486</v>
      </c>
      <c r="J22" s="631" t="s">
        <v>1599</v>
      </c>
      <c r="K22" s="633">
        <v>3800</v>
      </c>
      <c r="L22" s="619">
        <f t="shared" si="0"/>
        <v>8457.57</v>
      </c>
      <c r="M22" s="901">
        <v>12257.57</v>
      </c>
      <c r="N22" s="912">
        <v>6241.88</v>
      </c>
      <c r="O22" s="618">
        <v>0</v>
      </c>
      <c r="P22" s="619">
        <v>100</v>
      </c>
    </row>
    <row r="23" spans="1:16" ht="15.75" customHeight="1">
      <c r="A23" s="634" t="s">
        <v>1826</v>
      </c>
      <c r="B23" s="635">
        <v>44935</v>
      </c>
      <c r="C23" s="636" t="s">
        <v>1597</v>
      </c>
      <c r="D23" s="636" t="s">
        <v>1598</v>
      </c>
      <c r="E23" s="637">
        <v>5.2</v>
      </c>
      <c r="F23" s="634" t="s">
        <v>1599</v>
      </c>
      <c r="G23" s="638" t="s">
        <v>1600</v>
      </c>
      <c r="H23" s="634" t="s">
        <v>1825</v>
      </c>
      <c r="I23" s="639">
        <v>15486</v>
      </c>
      <c r="J23" s="638" t="s">
        <v>1599</v>
      </c>
      <c r="K23" s="640">
        <v>3800</v>
      </c>
      <c r="L23" s="641">
        <f t="shared" si="0"/>
        <v>10970.57</v>
      </c>
      <c r="M23" s="902">
        <v>14770.57</v>
      </c>
      <c r="N23" s="911">
        <v>8567.19</v>
      </c>
      <c r="O23" s="636">
        <v>0</v>
      </c>
      <c r="P23" s="641">
        <v>100</v>
      </c>
    </row>
    <row r="24" spans="1:16" ht="15.75" customHeight="1">
      <c r="A24" s="628" t="s">
        <v>1827</v>
      </c>
      <c r="B24" s="629">
        <v>44935</v>
      </c>
      <c r="C24" s="618" t="s">
        <v>1597</v>
      </c>
      <c r="D24" s="618" t="s">
        <v>1598</v>
      </c>
      <c r="E24" s="630">
        <v>6.2</v>
      </c>
      <c r="F24" s="628" t="s">
        <v>1599</v>
      </c>
      <c r="G24" s="631" t="s">
        <v>1600</v>
      </c>
      <c r="H24" s="628" t="s">
        <v>1828</v>
      </c>
      <c r="I24" s="632">
        <v>7448</v>
      </c>
      <c r="J24" s="631" t="s">
        <v>1599</v>
      </c>
      <c r="K24" s="633">
        <v>3870</v>
      </c>
      <c r="L24" s="619">
        <f t="shared" si="0"/>
        <v>25770</v>
      </c>
      <c r="M24" s="901">
        <v>29640</v>
      </c>
      <c r="N24" s="912">
        <v>23189.4</v>
      </c>
      <c r="O24" s="618">
        <v>0</v>
      </c>
      <c r="P24" s="619">
        <v>100</v>
      </c>
    </row>
    <row r="25" spans="1:16" ht="15.75" customHeight="1">
      <c r="A25" s="634" t="s">
        <v>1829</v>
      </c>
      <c r="B25" s="635">
        <v>44935</v>
      </c>
      <c r="C25" s="636" t="s">
        <v>1597</v>
      </c>
      <c r="D25" s="636" t="s">
        <v>1598</v>
      </c>
      <c r="E25" s="637">
        <v>6.2</v>
      </c>
      <c r="F25" s="634" t="s">
        <v>1599</v>
      </c>
      <c r="G25" s="638" t="s">
        <v>1600</v>
      </c>
      <c r="H25" s="634" t="s">
        <v>1828</v>
      </c>
      <c r="I25" s="639">
        <v>7448</v>
      </c>
      <c r="J25" s="638" t="s">
        <v>1599</v>
      </c>
      <c r="K25" s="640">
        <v>3840</v>
      </c>
      <c r="L25" s="641">
        <f t="shared" si="0"/>
        <v>17352</v>
      </c>
      <c r="M25" s="902">
        <v>21192</v>
      </c>
      <c r="N25" s="911">
        <v>10713.2</v>
      </c>
      <c r="O25" s="636">
        <v>0</v>
      </c>
      <c r="P25" s="641">
        <v>100</v>
      </c>
    </row>
    <row r="26" spans="1:16" ht="15.75" customHeight="1">
      <c r="A26" s="628" t="s">
        <v>1830</v>
      </c>
      <c r="B26" s="629">
        <v>44935</v>
      </c>
      <c r="C26" s="618" t="s">
        <v>1597</v>
      </c>
      <c r="D26" s="618" t="s">
        <v>1598</v>
      </c>
      <c r="E26" s="630">
        <v>6.2</v>
      </c>
      <c r="F26" s="628" t="s">
        <v>1599</v>
      </c>
      <c r="G26" s="631" t="s">
        <v>1600</v>
      </c>
      <c r="H26" s="628" t="s">
        <v>1831</v>
      </c>
      <c r="I26" s="632">
        <v>7283</v>
      </c>
      <c r="J26" s="631" t="s">
        <v>1599</v>
      </c>
      <c r="K26" s="633">
        <v>2190</v>
      </c>
      <c r="L26" s="619">
        <f t="shared" si="0"/>
        <v>11292</v>
      </c>
      <c r="M26" s="901">
        <v>13482</v>
      </c>
      <c r="N26" s="912">
        <v>9411</v>
      </c>
      <c r="O26" s="618">
        <v>0</v>
      </c>
      <c r="P26" s="619">
        <v>100</v>
      </c>
    </row>
    <row r="27" spans="1:16" ht="15.75" customHeight="1">
      <c r="A27" s="634" t="s">
        <v>1832</v>
      </c>
      <c r="B27" s="635">
        <v>44935</v>
      </c>
      <c r="C27" s="636" t="s">
        <v>1597</v>
      </c>
      <c r="D27" s="636" t="s">
        <v>1598</v>
      </c>
      <c r="E27" s="637">
        <v>6</v>
      </c>
      <c r="F27" s="634" t="s">
        <v>1599</v>
      </c>
      <c r="G27" s="638" t="s">
        <v>1600</v>
      </c>
      <c r="H27" s="634" t="s">
        <v>1833</v>
      </c>
      <c r="I27" s="639">
        <v>4795</v>
      </c>
      <c r="J27" s="638" t="s">
        <v>1599</v>
      </c>
      <c r="K27" s="640">
        <v>2130</v>
      </c>
      <c r="L27" s="641">
        <f t="shared" si="0"/>
        <v>6594.27</v>
      </c>
      <c r="M27" s="902">
        <v>8724.27</v>
      </c>
      <c r="N27" s="911">
        <v>5401.23</v>
      </c>
      <c r="O27" s="636">
        <v>0</v>
      </c>
      <c r="P27" s="641">
        <v>100</v>
      </c>
    </row>
    <row r="28" spans="1:16" ht="15.75" customHeight="1">
      <c r="A28" s="628" t="s">
        <v>1834</v>
      </c>
      <c r="B28" s="629">
        <v>44932</v>
      </c>
      <c r="C28" s="618" t="s">
        <v>1597</v>
      </c>
      <c r="D28" s="618" t="s">
        <v>1598</v>
      </c>
      <c r="E28" s="630">
        <v>5.3</v>
      </c>
      <c r="F28" s="628" t="s">
        <v>1599</v>
      </c>
      <c r="G28" s="631" t="s">
        <v>1600</v>
      </c>
      <c r="H28" s="628" t="s">
        <v>1825</v>
      </c>
      <c r="I28" s="632">
        <v>15486</v>
      </c>
      <c r="J28" s="631" t="s">
        <v>1599</v>
      </c>
      <c r="K28" s="633">
        <v>3800</v>
      </c>
      <c r="L28" s="619">
        <f t="shared" si="0"/>
        <v>9796.56</v>
      </c>
      <c r="M28" s="901">
        <v>13596.56</v>
      </c>
      <c r="N28" s="912">
        <v>7147.44</v>
      </c>
      <c r="O28" s="618">
        <v>0</v>
      </c>
      <c r="P28" s="619">
        <v>100</v>
      </c>
    </row>
    <row r="29" spans="1:16" ht="15.75" customHeight="1">
      <c r="A29" s="634" t="s">
        <v>1835</v>
      </c>
      <c r="B29" s="635">
        <v>44936</v>
      </c>
      <c r="C29" s="636" t="s">
        <v>1597</v>
      </c>
      <c r="D29" s="636" t="s">
        <v>1598</v>
      </c>
      <c r="E29" s="637">
        <v>6.2</v>
      </c>
      <c r="F29" s="634" t="s">
        <v>1599</v>
      </c>
      <c r="G29" s="638" t="s">
        <v>1600</v>
      </c>
      <c r="H29" s="634" t="s">
        <v>1836</v>
      </c>
      <c r="I29" s="639">
        <v>14544</v>
      </c>
      <c r="J29" s="638" t="s">
        <v>1599</v>
      </c>
      <c r="K29" s="640">
        <v>3780</v>
      </c>
      <c r="L29" s="641">
        <f t="shared" si="0"/>
        <v>14839</v>
      </c>
      <c r="M29" s="902">
        <v>18619</v>
      </c>
      <c r="N29" s="911">
        <v>12511.2</v>
      </c>
      <c r="O29" s="636">
        <v>0</v>
      </c>
      <c r="P29" s="641">
        <v>100</v>
      </c>
    </row>
    <row r="30" spans="1:16" ht="15.75" customHeight="1">
      <c r="A30" s="628" t="s">
        <v>1837</v>
      </c>
      <c r="B30" s="629">
        <v>44935</v>
      </c>
      <c r="C30" s="618" t="s">
        <v>1597</v>
      </c>
      <c r="D30" s="618" t="s">
        <v>1598</v>
      </c>
      <c r="E30" s="630">
        <v>11.7</v>
      </c>
      <c r="F30" s="628" t="s">
        <v>1599</v>
      </c>
      <c r="G30" s="631" t="s">
        <v>1600</v>
      </c>
      <c r="H30" s="628" t="s">
        <v>1838</v>
      </c>
      <c r="I30" s="632">
        <v>4972</v>
      </c>
      <c r="J30" s="631" t="s">
        <v>1599</v>
      </c>
      <c r="K30" s="633">
        <v>3800</v>
      </c>
      <c r="L30" s="619">
        <f t="shared" si="0"/>
        <v>16723.689999999999</v>
      </c>
      <c r="M30" s="901">
        <v>20523.689999999999</v>
      </c>
      <c r="N30" s="912">
        <v>14665.8</v>
      </c>
      <c r="O30" s="618">
        <v>0</v>
      </c>
      <c r="P30" s="619">
        <v>100</v>
      </c>
    </row>
    <row r="31" spans="1:16" ht="15.75" customHeight="1">
      <c r="A31" s="634" t="s">
        <v>1839</v>
      </c>
      <c r="B31" s="635">
        <v>44935</v>
      </c>
      <c r="C31" s="636" t="s">
        <v>1597</v>
      </c>
      <c r="D31" s="636" t="s">
        <v>1598</v>
      </c>
      <c r="E31" s="637">
        <v>6.5</v>
      </c>
      <c r="F31" s="634" t="s">
        <v>1599</v>
      </c>
      <c r="G31" s="638" t="s">
        <v>1600</v>
      </c>
      <c r="H31" s="634" t="s">
        <v>1838</v>
      </c>
      <c r="I31" s="639">
        <v>4972</v>
      </c>
      <c r="J31" s="638" t="s">
        <v>1599</v>
      </c>
      <c r="K31" s="640">
        <v>3800</v>
      </c>
      <c r="L31" s="641">
        <f t="shared" si="0"/>
        <v>12792.77</v>
      </c>
      <c r="M31" s="902">
        <v>16592.77</v>
      </c>
      <c r="N31" s="911">
        <v>10413.450000000001</v>
      </c>
      <c r="O31" s="636">
        <v>0</v>
      </c>
      <c r="P31" s="641">
        <v>100</v>
      </c>
    </row>
    <row r="32" spans="1:16" ht="15.75" customHeight="1">
      <c r="A32" s="628" t="s">
        <v>1840</v>
      </c>
      <c r="B32" s="629">
        <v>44952</v>
      </c>
      <c r="C32" s="618" t="s">
        <v>1597</v>
      </c>
      <c r="D32" s="618" t="s">
        <v>1598</v>
      </c>
      <c r="E32" s="630">
        <v>11.9</v>
      </c>
      <c r="F32" s="628" t="s">
        <v>1599</v>
      </c>
      <c r="G32" s="631" t="s">
        <v>1600</v>
      </c>
      <c r="H32" s="628" t="s">
        <v>1841</v>
      </c>
      <c r="I32" s="632">
        <v>9486</v>
      </c>
      <c r="J32" s="631" t="s">
        <v>1599</v>
      </c>
      <c r="K32" s="633">
        <v>3700</v>
      </c>
      <c r="L32" s="619">
        <f t="shared" si="0"/>
        <v>18258.25</v>
      </c>
      <c r="M32" s="901">
        <v>21958.25</v>
      </c>
      <c r="N32" s="912">
        <v>13858.94</v>
      </c>
      <c r="O32" s="618">
        <v>0</v>
      </c>
      <c r="P32" s="619">
        <v>100</v>
      </c>
    </row>
    <row r="33" spans="1:16" ht="15.75" customHeight="1">
      <c r="A33" s="634" t="s">
        <v>1842</v>
      </c>
      <c r="B33" s="635">
        <v>44952</v>
      </c>
      <c r="C33" s="636" t="s">
        <v>1597</v>
      </c>
      <c r="D33" s="636" t="s">
        <v>1598</v>
      </c>
      <c r="E33" s="637">
        <v>11.9</v>
      </c>
      <c r="F33" s="634" t="s">
        <v>1599</v>
      </c>
      <c r="G33" s="638" t="s">
        <v>1600</v>
      </c>
      <c r="H33" s="634" t="s">
        <v>1841</v>
      </c>
      <c r="I33" s="639">
        <v>9486</v>
      </c>
      <c r="J33" s="638" t="s">
        <v>1599</v>
      </c>
      <c r="K33" s="640">
        <v>3740</v>
      </c>
      <c r="L33" s="641">
        <f t="shared" si="0"/>
        <v>16249.400000000001</v>
      </c>
      <c r="M33" s="902">
        <v>19989.400000000001</v>
      </c>
      <c r="N33" s="911">
        <v>13345.3</v>
      </c>
      <c r="O33" s="636">
        <v>0</v>
      </c>
      <c r="P33" s="641">
        <v>100</v>
      </c>
    </row>
    <row r="34" spans="1:16" ht="15.75" customHeight="1">
      <c r="A34" s="628" t="s">
        <v>1843</v>
      </c>
      <c r="B34" s="629">
        <v>44939</v>
      </c>
      <c r="C34" s="618" t="s">
        <v>1597</v>
      </c>
      <c r="D34" s="618" t="s">
        <v>1598</v>
      </c>
      <c r="E34" s="630">
        <v>7.1</v>
      </c>
      <c r="F34" s="628" t="s">
        <v>1599</v>
      </c>
      <c r="G34" s="631" t="s">
        <v>1600</v>
      </c>
      <c r="H34" s="628" t="s">
        <v>1844</v>
      </c>
      <c r="I34" s="632">
        <v>5727</v>
      </c>
      <c r="J34" s="631" t="s">
        <v>1599</v>
      </c>
      <c r="K34" s="633">
        <v>2280</v>
      </c>
      <c r="L34" s="619">
        <f t="shared" si="0"/>
        <v>7190.1299999999992</v>
      </c>
      <c r="M34" s="901">
        <v>9470.1299999999992</v>
      </c>
      <c r="N34" s="912">
        <v>6290.01</v>
      </c>
      <c r="O34" s="618">
        <v>0</v>
      </c>
      <c r="P34" s="619">
        <v>100</v>
      </c>
    </row>
    <row r="35" spans="1:16" ht="15.75" customHeight="1">
      <c r="A35" s="634" t="s">
        <v>1845</v>
      </c>
      <c r="B35" s="635">
        <v>44942</v>
      </c>
      <c r="C35" s="636" t="s">
        <v>1597</v>
      </c>
      <c r="D35" s="636" t="s">
        <v>1598</v>
      </c>
      <c r="E35" s="637">
        <v>11.9</v>
      </c>
      <c r="F35" s="634" t="s">
        <v>1599</v>
      </c>
      <c r="G35" s="638" t="s">
        <v>1600</v>
      </c>
      <c r="H35" s="634" t="s">
        <v>1846</v>
      </c>
      <c r="I35" s="639">
        <v>5317</v>
      </c>
      <c r="J35" s="638" t="s">
        <v>1599</v>
      </c>
      <c r="K35" s="640">
        <v>2230</v>
      </c>
      <c r="L35" s="641">
        <f t="shared" si="0"/>
        <v>6754.7999999999993</v>
      </c>
      <c r="M35" s="902">
        <v>8984.7999999999993</v>
      </c>
      <c r="N35" s="911">
        <v>5739.63</v>
      </c>
      <c r="O35" s="636">
        <v>0</v>
      </c>
      <c r="P35" s="641">
        <v>100</v>
      </c>
    </row>
    <row r="36" spans="1:16" ht="15.75" customHeight="1">
      <c r="A36" s="628" t="s">
        <v>1847</v>
      </c>
      <c r="B36" s="629">
        <v>44942</v>
      </c>
      <c r="C36" s="618" t="s">
        <v>1597</v>
      </c>
      <c r="D36" s="618" t="s">
        <v>1598</v>
      </c>
      <c r="E36" s="630">
        <v>6</v>
      </c>
      <c r="F36" s="628" t="s">
        <v>1599</v>
      </c>
      <c r="G36" s="631" t="s">
        <v>1600</v>
      </c>
      <c r="H36" s="628" t="s">
        <v>1848</v>
      </c>
      <c r="I36" s="632">
        <v>3740</v>
      </c>
      <c r="J36" s="631" t="s">
        <v>1599</v>
      </c>
      <c r="K36" s="633">
        <v>3850</v>
      </c>
      <c r="L36" s="619">
        <f t="shared" si="0"/>
        <v>5744.4400000000005</v>
      </c>
      <c r="M36" s="901">
        <v>9594.44</v>
      </c>
      <c r="N36" s="912">
        <v>3798.56</v>
      </c>
      <c r="O36" s="618">
        <v>0</v>
      </c>
      <c r="P36" s="619">
        <v>100</v>
      </c>
    </row>
    <row r="37" spans="1:16" ht="15.75" customHeight="1">
      <c r="A37" s="634" t="s">
        <v>1849</v>
      </c>
      <c r="B37" s="635">
        <v>44945</v>
      </c>
      <c r="C37" s="636" t="s">
        <v>1597</v>
      </c>
      <c r="D37" s="636" t="s">
        <v>1598</v>
      </c>
      <c r="E37" s="637">
        <v>6.5</v>
      </c>
      <c r="F37" s="634" t="s">
        <v>1599</v>
      </c>
      <c r="G37" s="638" t="s">
        <v>1600</v>
      </c>
      <c r="H37" s="634" t="s">
        <v>1850</v>
      </c>
      <c r="I37" s="639">
        <v>9687</v>
      </c>
      <c r="J37" s="638" t="s">
        <v>1599</v>
      </c>
      <c r="K37" s="640">
        <v>3630</v>
      </c>
      <c r="L37" s="641">
        <f t="shared" si="0"/>
        <v>19897</v>
      </c>
      <c r="M37" s="902">
        <v>23527</v>
      </c>
      <c r="N37" s="911">
        <v>18561</v>
      </c>
      <c r="O37" s="636">
        <v>0</v>
      </c>
      <c r="P37" s="641">
        <v>100</v>
      </c>
    </row>
    <row r="38" spans="1:16" ht="15.75" customHeight="1">
      <c r="A38" s="628" t="s">
        <v>1851</v>
      </c>
      <c r="B38" s="629">
        <v>44944</v>
      </c>
      <c r="C38" s="618" t="s">
        <v>1597</v>
      </c>
      <c r="D38" s="618" t="s">
        <v>1598</v>
      </c>
      <c r="E38" s="630">
        <v>6.5</v>
      </c>
      <c r="F38" s="628" t="s">
        <v>1599</v>
      </c>
      <c r="G38" s="631" t="s">
        <v>1600</v>
      </c>
      <c r="H38" s="628" t="s">
        <v>1850</v>
      </c>
      <c r="I38" s="632">
        <v>9687</v>
      </c>
      <c r="J38" s="631" t="s">
        <v>1599</v>
      </c>
      <c r="K38" s="633">
        <v>3770</v>
      </c>
      <c r="L38" s="619">
        <f t="shared" si="0"/>
        <v>20080.2</v>
      </c>
      <c r="M38" s="901">
        <v>23850.2</v>
      </c>
      <c r="N38" s="912">
        <v>18565.8</v>
      </c>
      <c r="O38" s="618">
        <v>0</v>
      </c>
      <c r="P38" s="619">
        <v>100</v>
      </c>
    </row>
    <row r="39" spans="1:16" ht="15.75" customHeight="1">
      <c r="A39" s="634" t="s">
        <v>1852</v>
      </c>
      <c r="B39" s="635">
        <v>44939</v>
      </c>
      <c r="C39" s="636" t="s">
        <v>1597</v>
      </c>
      <c r="D39" s="636" t="s">
        <v>1598</v>
      </c>
      <c r="E39" s="637">
        <v>5.2</v>
      </c>
      <c r="F39" s="634" t="s">
        <v>1599</v>
      </c>
      <c r="G39" s="638" t="s">
        <v>1600</v>
      </c>
      <c r="H39" s="634" t="s">
        <v>1825</v>
      </c>
      <c r="I39" s="639">
        <v>15486</v>
      </c>
      <c r="J39" s="638" t="s">
        <v>1599</v>
      </c>
      <c r="K39" s="640">
        <v>3800</v>
      </c>
      <c r="L39" s="641">
        <f t="shared" si="0"/>
        <v>9293.1200000000008</v>
      </c>
      <c r="M39" s="902">
        <v>13093.12</v>
      </c>
      <c r="N39" s="911">
        <v>6641.12</v>
      </c>
      <c r="O39" s="636">
        <v>0</v>
      </c>
      <c r="P39" s="641">
        <v>100</v>
      </c>
    </row>
    <row r="40" spans="1:16" ht="15.75" customHeight="1">
      <c r="A40" s="628" t="s">
        <v>1853</v>
      </c>
      <c r="B40" s="629">
        <v>44945</v>
      </c>
      <c r="C40" s="618" t="s">
        <v>1597</v>
      </c>
      <c r="D40" s="618" t="s">
        <v>1598</v>
      </c>
      <c r="E40" s="630">
        <v>6</v>
      </c>
      <c r="F40" s="628" t="s">
        <v>1599</v>
      </c>
      <c r="G40" s="631" t="s">
        <v>1600</v>
      </c>
      <c r="H40" s="628" t="s">
        <v>1854</v>
      </c>
      <c r="I40" s="632">
        <v>8865</v>
      </c>
      <c r="J40" s="631" t="s">
        <v>1599</v>
      </c>
      <c r="K40" s="633">
        <v>2245</v>
      </c>
      <c r="L40" s="619">
        <f t="shared" si="0"/>
        <v>4289.5</v>
      </c>
      <c r="M40" s="901">
        <v>6534.5</v>
      </c>
      <c r="N40" s="912">
        <v>3022</v>
      </c>
      <c r="O40" s="618">
        <v>0</v>
      </c>
      <c r="P40" s="619">
        <v>100</v>
      </c>
    </row>
    <row r="41" spans="1:16" ht="15.75" customHeight="1">
      <c r="A41" s="634" t="s">
        <v>1855</v>
      </c>
      <c r="B41" s="635">
        <v>44939</v>
      </c>
      <c r="C41" s="636" t="s">
        <v>1597</v>
      </c>
      <c r="D41" s="636" t="s">
        <v>1598</v>
      </c>
      <c r="E41" s="637">
        <v>7.1</v>
      </c>
      <c r="F41" s="634" t="s">
        <v>1599</v>
      </c>
      <c r="G41" s="638" t="s">
        <v>1600</v>
      </c>
      <c r="H41" s="634" t="s">
        <v>1818</v>
      </c>
      <c r="I41" s="639">
        <v>14000</v>
      </c>
      <c r="J41" s="638" t="s">
        <v>1599</v>
      </c>
      <c r="K41" s="640">
        <v>3700</v>
      </c>
      <c r="L41" s="641">
        <f t="shared" si="0"/>
        <v>17561.560000000001</v>
      </c>
      <c r="M41" s="902">
        <v>21261.56</v>
      </c>
      <c r="N41" s="911">
        <v>15283.2</v>
      </c>
      <c r="O41" s="636">
        <v>0</v>
      </c>
      <c r="P41" s="641">
        <v>100</v>
      </c>
    </row>
    <row r="42" spans="1:16" ht="15.75" customHeight="1">
      <c r="A42" s="628" t="s">
        <v>1856</v>
      </c>
      <c r="B42" s="629">
        <v>44942</v>
      </c>
      <c r="C42" s="618" t="s">
        <v>1597</v>
      </c>
      <c r="D42" s="618" t="s">
        <v>1598</v>
      </c>
      <c r="E42" s="630">
        <v>7.1</v>
      </c>
      <c r="F42" s="628" t="s">
        <v>1599</v>
      </c>
      <c r="G42" s="631" t="s">
        <v>1600</v>
      </c>
      <c r="H42" s="628" t="s">
        <v>1838</v>
      </c>
      <c r="I42" s="632">
        <v>4972</v>
      </c>
      <c r="J42" s="631" t="s">
        <v>1599</v>
      </c>
      <c r="K42" s="633">
        <v>2265</v>
      </c>
      <c r="L42" s="619">
        <f t="shared" si="0"/>
        <v>4931.6000000000004</v>
      </c>
      <c r="M42" s="901">
        <v>7196.6</v>
      </c>
      <c r="N42" s="912">
        <v>3619.2</v>
      </c>
      <c r="O42" s="618">
        <v>0</v>
      </c>
      <c r="P42" s="619">
        <v>100</v>
      </c>
    </row>
    <row r="43" spans="1:16" ht="15.75" customHeight="1">
      <c r="A43" s="634" t="s">
        <v>1857</v>
      </c>
      <c r="B43" s="635">
        <v>44942</v>
      </c>
      <c r="C43" s="636" t="s">
        <v>1597</v>
      </c>
      <c r="D43" s="636" t="s">
        <v>1598</v>
      </c>
      <c r="E43" s="637">
        <v>6</v>
      </c>
      <c r="F43" s="634" t="s">
        <v>1599</v>
      </c>
      <c r="G43" s="638" t="s">
        <v>1600</v>
      </c>
      <c r="H43" s="634" t="s">
        <v>1838</v>
      </c>
      <c r="I43" s="639">
        <v>4972</v>
      </c>
      <c r="J43" s="638" t="s">
        <v>1599</v>
      </c>
      <c r="K43" s="640">
        <v>3900</v>
      </c>
      <c r="L43" s="641">
        <f t="shared" si="0"/>
        <v>7218.6100000000006</v>
      </c>
      <c r="M43" s="902">
        <v>11118.61</v>
      </c>
      <c r="N43" s="911">
        <v>5213.46</v>
      </c>
      <c r="O43" s="636">
        <v>0</v>
      </c>
      <c r="P43" s="641">
        <v>100</v>
      </c>
    </row>
    <row r="44" spans="1:16" ht="15.75" customHeight="1">
      <c r="A44" s="628" t="s">
        <v>1858</v>
      </c>
      <c r="B44" s="629">
        <v>44942</v>
      </c>
      <c r="C44" s="618" t="s">
        <v>1597</v>
      </c>
      <c r="D44" s="618" t="s">
        <v>1598</v>
      </c>
      <c r="E44" s="630">
        <v>6.5</v>
      </c>
      <c r="F44" s="628" t="s">
        <v>1599</v>
      </c>
      <c r="G44" s="631" t="s">
        <v>1600</v>
      </c>
      <c r="H44" s="628" t="s">
        <v>1836</v>
      </c>
      <c r="I44" s="632">
        <v>14544</v>
      </c>
      <c r="J44" s="631" t="s">
        <v>1599</v>
      </c>
      <c r="K44" s="633">
        <v>3850</v>
      </c>
      <c r="L44" s="619">
        <f t="shared" si="0"/>
        <v>14839</v>
      </c>
      <c r="M44" s="901">
        <v>18689</v>
      </c>
      <c r="N44" s="912">
        <v>12511.2</v>
      </c>
      <c r="O44" s="618">
        <v>0</v>
      </c>
      <c r="P44" s="619">
        <v>100</v>
      </c>
    </row>
    <row r="45" spans="1:16" ht="15.75" customHeight="1">
      <c r="A45" s="634" t="s">
        <v>1859</v>
      </c>
      <c r="B45" s="635">
        <v>44952</v>
      </c>
      <c r="C45" s="636" t="s">
        <v>1597</v>
      </c>
      <c r="D45" s="636" t="s">
        <v>1598</v>
      </c>
      <c r="E45" s="637">
        <v>11.9</v>
      </c>
      <c r="F45" s="634" t="s">
        <v>1599</v>
      </c>
      <c r="G45" s="638" t="s">
        <v>1600</v>
      </c>
      <c r="H45" s="634" t="s">
        <v>1841</v>
      </c>
      <c r="I45" s="639">
        <v>9486</v>
      </c>
      <c r="J45" s="638" t="s">
        <v>1599</v>
      </c>
      <c r="K45" s="640">
        <v>3910</v>
      </c>
      <c r="L45" s="641">
        <f t="shared" si="0"/>
        <v>19607.849999999999</v>
      </c>
      <c r="M45" s="902">
        <v>23517.85</v>
      </c>
      <c r="N45" s="911">
        <v>15982.1</v>
      </c>
      <c r="O45" s="636">
        <v>0</v>
      </c>
      <c r="P45" s="641">
        <v>100</v>
      </c>
    </row>
    <row r="46" spans="1:16" ht="15.75" customHeight="1">
      <c r="A46" s="628" t="s">
        <v>1860</v>
      </c>
      <c r="B46" s="629">
        <v>44943</v>
      </c>
      <c r="C46" s="618" t="s">
        <v>1597</v>
      </c>
      <c r="D46" s="618" t="s">
        <v>1598</v>
      </c>
      <c r="E46" s="630">
        <v>6.2</v>
      </c>
      <c r="F46" s="628" t="s">
        <v>1599</v>
      </c>
      <c r="G46" s="631" t="s">
        <v>1600</v>
      </c>
      <c r="H46" s="628" t="s">
        <v>1822</v>
      </c>
      <c r="I46" s="632">
        <v>13787</v>
      </c>
      <c r="J46" s="631" t="s">
        <v>1599</v>
      </c>
      <c r="K46" s="633">
        <v>3770</v>
      </c>
      <c r="L46" s="619">
        <f t="shared" si="0"/>
        <v>12615</v>
      </c>
      <c r="M46" s="901">
        <v>16385</v>
      </c>
      <c r="N46" s="912">
        <v>8688.6</v>
      </c>
      <c r="O46" s="618">
        <v>0</v>
      </c>
      <c r="P46" s="619">
        <v>100</v>
      </c>
    </row>
    <row r="47" spans="1:16" ht="15.75" customHeight="1">
      <c r="A47" s="634" t="s">
        <v>1861</v>
      </c>
      <c r="B47" s="635">
        <v>44949</v>
      </c>
      <c r="C47" s="636" t="s">
        <v>1597</v>
      </c>
      <c r="D47" s="636" t="s">
        <v>1598</v>
      </c>
      <c r="E47" s="637">
        <v>5.2</v>
      </c>
      <c r="F47" s="634" t="s">
        <v>1599</v>
      </c>
      <c r="G47" s="638" t="s">
        <v>1600</v>
      </c>
      <c r="H47" s="634" t="s">
        <v>1809</v>
      </c>
      <c r="I47" s="639">
        <v>15168</v>
      </c>
      <c r="J47" s="638" t="s">
        <v>1599</v>
      </c>
      <c r="K47" s="640">
        <v>3810</v>
      </c>
      <c r="L47" s="641">
        <f t="shared" si="0"/>
        <v>19889.28</v>
      </c>
      <c r="M47" s="902">
        <v>23699.279999999999</v>
      </c>
      <c r="N47" s="911">
        <v>16872</v>
      </c>
      <c r="O47" s="636">
        <v>0</v>
      </c>
      <c r="P47" s="641">
        <v>100</v>
      </c>
    </row>
    <row r="48" spans="1:16" ht="15.75" customHeight="1">
      <c r="A48" s="628" t="s">
        <v>1862</v>
      </c>
      <c r="B48" s="629">
        <v>44949</v>
      </c>
      <c r="C48" s="618" t="s">
        <v>1597</v>
      </c>
      <c r="D48" s="618" t="s">
        <v>1598</v>
      </c>
      <c r="E48" s="630">
        <v>102</v>
      </c>
      <c r="F48" s="628" t="s">
        <v>1599</v>
      </c>
      <c r="G48" s="631" t="s">
        <v>1600</v>
      </c>
      <c r="H48" s="628" t="s">
        <v>1838</v>
      </c>
      <c r="I48" s="632">
        <v>4972</v>
      </c>
      <c r="J48" s="631" t="s">
        <v>1599</v>
      </c>
      <c r="K48" s="633">
        <v>3700</v>
      </c>
      <c r="L48" s="619">
        <f t="shared" si="0"/>
        <v>14315.599999999999</v>
      </c>
      <c r="M48" s="901">
        <v>18015.599999999999</v>
      </c>
      <c r="N48" s="912">
        <v>11882.6</v>
      </c>
      <c r="O48" s="618">
        <v>0</v>
      </c>
      <c r="P48" s="619">
        <v>100</v>
      </c>
    </row>
    <row r="49" spans="1:16" ht="15.75" customHeight="1">
      <c r="A49" s="634" t="s">
        <v>1863</v>
      </c>
      <c r="B49" s="635">
        <v>44949</v>
      </c>
      <c r="C49" s="636" t="s">
        <v>1597</v>
      </c>
      <c r="D49" s="636" t="s">
        <v>1598</v>
      </c>
      <c r="E49" s="637">
        <v>6</v>
      </c>
      <c r="F49" s="634" t="s">
        <v>1599</v>
      </c>
      <c r="G49" s="638" t="s">
        <v>1600</v>
      </c>
      <c r="H49" s="634" t="s">
        <v>1838</v>
      </c>
      <c r="I49" s="639">
        <v>4972</v>
      </c>
      <c r="J49" s="638" t="s">
        <v>1599</v>
      </c>
      <c r="K49" s="640">
        <v>2150</v>
      </c>
      <c r="L49" s="641">
        <f t="shared" si="0"/>
        <v>4931.6000000000004</v>
      </c>
      <c r="M49" s="902">
        <v>7081.6</v>
      </c>
      <c r="N49" s="911">
        <v>3619.2</v>
      </c>
      <c r="O49" s="636">
        <v>0</v>
      </c>
      <c r="P49" s="641">
        <v>100</v>
      </c>
    </row>
    <row r="50" spans="1:16" ht="15.75" customHeight="1">
      <c r="A50" s="628" t="s">
        <v>1864</v>
      </c>
      <c r="B50" s="629">
        <v>44949</v>
      </c>
      <c r="C50" s="618" t="s">
        <v>1597</v>
      </c>
      <c r="D50" s="618" t="s">
        <v>1598</v>
      </c>
      <c r="E50" s="630">
        <v>6</v>
      </c>
      <c r="F50" s="628" t="s">
        <v>1599</v>
      </c>
      <c r="G50" s="631" t="s">
        <v>1600</v>
      </c>
      <c r="H50" s="628" t="s">
        <v>1838</v>
      </c>
      <c r="I50" s="632">
        <v>4972</v>
      </c>
      <c r="J50" s="631" t="s">
        <v>1599</v>
      </c>
      <c r="K50" s="633">
        <v>3670</v>
      </c>
      <c r="L50" s="619">
        <f t="shared" si="0"/>
        <v>8064.5300000000007</v>
      </c>
      <c r="M50" s="901">
        <v>11734.53</v>
      </c>
      <c r="N50" s="912">
        <v>5985.95</v>
      </c>
      <c r="O50" s="618">
        <v>0</v>
      </c>
      <c r="P50" s="619">
        <v>100</v>
      </c>
    </row>
    <row r="51" spans="1:16" ht="15.75" customHeight="1">
      <c r="A51" s="634" t="s">
        <v>1865</v>
      </c>
      <c r="B51" s="635">
        <v>44943</v>
      </c>
      <c r="C51" s="636" t="s">
        <v>1597</v>
      </c>
      <c r="D51" s="636" t="s">
        <v>1598</v>
      </c>
      <c r="E51" s="637">
        <v>6.2</v>
      </c>
      <c r="F51" s="634" t="s">
        <v>1599</v>
      </c>
      <c r="G51" s="638" t="s">
        <v>1600</v>
      </c>
      <c r="H51" s="634" t="s">
        <v>1866</v>
      </c>
      <c r="I51" s="639">
        <v>2597</v>
      </c>
      <c r="J51" s="638" t="s">
        <v>1599</v>
      </c>
      <c r="K51" s="640">
        <v>2140</v>
      </c>
      <c r="L51" s="641">
        <f t="shared" si="0"/>
        <v>4976</v>
      </c>
      <c r="M51" s="902">
        <v>7116</v>
      </c>
      <c r="N51" s="911">
        <v>3721</v>
      </c>
      <c r="O51" s="636">
        <v>0</v>
      </c>
      <c r="P51" s="641">
        <v>100</v>
      </c>
    </row>
    <row r="52" spans="1:16" ht="15.75" customHeight="1">
      <c r="A52" s="628" t="s">
        <v>1867</v>
      </c>
      <c r="B52" s="629">
        <v>44956</v>
      </c>
      <c r="C52" s="618" t="s">
        <v>1597</v>
      </c>
      <c r="D52" s="618" t="s">
        <v>1598</v>
      </c>
      <c r="E52" s="630">
        <v>6.2</v>
      </c>
      <c r="F52" s="628" t="s">
        <v>1599</v>
      </c>
      <c r="G52" s="631" t="s">
        <v>1600</v>
      </c>
      <c r="H52" s="628" t="s">
        <v>1822</v>
      </c>
      <c r="I52" s="632">
        <v>13787</v>
      </c>
      <c r="J52" s="631" t="s">
        <v>1599</v>
      </c>
      <c r="K52" s="633">
        <v>3850</v>
      </c>
      <c r="L52" s="619">
        <f t="shared" si="0"/>
        <v>13822</v>
      </c>
      <c r="M52" s="901">
        <v>17672</v>
      </c>
      <c r="N52" s="912">
        <v>11280</v>
      </c>
      <c r="O52" s="618">
        <v>0</v>
      </c>
      <c r="P52" s="619">
        <v>100</v>
      </c>
    </row>
    <row r="53" spans="1:16" ht="15.75" customHeight="1">
      <c r="A53" s="634" t="s">
        <v>1868</v>
      </c>
      <c r="B53" s="635">
        <v>44949</v>
      </c>
      <c r="C53" s="636" t="s">
        <v>1597</v>
      </c>
      <c r="D53" s="636" t="s">
        <v>1598</v>
      </c>
      <c r="E53" s="637">
        <v>4.0999999999999996</v>
      </c>
      <c r="F53" s="634" t="s">
        <v>1599</v>
      </c>
      <c r="G53" s="638" t="s">
        <v>1600</v>
      </c>
      <c r="H53" s="634" t="s">
        <v>1850</v>
      </c>
      <c r="I53" s="639">
        <v>9687</v>
      </c>
      <c r="J53" s="638" t="s">
        <v>1599</v>
      </c>
      <c r="K53" s="640">
        <v>2170</v>
      </c>
      <c r="L53" s="641">
        <f t="shared" si="0"/>
        <v>5777</v>
      </c>
      <c r="M53" s="902">
        <v>7947</v>
      </c>
      <c r="N53" s="911">
        <v>4550</v>
      </c>
      <c r="O53" s="636">
        <v>0</v>
      </c>
      <c r="P53" s="641">
        <v>100</v>
      </c>
    </row>
    <row r="54" spans="1:16" ht="15.75" customHeight="1">
      <c r="A54" s="628" t="s">
        <v>1869</v>
      </c>
      <c r="B54" s="629">
        <v>44957</v>
      </c>
      <c r="C54" s="618" t="s">
        <v>1597</v>
      </c>
      <c r="D54" s="618" t="s">
        <v>1598</v>
      </c>
      <c r="E54" s="630">
        <v>6.2</v>
      </c>
      <c r="F54" s="628" t="s">
        <v>1599</v>
      </c>
      <c r="G54" s="631" t="s">
        <v>1600</v>
      </c>
      <c r="H54" s="628" t="s">
        <v>1828</v>
      </c>
      <c r="I54" s="632">
        <v>7448</v>
      </c>
      <c r="J54" s="631" t="s">
        <v>1599</v>
      </c>
      <c r="K54" s="633">
        <v>3700</v>
      </c>
      <c r="L54" s="619">
        <f t="shared" si="0"/>
        <v>25372.75</v>
      </c>
      <c r="M54" s="901">
        <v>29072.75</v>
      </c>
      <c r="N54" s="913">
        <v>19947.36</v>
      </c>
      <c r="O54" s="618">
        <v>0</v>
      </c>
      <c r="P54" s="619">
        <v>100</v>
      </c>
    </row>
    <row r="55" spans="1:16" ht="15.75" customHeight="1">
      <c r="A55" s="634" t="s">
        <v>1870</v>
      </c>
      <c r="B55" s="635">
        <v>44951</v>
      </c>
      <c r="C55" s="636" t="s">
        <v>1597</v>
      </c>
      <c r="D55" s="636" t="s">
        <v>1598</v>
      </c>
      <c r="E55" s="637">
        <v>7.1</v>
      </c>
      <c r="F55" s="634" t="s">
        <v>1599</v>
      </c>
      <c r="G55" s="638" t="s">
        <v>1600</v>
      </c>
      <c r="H55" s="634" t="s">
        <v>1818</v>
      </c>
      <c r="I55" s="639">
        <v>14000</v>
      </c>
      <c r="J55" s="638" t="s">
        <v>1599</v>
      </c>
      <c r="K55" s="640">
        <v>3890</v>
      </c>
      <c r="L55" s="641">
        <f t="shared" si="0"/>
        <v>19630.77</v>
      </c>
      <c r="M55" s="902">
        <v>23520.77</v>
      </c>
      <c r="N55" s="911">
        <v>17135.169999999998</v>
      </c>
      <c r="O55" s="636">
        <v>0</v>
      </c>
      <c r="P55" s="641">
        <v>100</v>
      </c>
    </row>
    <row r="56" spans="1:16" ht="15.75" customHeight="1">
      <c r="A56" s="628" t="s">
        <v>1871</v>
      </c>
      <c r="B56" s="629">
        <v>44953</v>
      </c>
      <c r="C56" s="618" t="s">
        <v>1597</v>
      </c>
      <c r="D56" s="618" t="s">
        <v>1598</v>
      </c>
      <c r="E56" s="630">
        <v>5.3</v>
      </c>
      <c r="F56" s="628" t="s">
        <v>1599</v>
      </c>
      <c r="G56" s="631" t="s">
        <v>1600</v>
      </c>
      <c r="H56" s="628" t="s">
        <v>1807</v>
      </c>
      <c r="I56" s="632">
        <v>1734</v>
      </c>
      <c r="J56" s="631" t="s">
        <v>1599</v>
      </c>
      <c r="K56" s="633">
        <v>3760</v>
      </c>
      <c r="L56" s="619">
        <f t="shared" si="0"/>
        <v>10443</v>
      </c>
      <c r="M56" s="901">
        <v>14203</v>
      </c>
      <c r="N56" s="912">
        <v>7915.5</v>
      </c>
      <c r="O56" s="618">
        <v>0</v>
      </c>
      <c r="P56" s="619">
        <v>100</v>
      </c>
    </row>
    <row r="57" spans="1:16" ht="15.75" customHeight="1">
      <c r="A57" s="634" t="s">
        <v>1872</v>
      </c>
      <c r="B57" s="635">
        <v>44952</v>
      </c>
      <c r="C57" s="636" t="s">
        <v>1597</v>
      </c>
      <c r="D57" s="636" t="s">
        <v>1598</v>
      </c>
      <c r="E57" s="637">
        <v>3.6</v>
      </c>
      <c r="F57" s="634" t="s">
        <v>1599</v>
      </c>
      <c r="G57" s="638" t="s">
        <v>1600</v>
      </c>
      <c r="H57" s="634" t="s">
        <v>1873</v>
      </c>
      <c r="I57" s="639">
        <v>3824</v>
      </c>
      <c r="J57" s="638" t="s">
        <v>1599</v>
      </c>
      <c r="K57" s="640">
        <v>3850</v>
      </c>
      <c r="L57" s="641">
        <f t="shared" si="0"/>
        <v>11352.41</v>
      </c>
      <c r="M57" s="902">
        <v>15202.41</v>
      </c>
      <c r="N57" s="911">
        <v>8515.2900000000009</v>
      </c>
      <c r="O57" s="636">
        <v>0</v>
      </c>
      <c r="P57" s="641">
        <v>100</v>
      </c>
    </row>
    <row r="58" spans="1:16" ht="15.75" customHeight="1">
      <c r="A58" s="628" t="s">
        <v>1874</v>
      </c>
      <c r="B58" s="629">
        <v>44951</v>
      </c>
      <c r="C58" s="618" t="s">
        <v>1597</v>
      </c>
      <c r="D58" s="618" t="s">
        <v>1598</v>
      </c>
      <c r="E58" s="630">
        <v>7.1</v>
      </c>
      <c r="F58" s="628" t="s">
        <v>1599</v>
      </c>
      <c r="G58" s="631" t="s">
        <v>1600</v>
      </c>
      <c r="H58" s="628" t="s">
        <v>1815</v>
      </c>
      <c r="I58" s="632">
        <v>17387</v>
      </c>
      <c r="J58" s="631" t="s">
        <v>1599</v>
      </c>
      <c r="K58" s="633">
        <v>3800</v>
      </c>
      <c r="L58" s="619">
        <f t="shared" si="0"/>
        <v>18654.57</v>
      </c>
      <c r="M58" s="901">
        <v>22454.57</v>
      </c>
      <c r="N58" s="912">
        <v>15940.41</v>
      </c>
      <c r="O58" s="618">
        <v>0</v>
      </c>
      <c r="P58" s="619">
        <v>100</v>
      </c>
    </row>
    <row r="59" spans="1:16" ht="15.75" customHeight="1">
      <c r="A59" s="634" t="s">
        <v>1875</v>
      </c>
      <c r="B59" s="635">
        <v>44953</v>
      </c>
      <c r="C59" s="636" t="s">
        <v>1597</v>
      </c>
      <c r="D59" s="636" t="s">
        <v>1598</v>
      </c>
      <c r="E59" s="637">
        <v>6.2</v>
      </c>
      <c r="F59" s="634" t="s">
        <v>1599</v>
      </c>
      <c r="G59" s="638" t="s">
        <v>1600</v>
      </c>
      <c r="H59" s="634" t="s">
        <v>1809</v>
      </c>
      <c r="I59" s="639">
        <v>15168</v>
      </c>
      <c r="J59" s="638" t="s">
        <v>1599</v>
      </c>
      <c r="K59" s="640">
        <v>3830</v>
      </c>
      <c r="L59" s="641">
        <f t="shared" si="0"/>
        <v>19889.28</v>
      </c>
      <c r="M59" s="902">
        <v>23719.279999999999</v>
      </c>
      <c r="N59" s="911">
        <v>16872</v>
      </c>
      <c r="O59" s="636">
        <v>0</v>
      </c>
      <c r="P59" s="641">
        <v>100</v>
      </c>
    </row>
    <row r="60" spans="1:16" ht="15.75" customHeight="1">
      <c r="A60" s="628" t="s">
        <v>1876</v>
      </c>
      <c r="B60" s="629">
        <v>44953</v>
      </c>
      <c r="C60" s="618" t="s">
        <v>1597</v>
      </c>
      <c r="D60" s="618" t="s">
        <v>1598</v>
      </c>
      <c r="E60" s="630">
        <v>6.2</v>
      </c>
      <c r="F60" s="628" t="s">
        <v>1599</v>
      </c>
      <c r="G60" s="631" t="s">
        <v>1600</v>
      </c>
      <c r="H60" s="628" t="s">
        <v>1809</v>
      </c>
      <c r="I60" s="632">
        <v>15168</v>
      </c>
      <c r="J60" s="631" t="s">
        <v>1599</v>
      </c>
      <c r="K60" s="633">
        <v>3700</v>
      </c>
      <c r="L60" s="619">
        <f t="shared" si="0"/>
        <v>19889.28</v>
      </c>
      <c r="M60" s="901">
        <v>23589.279999999999</v>
      </c>
      <c r="N60" s="912">
        <v>16872</v>
      </c>
      <c r="O60" s="618">
        <v>0</v>
      </c>
      <c r="P60" s="619">
        <v>100</v>
      </c>
    </row>
    <row r="61" spans="1:16" ht="15.75" customHeight="1">
      <c r="A61" s="634" t="s">
        <v>1877</v>
      </c>
      <c r="B61" s="635">
        <v>44953</v>
      </c>
      <c r="C61" s="636" t="s">
        <v>1597</v>
      </c>
      <c r="D61" s="636" t="s">
        <v>1598</v>
      </c>
      <c r="E61" s="637">
        <v>6.2</v>
      </c>
      <c r="F61" s="634" t="s">
        <v>1599</v>
      </c>
      <c r="G61" s="638" t="s">
        <v>1600</v>
      </c>
      <c r="H61" s="634" t="s">
        <v>1809</v>
      </c>
      <c r="I61" s="639">
        <v>15168</v>
      </c>
      <c r="J61" s="638" t="s">
        <v>1599</v>
      </c>
      <c r="K61" s="640">
        <v>3870</v>
      </c>
      <c r="L61" s="641">
        <f t="shared" si="0"/>
        <v>17137</v>
      </c>
      <c r="M61" s="902">
        <v>21007</v>
      </c>
      <c r="N61" s="911">
        <v>13759.2</v>
      </c>
      <c r="O61" s="636">
        <v>0</v>
      </c>
      <c r="P61" s="641">
        <v>100</v>
      </c>
    </row>
    <row r="62" spans="1:16" ht="15.75" customHeight="1">
      <c r="A62" s="628" t="s">
        <v>1878</v>
      </c>
      <c r="B62" s="629">
        <v>44953</v>
      </c>
      <c r="C62" s="618" t="s">
        <v>1597</v>
      </c>
      <c r="D62" s="618" t="s">
        <v>1598</v>
      </c>
      <c r="E62" s="630">
        <v>6.2</v>
      </c>
      <c r="F62" s="628" t="s">
        <v>1599</v>
      </c>
      <c r="G62" s="631" t="s">
        <v>1600</v>
      </c>
      <c r="H62" s="628" t="s">
        <v>1809</v>
      </c>
      <c r="I62" s="632">
        <v>15168</v>
      </c>
      <c r="J62" s="631" t="s">
        <v>1599</v>
      </c>
      <c r="K62" s="633">
        <v>3720</v>
      </c>
      <c r="L62" s="619">
        <f t="shared" si="0"/>
        <v>18750</v>
      </c>
      <c r="M62" s="901">
        <v>22470</v>
      </c>
      <c r="N62" s="912">
        <v>14962.5</v>
      </c>
      <c r="O62" s="618">
        <v>0</v>
      </c>
      <c r="P62" s="619">
        <v>100</v>
      </c>
    </row>
    <row r="63" spans="1:16" ht="15.75" customHeight="1">
      <c r="A63" s="634" t="s">
        <v>1879</v>
      </c>
      <c r="B63" s="635">
        <v>44953</v>
      </c>
      <c r="C63" s="636" t="s">
        <v>1597</v>
      </c>
      <c r="D63" s="636" t="s">
        <v>1598</v>
      </c>
      <c r="E63" s="637">
        <v>6.2</v>
      </c>
      <c r="F63" s="634" t="s">
        <v>1599</v>
      </c>
      <c r="G63" s="638" t="s">
        <v>1600</v>
      </c>
      <c r="H63" s="634" t="s">
        <v>1880</v>
      </c>
      <c r="I63" s="639">
        <v>13558</v>
      </c>
      <c r="J63" s="638" t="s">
        <v>1599</v>
      </c>
      <c r="K63" s="640">
        <v>3860</v>
      </c>
      <c r="L63" s="641">
        <f t="shared" si="0"/>
        <v>15005</v>
      </c>
      <c r="M63" s="902">
        <v>18865</v>
      </c>
      <c r="N63" s="911">
        <v>12414</v>
      </c>
      <c r="O63" s="636">
        <v>0</v>
      </c>
      <c r="P63" s="641">
        <v>100</v>
      </c>
    </row>
    <row r="64" spans="1:16" ht="15.75" customHeight="1">
      <c r="A64" s="628" t="s">
        <v>1881</v>
      </c>
      <c r="B64" s="629">
        <v>44953</v>
      </c>
      <c r="C64" s="618" t="s">
        <v>1597</v>
      </c>
      <c r="D64" s="618" t="s">
        <v>1598</v>
      </c>
      <c r="E64" s="630">
        <v>6.2</v>
      </c>
      <c r="F64" s="628" t="s">
        <v>1599</v>
      </c>
      <c r="G64" s="631" t="s">
        <v>1600</v>
      </c>
      <c r="H64" s="628" t="s">
        <v>1809</v>
      </c>
      <c r="I64" s="632">
        <v>15168</v>
      </c>
      <c r="J64" s="631" t="s">
        <v>1599</v>
      </c>
      <c r="K64" s="633">
        <v>3700</v>
      </c>
      <c r="L64" s="619">
        <f t="shared" si="0"/>
        <v>17077</v>
      </c>
      <c r="M64" s="901">
        <v>20777</v>
      </c>
      <c r="N64" s="912">
        <v>15333.35</v>
      </c>
      <c r="O64" s="618">
        <v>0</v>
      </c>
      <c r="P64" s="619">
        <v>100</v>
      </c>
    </row>
    <row r="65" spans="1:16" ht="15.75" customHeight="1">
      <c r="A65" s="634" t="s">
        <v>1882</v>
      </c>
      <c r="B65" s="635">
        <v>44953</v>
      </c>
      <c r="C65" s="636" t="s">
        <v>1597</v>
      </c>
      <c r="D65" s="636" t="s">
        <v>1598</v>
      </c>
      <c r="E65" s="637">
        <v>6.2</v>
      </c>
      <c r="F65" s="634" t="s">
        <v>1599</v>
      </c>
      <c r="G65" s="638" t="s">
        <v>1600</v>
      </c>
      <c r="H65" s="634" t="s">
        <v>1809</v>
      </c>
      <c r="I65" s="639">
        <v>15168</v>
      </c>
      <c r="J65" s="638" t="s">
        <v>1599</v>
      </c>
      <c r="K65" s="640">
        <v>3700</v>
      </c>
      <c r="L65" s="641">
        <f t="shared" si="0"/>
        <v>15320</v>
      </c>
      <c r="M65" s="902">
        <v>19020</v>
      </c>
      <c r="N65" s="911">
        <v>12558</v>
      </c>
      <c r="O65" s="636">
        <v>0</v>
      </c>
      <c r="P65" s="641">
        <v>100</v>
      </c>
    </row>
    <row r="66" spans="1:16" ht="15.75" customHeight="1">
      <c r="A66" s="628" t="s">
        <v>1883</v>
      </c>
      <c r="B66" s="629">
        <v>44953</v>
      </c>
      <c r="C66" s="618" t="s">
        <v>1597</v>
      </c>
      <c r="D66" s="618" t="s">
        <v>1598</v>
      </c>
      <c r="E66" s="630">
        <v>6.2</v>
      </c>
      <c r="F66" s="628" t="s">
        <v>1599</v>
      </c>
      <c r="G66" s="631" t="s">
        <v>1600</v>
      </c>
      <c r="H66" s="628" t="s">
        <v>1884</v>
      </c>
      <c r="I66" s="632">
        <v>13413</v>
      </c>
      <c r="J66" s="631" t="s">
        <v>1599</v>
      </c>
      <c r="K66" s="633">
        <v>3840</v>
      </c>
      <c r="L66" s="619">
        <f t="shared" si="0"/>
        <v>14839</v>
      </c>
      <c r="M66" s="901">
        <v>18679</v>
      </c>
      <c r="N66" s="912">
        <v>12511.2</v>
      </c>
      <c r="O66" s="618">
        <v>0</v>
      </c>
      <c r="P66" s="619">
        <v>100</v>
      </c>
    </row>
    <row r="67" spans="1:16" ht="15.75" customHeight="1">
      <c r="A67" s="634" t="s">
        <v>1885</v>
      </c>
      <c r="B67" s="635">
        <v>44952</v>
      </c>
      <c r="C67" s="636" t="s">
        <v>1597</v>
      </c>
      <c r="D67" s="636" t="s">
        <v>1598</v>
      </c>
      <c r="E67" s="637">
        <v>7.1</v>
      </c>
      <c r="F67" s="634" t="s">
        <v>1599</v>
      </c>
      <c r="G67" s="638" t="s">
        <v>1600</v>
      </c>
      <c r="H67" s="634" t="s">
        <v>1886</v>
      </c>
      <c r="I67" s="639">
        <v>13877</v>
      </c>
      <c r="J67" s="638" t="s">
        <v>1599</v>
      </c>
      <c r="K67" s="640">
        <v>3840</v>
      </c>
      <c r="L67" s="641">
        <f t="shared" si="0"/>
        <v>10189.799999999999</v>
      </c>
      <c r="M67" s="902">
        <v>14029.8</v>
      </c>
      <c r="N67" s="911">
        <v>7660</v>
      </c>
      <c r="O67" s="636">
        <v>0</v>
      </c>
      <c r="P67" s="641">
        <v>100</v>
      </c>
    </row>
    <row r="68" spans="1:16" ht="15.75" customHeight="1">
      <c r="A68" s="628" t="s">
        <v>1887</v>
      </c>
      <c r="B68" s="629">
        <v>44952</v>
      </c>
      <c r="C68" s="618" t="s">
        <v>1597</v>
      </c>
      <c r="D68" s="618" t="s">
        <v>1598</v>
      </c>
      <c r="E68" s="630">
        <v>7.1</v>
      </c>
      <c r="F68" s="628" t="s">
        <v>1599</v>
      </c>
      <c r="G68" s="631" t="s">
        <v>1600</v>
      </c>
      <c r="H68" s="628" t="s">
        <v>1886</v>
      </c>
      <c r="I68" s="632">
        <v>13877</v>
      </c>
      <c r="J68" s="631" t="s">
        <v>1599</v>
      </c>
      <c r="K68" s="633">
        <v>3700</v>
      </c>
      <c r="L68" s="619">
        <f t="shared" si="0"/>
        <v>12014</v>
      </c>
      <c r="M68" s="901">
        <v>15714</v>
      </c>
      <c r="N68" s="912">
        <v>8988</v>
      </c>
      <c r="O68" s="618">
        <v>0</v>
      </c>
      <c r="P68" s="619">
        <v>100</v>
      </c>
    </row>
    <row r="69" spans="1:16" ht="15.75" customHeight="1">
      <c r="A69" s="634" t="s">
        <v>1888</v>
      </c>
      <c r="B69" s="635">
        <v>44952</v>
      </c>
      <c r="C69" s="636" t="s">
        <v>1597</v>
      </c>
      <c r="D69" s="636" t="s">
        <v>1598</v>
      </c>
      <c r="E69" s="637">
        <v>7.1</v>
      </c>
      <c r="F69" s="634" t="s">
        <v>1599</v>
      </c>
      <c r="G69" s="638" t="s">
        <v>1600</v>
      </c>
      <c r="H69" s="634" t="s">
        <v>1886</v>
      </c>
      <c r="I69" s="639">
        <v>13877</v>
      </c>
      <c r="J69" s="638" t="s">
        <v>1599</v>
      </c>
      <c r="K69" s="640">
        <v>3900</v>
      </c>
      <c r="L69" s="641">
        <f t="shared" si="0"/>
        <v>19599.5</v>
      </c>
      <c r="M69" s="902">
        <v>23499.5</v>
      </c>
      <c r="N69" s="911">
        <v>15795</v>
      </c>
      <c r="O69" s="636">
        <v>0</v>
      </c>
      <c r="P69" s="641">
        <v>100</v>
      </c>
    </row>
    <row r="70" spans="1:16" ht="15.75" customHeight="1">
      <c r="A70" s="628" t="s">
        <v>1889</v>
      </c>
      <c r="B70" s="629">
        <v>44952</v>
      </c>
      <c r="C70" s="618" t="s">
        <v>1597</v>
      </c>
      <c r="D70" s="618" t="s">
        <v>1598</v>
      </c>
      <c r="E70" s="630">
        <v>7.1</v>
      </c>
      <c r="F70" s="628" t="s">
        <v>1599</v>
      </c>
      <c r="G70" s="631" t="s">
        <v>1600</v>
      </c>
      <c r="H70" s="628" t="s">
        <v>1886</v>
      </c>
      <c r="I70" s="632">
        <v>13877</v>
      </c>
      <c r="J70" s="631" t="s">
        <v>1599</v>
      </c>
      <c r="K70" s="633">
        <v>3840</v>
      </c>
      <c r="L70" s="619">
        <f t="shared" si="0"/>
        <v>19599.5</v>
      </c>
      <c r="M70" s="901">
        <v>23439.5</v>
      </c>
      <c r="N70" s="912">
        <v>15795</v>
      </c>
      <c r="O70" s="618">
        <v>0</v>
      </c>
      <c r="P70" s="619">
        <v>100</v>
      </c>
    </row>
    <row r="71" spans="1:16" ht="15.75" customHeight="1">
      <c r="A71" s="634" t="s">
        <v>1890</v>
      </c>
      <c r="B71" s="635">
        <v>44957</v>
      </c>
      <c r="C71" s="636" t="s">
        <v>1597</v>
      </c>
      <c r="D71" s="636" t="s">
        <v>1598</v>
      </c>
      <c r="E71" s="637">
        <v>5.2</v>
      </c>
      <c r="F71" s="634" t="s">
        <v>1599</v>
      </c>
      <c r="G71" s="638" t="s">
        <v>1600</v>
      </c>
      <c r="H71" s="634" t="s">
        <v>1844</v>
      </c>
      <c r="I71" s="639">
        <v>5727</v>
      </c>
      <c r="J71" s="638" t="s">
        <v>1599</v>
      </c>
      <c r="K71" s="640">
        <v>2265</v>
      </c>
      <c r="L71" s="641">
        <f t="shared" si="0"/>
        <v>3639.2</v>
      </c>
      <c r="M71" s="902">
        <v>5904.2</v>
      </c>
      <c r="N71" s="911">
        <v>2567.16</v>
      </c>
      <c r="O71" s="636">
        <v>0</v>
      </c>
      <c r="P71" s="641">
        <v>100</v>
      </c>
    </row>
    <row r="72" spans="1:16" ht="15.75" customHeight="1">
      <c r="A72" s="628" t="s">
        <v>1891</v>
      </c>
      <c r="B72" s="629">
        <v>44958</v>
      </c>
      <c r="C72" s="618" t="s">
        <v>1597</v>
      </c>
      <c r="D72" s="618" t="s">
        <v>1598</v>
      </c>
      <c r="E72" s="630">
        <v>6.2</v>
      </c>
      <c r="F72" s="628" t="s">
        <v>1599</v>
      </c>
      <c r="G72" s="631" t="s">
        <v>1600</v>
      </c>
      <c r="H72" s="628" t="s">
        <v>1815</v>
      </c>
      <c r="I72" s="632">
        <v>17387</v>
      </c>
      <c r="J72" s="631" t="s">
        <v>1599</v>
      </c>
      <c r="K72" s="633">
        <v>3830</v>
      </c>
      <c r="L72" s="619">
        <f t="shared" si="0"/>
        <v>19082.07</v>
      </c>
      <c r="M72" s="901">
        <v>22912.07</v>
      </c>
      <c r="N72" s="913">
        <v>16552.45</v>
      </c>
      <c r="O72" s="618">
        <v>0</v>
      </c>
      <c r="P72" s="619">
        <v>100</v>
      </c>
    </row>
    <row r="73" spans="1:16" ht="15.75" customHeight="1">
      <c r="A73" s="634" t="s">
        <v>1892</v>
      </c>
      <c r="B73" s="635">
        <v>44956</v>
      </c>
      <c r="C73" s="636" t="s">
        <v>1597</v>
      </c>
      <c r="D73" s="636" t="s">
        <v>1598</v>
      </c>
      <c r="E73" s="637">
        <v>5.2</v>
      </c>
      <c r="F73" s="634" t="s">
        <v>1599</v>
      </c>
      <c r="G73" s="638" t="s">
        <v>1600</v>
      </c>
      <c r="H73" s="634" t="s">
        <v>1893</v>
      </c>
      <c r="I73" s="639">
        <v>2167</v>
      </c>
      <c r="J73" s="638" t="s">
        <v>1599</v>
      </c>
      <c r="K73" s="640">
        <v>2200</v>
      </c>
      <c r="L73" s="641">
        <f t="shared" si="0"/>
        <v>4398.3999999999996</v>
      </c>
      <c r="M73" s="902">
        <v>6598.4</v>
      </c>
      <c r="N73" s="911">
        <v>3272.8</v>
      </c>
      <c r="O73" s="636">
        <v>0</v>
      </c>
      <c r="P73" s="641">
        <v>100</v>
      </c>
    </row>
    <row r="74" spans="1:16" ht="15.75" customHeight="1">
      <c r="A74" s="628" t="s">
        <v>1894</v>
      </c>
      <c r="B74" s="629">
        <v>44956</v>
      </c>
      <c r="C74" s="618" t="s">
        <v>1597</v>
      </c>
      <c r="D74" s="618" t="s">
        <v>1598</v>
      </c>
      <c r="E74" s="630">
        <v>5.2</v>
      </c>
      <c r="F74" s="628" t="s">
        <v>1599</v>
      </c>
      <c r="G74" s="631" t="s">
        <v>1600</v>
      </c>
      <c r="H74" s="628" t="s">
        <v>1880</v>
      </c>
      <c r="I74" s="632">
        <v>13558</v>
      </c>
      <c r="J74" s="631" t="s">
        <v>1599</v>
      </c>
      <c r="K74" s="633">
        <v>3770</v>
      </c>
      <c r="L74" s="619">
        <f t="shared" si="0"/>
        <v>14893.5</v>
      </c>
      <c r="M74" s="901">
        <v>18663.5</v>
      </c>
      <c r="N74" s="912">
        <v>12312.5</v>
      </c>
      <c r="O74" s="618">
        <v>0</v>
      </c>
      <c r="P74" s="619">
        <v>100</v>
      </c>
    </row>
    <row r="75" spans="1:16" ht="15.75" customHeight="1">
      <c r="A75" s="634" t="s">
        <v>1895</v>
      </c>
      <c r="B75" s="635">
        <v>44953</v>
      </c>
      <c r="C75" s="636" t="s">
        <v>1597</v>
      </c>
      <c r="D75" s="636" t="s">
        <v>1598</v>
      </c>
      <c r="E75" s="637">
        <v>11.9</v>
      </c>
      <c r="F75" s="634" t="s">
        <v>1599</v>
      </c>
      <c r="G75" s="638" t="s">
        <v>1600</v>
      </c>
      <c r="H75" s="634" t="s">
        <v>1854</v>
      </c>
      <c r="I75" s="639">
        <v>8865</v>
      </c>
      <c r="J75" s="638" t="s">
        <v>1599</v>
      </c>
      <c r="K75" s="640">
        <v>2230</v>
      </c>
      <c r="L75" s="641">
        <f t="shared" si="0"/>
        <v>10775.5</v>
      </c>
      <c r="M75" s="902">
        <v>13005.5</v>
      </c>
      <c r="N75" s="911">
        <v>9915</v>
      </c>
      <c r="O75" s="636">
        <v>0</v>
      </c>
      <c r="P75" s="641">
        <v>100</v>
      </c>
    </row>
    <row r="76" spans="1:16" ht="15.75" customHeight="1">
      <c r="A76" s="628" t="s">
        <v>1896</v>
      </c>
      <c r="B76" s="629">
        <v>44957</v>
      </c>
      <c r="C76" s="618" t="s">
        <v>1597</v>
      </c>
      <c r="D76" s="618" t="s">
        <v>1598</v>
      </c>
      <c r="E76" s="630">
        <v>6.2</v>
      </c>
      <c r="F76" s="628" t="s">
        <v>1599</v>
      </c>
      <c r="G76" s="631" t="s">
        <v>1600</v>
      </c>
      <c r="H76" s="628" t="s">
        <v>1836</v>
      </c>
      <c r="I76" s="632">
        <v>14544</v>
      </c>
      <c r="J76" s="631" t="s">
        <v>1599</v>
      </c>
      <c r="K76" s="633">
        <v>3870</v>
      </c>
      <c r="L76" s="619">
        <f t="shared" si="0"/>
        <v>13950.400000000001</v>
      </c>
      <c r="M76" s="901">
        <v>17820.400000000001</v>
      </c>
      <c r="N76" s="912">
        <v>12112.5</v>
      </c>
      <c r="O76" s="618">
        <v>0</v>
      </c>
      <c r="P76" s="619">
        <v>100</v>
      </c>
    </row>
    <row r="77" spans="1:16" ht="15.75" customHeight="1">
      <c r="A77" s="634" t="s">
        <v>1897</v>
      </c>
      <c r="B77" s="635">
        <v>44957</v>
      </c>
      <c r="C77" s="636" t="s">
        <v>1597</v>
      </c>
      <c r="D77" s="636" t="s">
        <v>1598</v>
      </c>
      <c r="E77" s="637">
        <v>6.5</v>
      </c>
      <c r="F77" s="634" t="s">
        <v>1599</v>
      </c>
      <c r="G77" s="638" t="s">
        <v>1600</v>
      </c>
      <c r="H77" s="634" t="s">
        <v>1809</v>
      </c>
      <c r="I77" s="639">
        <v>15168</v>
      </c>
      <c r="J77" s="638" t="s">
        <v>1599</v>
      </c>
      <c r="K77" s="640">
        <v>3810</v>
      </c>
      <c r="L77" s="641">
        <f t="shared" si="0"/>
        <v>18727</v>
      </c>
      <c r="M77" s="902">
        <v>22537</v>
      </c>
      <c r="N77" s="911">
        <v>14962.5</v>
      </c>
      <c r="O77" s="636">
        <v>0</v>
      </c>
      <c r="P77" s="641">
        <v>100</v>
      </c>
    </row>
    <row r="78" spans="1:16" ht="15.75" customHeight="1">
      <c r="A78" s="628" t="s">
        <v>1898</v>
      </c>
      <c r="B78" s="629">
        <v>44958</v>
      </c>
      <c r="C78" s="618" t="s">
        <v>1597</v>
      </c>
      <c r="D78" s="618" t="s">
        <v>1598</v>
      </c>
      <c r="E78" s="630">
        <v>6.2</v>
      </c>
      <c r="F78" s="628" t="s">
        <v>1599</v>
      </c>
      <c r="G78" s="631" t="s">
        <v>1600</v>
      </c>
      <c r="H78" s="628" t="s">
        <v>1825</v>
      </c>
      <c r="I78" s="632">
        <v>15486</v>
      </c>
      <c r="J78" s="631" t="s">
        <v>1599</v>
      </c>
      <c r="K78" s="633">
        <v>3700</v>
      </c>
      <c r="L78" s="619">
        <f t="shared" si="0"/>
        <v>9793.4</v>
      </c>
      <c r="M78" s="901">
        <v>13493.4</v>
      </c>
      <c r="N78" s="913">
        <v>7122</v>
      </c>
      <c r="O78" s="618">
        <v>0</v>
      </c>
      <c r="P78" s="619">
        <v>100</v>
      </c>
    </row>
    <row r="79" spans="1:16" ht="15.75" customHeight="1">
      <c r="A79" s="628" t="s">
        <v>1899</v>
      </c>
      <c r="B79" s="629">
        <v>44960</v>
      </c>
      <c r="C79" s="618" t="s">
        <v>1597</v>
      </c>
      <c r="D79" s="618" t="s">
        <v>1598</v>
      </c>
      <c r="E79" s="630">
        <v>6.5</v>
      </c>
      <c r="F79" s="628" t="s">
        <v>1599</v>
      </c>
      <c r="G79" s="628" t="s">
        <v>1600</v>
      </c>
      <c r="H79" s="628" t="s">
        <v>1850</v>
      </c>
      <c r="I79" s="632">
        <v>9687</v>
      </c>
      <c r="J79" s="631" t="s">
        <v>1599</v>
      </c>
      <c r="K79" s="633">
        <v>3900</v>
      </c>
      <c r="L79" s="643">
        <f t="shared" ref="L79:L103" si="1">M79-K79</f>
        <v>25027</v>
      </c>
      <c r="M79" s="901">
        <v>28927</v>
      </c>
      <c r="N79" s="912">
        <v>23842</v>
      </c>
      <c r="O79" s="618">
        <v>0</v>
      </c>
      <c r="P79" s="644">
        <v>100</v>
      </c>
    </row>
    <row r="80" spans="1:16" ht="15.75" customHeight="1">
      <c r="A80" s="634" t="s">
        <v>1900</v>
      </c>
      <c r="B80" s="635">
        <v>44964</v>
      </c>
      <c r="C80" s="636" t="s">
        <v>1597</v>
      </c>
      <c r="D80" s="636" t="s">
        <v>1598</v>
      </c>
      <c r="E80" s="637">
        <v>6.2</v>
      </c>
      <c r="F80" s="634" t="s">
        <v>1599</v>
      </c>
      <c r="G80" s="634" t="s">
        <v>1600</v>
      </c>
      <c r="H80" s="634" t="s">
        <v>1828</v>
      </c>
      <c r="I80" s="639">
        <v>7448</v>
      </c>
      <c r="J80" s="638" t="s">
        <v>1599</v>
      </c>
      <c r="K80" s="640">
        <v>3860</v>
      </c>
      <c r="L80" s="645">
        <f t="shared" si="1"/>
        <v>10542</v>
      </c>
      <c r="M80" s="902">
        <v>14402</v>
      </c>
      <c r="N80" s="911">
        <v>5202</v>
      </c>
      <c r="O80" s="636">
        <v>0</v>
      </c>
      <c r="P80" s="646">
        <v>100</v>
      </c>
    </row>
    <row r="81" spans="1:16" ht="15.75" customHeight="1">
      <c r="A81" s="628" t="s">
        <v>1901</v>
      </c>
      <c r="B81" s="629">
        <v>44964</v>
      </c>
      <c r="C81" s="618" t="s">
        <v>1597</v>
      </c>
      <c r="D81" s="618" t="s">
        <v>1598</v>
      </c>
      <c r="E81" s="630">
        <v>6.2</v>
      </c>
      <c r="F81" s="628" t="s">
        <v>1599</v>
      </c>
      <c r="G81" s="628" t="s">
        <v>1600</v>
      </c>
      <c r="H81" s="628" t="s">
        <v>1828</v>
      </c>
      <c r="I81" s="632">
        <v>7448</v>
      </c>
      <c r="J81" s="631" t="s">
        <v>1599</v>
      </c>
      <c r="K81" s="633">
        <v>3700</v>
      </c>
      <c r="L81" s="643">
        <f t="shared" si="1"/>
        <v>10542</v>
      </c>
      <c r="M81" s="901">
        <v>14242</v>
      </c>
      <c r="N81" s="912">
        <v>5202</v>
      </c>
      <c r="O81" s="618">
        <v>0</v>
      </c>
      <c r="P81" s="644">
        <v>100</v>
      </c>
    </row>
    <row r="82" spans="1:16" ht="15.75" customHeight="1">
      <c r="A82" s="634" t="s">
        <v>1902</v>
      </c>
      <c r="B82" s="635">
        <v>44959</v>
      </c>
      <c r="C82" s="636" t="s">
        <v>1597</v>
      </c>
      <c r="D82" s="636" t="s">
        <v>1598</v>
      </c>
      <c r="E82" s="637">
        <v>6.2</v>
      </c>
      <c r="F82" s="636" t="s">
        <v>1599</v>
      </c>
      <c r="G82" s="636" t="s">
        <v>1600</v>
      </c>
      <c r="H82" s="634" t="s">
        <v>1809</v>
      </c>
      <c r="I82" s="639">
        <v>15168</v>
      </c>
      <c r="J82" s="642" t="s">
        <v>1599</v>
      </c>
      <c r="K82" s="640">
        <v>3660</v>
      </c>
      <c r="L82" s="645">
        <f t="shared" si="1"/>
        <v>16200</v>
      </c>
      <c r="M82" s="902">
        <v>19860</v>
      </c>
      <c r="N82" s="911">
        <v>13083</v>
      </c>
      <c r="O82" s="636">
        <v>0</v>
      </c>
      <c r="P82" s="646">
        <v>100</v>
      </c>
    </row>
    <row r="83" spans="1:16" ht="15.75" customHeight="1">
      <c r="A83" s="628" t="s">
        <v>1903</v>
      </c>
      <c r="B83" s="629">
        <v>44963</v>
      </c>
      <c r="C83" s="618" t="s">
        <v>1597</v>
      </c>
      <c r="D83" s="618" t="s">
        <v>1598</v>
      </c>
      <c r="E83" s="630">
        <v>5.3</v>
      </c>
      <c r="F83" s="628" t="s">
        <v>1599</v>
      </c>
      <c r="G83" s="628" t="s">
        <v>1600</v>
      </c>
      <c r="H83" s="628" t="s">
        <v>1809</v>
      </c>
      <c r="I83" s="632">
        <v>15168</v>
      </c>
      <c r="J83" s="631" t="s">
        <v>1599</v>
      </c>
      <c r="K83" s="633">
        <v>3850</v>
      </c>
      <c r="L83" s="643">
        <f t="shared" si="1"/>
        <v>19078</v>
      </c>
      <c r="M83" s="901">
        <v>22928</v>
      </c>
      <c r="N83" s="912">
        <v>16275</v>
      </c>
      <c r="O83" s="618">
        <v>0</v>
      </c>
      <c r="P83" s="644">
        <v>100</v>
      </c>
    </row>
    <row r="84" spans="1:16" ht="15.75" customHeight="1">
      <c r="A84" s="634" t="s">
        <v>1904</v>
      </c>
      <c r="B84" s="635">
        <v>44961</v>
      </c>
      <c r="C84" s="636" t="s">
        <v>1597</v>
      </c>
      <c r="D84" s="636" t="s">
        <v>1598</v>
      </c>
      <c r="E84" s="637">
        <v>6</v>
      </c>
      <c r="F84" s="634" t="s">
        <v>1599</v>
      </c>
      <c r="G84" s="634" t="s">
        <v>1600</v>
      </c>
      <c r="H84" s="634" t="s">
        <v>1809</v>
      </c>
      <c r="I84" s="639">
        <v>15168</v>
      </c>
      <c r="J84" s="638" t="s">
        <v>1599</v>
      </c>
      <c r="K84" s="640">
        <v>3700</v>
      </c>
      <c r="L84" s="645">
        <f t="shared" si="1"/>
        <v>19078</v>
      </c>
      <c r="M84" s="902">
        <v>22778</v>
      </c>
      <c r="N84" s="911">
        <v>16275</v>
      </c>
      <c r="O84" s="636">
        <v>0</v>
      </c>
      <c r="P84" s="646">
        <v>100</v>
      </c>
    </row>
    <row r="85" spans="1:16" ht="15.75" customHeight="1">
      <c r="A85" s="628" t="s">
        <v>1905</v>
      </c>
      <c r="B85" s="629">
        <v>44985</v>
      </c>
      <c r="C85" s="618" t="s">
        <v>1597</v>
      </c>
      <c r="D85" s="618" t="s">
        <v>1598</v>
      </c>
      <c r="E85" s="630">
        <v>6.2</v>
      </c>
      <c r="F85" s="628" t="s">
        <v>1599</v>
      </c>
      <c r="G85" s="628" t="s">
        <v>1600</v>
      </c>
      <c r="H85" s="628" t="s">
        <v>1884</v>
      </c>
      <c r="I85" s="632">
        <v>13413</v>
      </c>
      <c r="J85" s="631" t="s">
        <v>1599</v>
      </c>
      <c r="K85" s="633">
        <v>3700</v>
      </c>
      <c r="L85" s="643">
        <f t="shared" si="1"/>
        <v>14839</v>
      </c>
      <c r="M85" s="901">
        <v>18539</v>
      </c>
      <c r="N85" s="912">
        <v>12511.2</v>
      </c>
      <c r="O85" s="618">
        <v>0</v>
      </c>
      <c r="P85" s="644">
        <v>100</v>
      </c>
    </row>
    <row r="86" spans="1:16" ht="15.75" customHeight="1">
      <c r="A86" s="634" t="s">
        <v>1906</v>
      </c>
      <c r="B86" s="635">
        <v>44960</v>
      </c>
      <c r="C86" s="636" t="s">
        <v>1597</v>
      </c>
      <c r="D86" s="636" t="s">
        <v>1598</v>
      </c>
      <c r="E86" s="637">
        <v>5.3</v>
      </c>
      <c r="F86" s="634" t="s">
        <v>1599</v>
      </c>
      <c r="G86" s="634" t="s">
        <v>1600</v>
      </c>
      <c r="H86" s="634" t="s">
        <v>1818</v>
      </c>
      <c r="I86" s="639">
        <v>14000</v>
      </c>
      <c r="J86" s="638" t="s">
        <v>1599</v>
      </c>
      <c r="K86" s="640">
        <v>3830</v>
      </c>
      <c r="L86" s="645">
        <f t="shared" si="1"/>
        <v>18035.259999999998</v>
      </c>
      <c r="M86" s="902">
        <v>21865.26</v>
      </c>
      <c r="N86" s="911">
        <v>15154.58</v>
      </c>
      <c r="O86" s="636">
        <v>0</v>
      </c>
      <c r="P86" s="646">
        <v>100</v>
      </c>
    </row>
    <row r="87" spans="1:16" ht="15.75" customHeight="1">
      <c r="A87" s="628" t="s">
        <v>1907</v>
      </c>
      <c r="B87" s="629">
        <v>44961</v>
      </c>
      <c r="C87" s="618" t="s">
        <v>1597</v>
      </c>
      <c r="D87" s="618" t="s">
        <v>1598</v>
      </c>
      <c r="E87" s="630">
        <v>6</v>
      </c>
      <c r="F87" s="628" t="s">
        <v>1599</v>
      </c>
      <c r="G87" s="628" t="s">
        <v>1600</v>
      </c>
      <c r="H87" s="628" t="s">
        <v>1908</v>
      </c>
      <c r="I87" s="632">
        <v>6579</v>
      </c>
      <c r="J87" s="631" t="s">
        <v>1599</v>
      </c>
      <c r="K87" s="633">
        <v>3900</v>
      </c>
      <c r="L87" s="643">
        <f t="shared" si="1"/>
        <v>10335.379999999999</v>
      </c>
      <c r="M87" s="901">
        <v>14235.38</v>
      </c>
      <c r="N87" s="912">
        <v>8194.0499999999993</v>
      </c>
      <c r="O87" s="618">
        <v>0</v>
      </c>
      <c r="P87" s="644">
        <v>100</v>
      </c>
    </row>
    <row r="88" spans="1:16" ht="15.75" customHeight="1">
      <c r="A88" s="634" t="s">
        <v>1909</v>
      </c>
      <c r="B88" s="635">
        <v>44960</v>
      </c>
      <c r="C88" s="636" t="s">
        <v>1597</v>
      </c>
      <c r="D88" s="636" t="s">
        <v>1598</v>
      </c>
      <c r="E88" s="637">
        <v>11.9</v>
      </c>
      <c r="F88" s="634" t="s">
        <v>1599</v>
      </c>
      <c r="G88" s="634" t="s">
        <v>1600</v>
      </c>
      <c r="H88" s="634" t="s">
        <v>1844</v>
      </c>
      <c r="I88" s="639">
        <v>5727</v>
      </c>
      <c r="J88" s="638" t="s">
        <v>1599</v>
      </c>
      <c r="K88" s="640">
        <v>2200</v>
      </c>
      <c r="L88" s="645">
        <f t="shared" si="1"/>
        <v>6708.15</v>
      </c>
      <c r="M88" s="902">
        <v>8908.15</v>
      </c>
      <c r="N88" s="911">
        <v>5684.31</v>
      </c>
      <c r="O88" s="636">
        <v>0</v>
      </c>
      <c r="P88" s="646">
        <v>100</v>
      </c>
    </row>
    <row r="89" spans="1:16" ht="15.75" customHeight="1">
      <c r="A89" s="628" t="s">
        <v>1910</v>
      </c>
      <c r="B89" s="629">
        <v>44960</v>
      </c>
      <c r="C89" s="618" t="s">
        <v>1597</v>
      </c>
      <c r="D89" s="618" t="s">
        <v>1598</v>
      </c>
      <c r="E89" s="630">
        <v>11.9</v>
      </c>
      <c r="F89" s="628" t="s">
        <v>1599</v>
      </c>
      <c r="G89" s="628" t="s">
        <v>1600</v>
      </c>
      <c r="H89" s="628" t="s">
        <v>1846</v>
      </c>
      <c r="I89" s="632">
        <v>5317</v>
      </c>
      <c r="J89" s="631" t="s">
        <v>1599</v>
      </c>
      <c r="K89" s="633">
        <v>2180</v>
      </c>
      <c r="L89" s="643">
        <f t="shared" si="1"/>
        <v>6755.08</v>
      </c>
      <c r="M89" s="901">
        <v>8935.08</v>
      </c>
      <c r="N89" s="912">
        <v>5656.48</v>
      </c>
      <c r="O89" s="618">
        <v>0</v>
      </c>
      <c r="P89" s="644">
        <v>100</v>
      </c>
    </row>
    <row r="90" spans="1:16" ht="15.75" customHeight="1">
      <c r="A90" s="634" t="s">
        <v>1911</v>
      </c>
      <c r="B90" s="635">
        <v>44967</v>
      </c>
      <c r="C90" s="636" t="s">
        <v>1597</v>
      </c>
      <c r="D90" s="636" t="s">
        <v>1598</v>
      </c>
      <c r="E90" s="637">
        <v>6.2</v>
      </c>
      <c r="F90" s="634" t="s">
        <v>1599</v>
      </c>
      <c r="G90" s="634" t="s">
        <v>1600</v>
      </c>
      <c r="H90" s="634" t="s">
        <v>1912</v>
      </c>
      <c r="I90" s="639">
        <v>4929</v>
      </c>
      <c r="J90" s="638" t="s">
        <v>1599</v>
      </c>
      <c r="K90" s="640">
        <v>3780</v>
      </c>
      <c r="L90" s="645">
        <f t="shared" si="1"/>
        <v>15269</v>
      </c>
      <c r="M90" s="902">
        <v>19049</v>
      </c>
      <c r="N90" s="911">
        <v>13988.44</v>
      </c>
      <c r="O90" s="636">
        <v>0</v>
      </c>
      <c r="P90" s="646">
        <v>100</v>
      </c>
    </row>
    <row r="91" spans="1:16" ht="15.75" customHeight="1">
      <c r="A91" s="628" t="s">
        <v>1913</v>
      </c>
      <c r="B91" s="629">
        <v>44967</v>
      </c>
      <c r="C91" s="618" t="s">
        <v>1597</v>
      </c>
      <c r="D91" s="618" t="s">
        <v>1598</v>
      </c>
      <c r="E91" s="630">
        <v>11.9</v>
      </c>
      <c r="F91" s="628" t="s">
        <v>1599</v>
      </c>
      <c r="G91" s="628" t="s">
        <v>1600</v>
      </c>
      <c r="H91" s="628" t="s">
        <v>1912</v>
      </c>
      <c r="I91" s="632">
        <v>4929</v>
      </c>
      <c r="J91" s="631" t="s">
        <v>1599</v>
      </c>
      <c r="K91" s="633">
        <v>3800</v>
      </c>
      <c r="L91" s="643">
        <f t="shared" si="1"/>
        <v>13020.2</v>
      </c>
      <c r="M91" s="901">
        <v>16820.2</v>
      </c>
      <c r="N91" s="912">
        <v>10330.799999999999</v>
      </c>
      <c r="O91" s="618">
        <v>0</v>
      </c>
      <c r="P91" s="644">
        <v>100</v>
      </c>
    </row>
    <row r="92" spans="1:16" ht="15.75" customHeight="1">
      <c r="A92" s="634" t="s">
        <v>1914</v>
      </c>
      <c r="B92" s="635">
        <v>44967</v>
      </c>
      <c r="C92" s="636" t="s">
        <v>1597</v>
      </c>
      <c r="D92" s="636" t="s">
        <v>1598</v>
      </c>
      <c r="E92" s="637">
        <v>11.9</v>
      </c>
      <c r="F92" s="634" t="s">
        <v>1599</v>
      </c>
      <c r="G92" s="634" t="s">
        <v>1600</v>
      </c>
      <c r="H92" s="634" t="s">
        <v>1912</v>
      </c>
      <c r="I92" s="639">
        <v>4929</v>
      </c>
      <c r="J92" s="638" t="s">
        <v>1599</v>
      </c>
      <c r="K92" s="640">
        <v>2180</v>
      </c>
      <c r="L92" s="645">
        <f t="shared" si="1"/>
        <v>7627.9500000000007</v>
      </c>
      <c r="M92" s="902">
        <v>9807.9500000000007</v>
      </c>
      <c r="N92" s="911">
        <v>6535.96</v>
      </c>
      <c r="O92" s="636">
        <v>0</v>
      </c>
      <c r="P92" s="646">
        <v>100</v>
      </c>
    </row>
    <row r="93" spans="1:16" ht="15.75" customHeight="1">
      <c r="A93" s="628" t="s">
        <v>1915</v>
      </c>
      <c r="B93" s="629">
        <v>44967</v>
      </c>
      <c r="C93" s="618" t="s">
        <v>1597</v>
      </c>
      <c r="D93" s="618" t="s">
        <v>1598</v>
      </c>
      <c r="E93" s="630">
        <v>11.9</v>
      </c>
      <c r="F93" s="628" t="s">
        <v>1599</v>
      </c>
      <c r="G93" s="628" t="s">
        <v>1600</v>
      </c>
      <c r="H93" s="628" t="s">
        <v>1912</v>
      </c>
      <c r="I93" s="632">
        <v>4929</v>
      </c>
      <c r="J93" s="631" t="s">
        <v>1599</v>
      </c>
      <c r="K93" s="633">
        <v>3640</v>
      </c>
      <c r="L93" s="643">
        <f t="shared" si="1"/>
        <v>13282.259999999998</v>
      </c>
      <c r="M93" s="901">
        <v>16922.259999999998</v>
      </c>
      <c r="N93" s="912">
        <v>11172.38</v>
      </c>
      <c r="O93" s="618">
        <v>0</v>
      </c>
      <c r="P93" s="644">
        <v>100</v>
      </c>
    </row>
    <row r="94" spans="1:16" ht="15.75" customHeight="1">
      <c r="A94" s="634" t="s">
        <v>1916</v>
      </c>
      <c r="B94" s="635">
        <v>44964</v>
      </c>
      <c r="C94" s="636" t="s">
        <v>1597</v>
      </c>
      <c r="D94" s="636" t="s">
        <v>1598</v>
      </c>
      <c r="E94" s="637">
        <v>6.2</v>
      </c>
      <c r="F94" s="634" t="s">
        <v>1599</v>
      </c>
      <c r="G94" s="634" t="s">
        <v>1600</v>
      </c>
      <c r="H94" s="634" t="s">
        <v>1822</v>
      </c>
      <c r="I94" s="639">
        <v>13787</v>
      </c>
      <c r="J94" s="638" t="s">
        <v>1599</v>
      </c>
      <c r="K94" s="640">
        <v>3700</v>
      </c>
      <c r="L94" s="645">
        <f t="shared" si="1"/>
        <v>14669.5</v>
      </c>
      <c r="M94" s="902">
        <v>18369.5</v>
      </c>
      <c r="N94" s="911">
        <v>10271.5</v>
      </c>
      <c r="O94" s="636">
        <v>0</v>
      </c>
      <c r="P94" s="646">
        <v>100</v>
      </c>
    </row>
    <row r="95" spans="1:16" ht="15.75" customHeight="1">
      <c r="A95" s="628" t="s">
        <v>1917</v>
      </c>
      <c r="B95" s="629">
        <v>44966</v>
      </c>
      <c r="C95" s="618" t="s">
        <v>1597</v>
      </c>
      <c r="D95" s="618" t="s">
        <v>1598</v>
      </c>
      <c r="E95" s="630">
        <v>6.2</v>
      </c>
      <c r="F95" s="628" t="s">
        <v>1599</v>
      </c>
      <c r="G95" s="628" t="s">
        <v>1600</v>
      </c>
      <c r="H95" s="628" t="s">
        <v>1809</v>
      </c>
      <c r="I95" s="632">
        <v>15168</v>
      </c>
      <c r="J95" s="631" t="s">
        <v>1599</v>
      </c>
      <c r="K95" s="633">
        <v>3630</v>
      </c>
      <c r="L95" s="643">
        <f t="shared" si="1"/>
        <v>17077</v>
      </c>
      <c r="M95" s="901">
        <v>20707</v>
      </c>
      <c r="N95" s="912">
        <v>15333.35</v>
      </c>
      <c r="O95" s="618">
        <v>0</v>
      </c>
      <c r="P95" s="644">
        <v>100</v>
      </c>
    </row>
    <row r="96" spans="1:16" ht="15.75" customHeight="1">
      <c r="A96" s="634" t="s">
        <v>1918</v>
      </c>
      <c r="B96" s="635">
        <v>44965</v>
      </c>
      <c r="C96" s="636" t="s">
        <v>1597</v>
      </c>
      <c r="D96" s="636" t="s">
        <v>1598</v>
      </c>
      <c r="E96" s="637">
        <v>11.9</v>
      </c>
      <c r="F96" s="634" t="s">
        <v>1599</v>
      </c>
      <c r="G96" s="634" t="s">
        <v>1600</v>
      </c>
      <c r="H96" s="634" t="s">
        <v>1809</v>
      </c>
      <c r="I96" s="639">
        <v>15168</v>
      </c>
      <c r="J96" s="638" t="s">
        <v>1599</v>
      </c>
      <c r="K96" s="640">
        <v>3820</v>
      </c>
      <c r="L96" s="645">
        <f t="shared" si="1"/>
        <v>19079</v>
      </c>
      <c r="M96" s="902">
        <v>22899</v>
      </c>
      <c r="N96" s="911">
        <v>16275</v>
      </c>
      <c r="O96" s="636">
        <v>0</v>
      </c>
      <c r="P96" s="646">
        <v>100</v>
      </c>
    </row>
    <row r="97" spans="1:16" ht="15.75" customHeight="1">
      <c r="A97" s="628" t="s">
        <v>1919</v>
      </c>
      <c r="B97" s="629">
        <v>44972</v>
      </c>
      <c r="C97" s="618" t="s">
        <v>1597</v>
      </c>
      <c r="D97" s="618" t="s">
        <v>1598</v>
      </c>
      <c r="E97" s="630">
        <v>4.9000000000000004</v>
      </c>
      <c r="F97" s="628" t="s">
        <v>1599</v>
      </c>
      <c r="G97" s="628" t="s">
        <v>1600</v>
      </c>
      <c r="H97" s="628" t="s">
        <v>1850</v>
      </c>
      <c r="I97" s="632">
        <v>9687</v>
      </c>
      <c r="J97" s="631" t="s">
        <v>1599</v>
      </c>
      <c r="K97" s="633">
        <v>3700</v>
      </c>
      <c r="L97" s="643">
        <f t="shared" si="1"/>
        <v>19897</v>
      </c>
      <c r="M97" s="901">
        <v>23597</v>
      </c>
      <c r="N97" s="912">
        <v>18561</v>
      </c>
      <c r="O97" s="618">
        <v>0</v>
      </c>
      <c r="P97" s="644">
        <v>100</v>
      </c>
    </row>
    <row r="98" spans="1:16" ht="15.75" customHeight="1">
      <c r="A98" s="634" t="s">
        <v>1920</v>
      </c>
      <c r="B98" s="635">
        <v>44965</v>
      </c>
      <c r="C98" s="636" t="s">
        <v>1597</v>
      </c>
      <c r="D98" s="636" t="s">
        <v>1598</v>
      </c>
      <c r="E98" s="637">
        <v>11.9</v>
      </c>
      <c r="F98" s="634" t="s">
        <v>1599</v>
      </c>
      <c r="G98" s="634" t="s">
        <v>1600</v>
      </c>
      <c r="H98" s="634" t="s">
        <v>1809</v>
      </c>
      <c r="I98" s="639">
        <v>15168</v>
      </c>
      <c r="J98" s="638" t="s">
        <v>1599</v>
      </c>
      <c r="K98" s="640">
        <v>3700</v>
      </c>
      <c r="L98" s="645">
        <f t="shared" si="1"/>
        <v>19079</v>
      </c>
      <c r="M98" s="902">
        <v>22779</v>
      </c>
      <c r="N98" s="911">
        <v>16275</v>
      </c>
      <c r="O98" s="636">
        <v>0</v>
      </c>
      <c r="P98" s="646">
        <v>100</v>
      </c>
    </row>
    <row r="99" spans="1:16" ht="15.75" customHeight="1">
      <c r="A99" s="628" t="s">
        <v>1921</v>
      </c>
      <c r="B99" s="629">
        <v>44965</v>
      </c>
      <c r="C99" s="618" t="s">
        <v>1597</v>
      </c>
      <c r="D99" s="618" t="s">
        <v>1598</v>
      </c>
      <c r="E99" s="630">
        <v>11.9</v>
      </c>
      <c r="F99" s="628" t="s">
        <v>1599</v>
      </c>
      <c r="G99" s="628" t="s">
        <v>1600</v>
      </c>
      <c r="H99" s="628" t="s">
        <v>1884</v>
      </c>
      <c r="I99" s="632">
        <v>13413</v>
      </c>
      <c r="J99" s="631" t="s">
        <v>1599</v>
      </c>
      <c r="K99" s="633">
        <v>3860</v>
      </c>
      <c r="L99" s="643">
        <f t="shared" si="1"/>
        <v>13513</v>
      </c>
      <c r="M99" s="901">
        <v>17373</v>
      </c>
      <c r="N99" s="912">
        <v>11057</v>
      </c>
      <c r="O99" s="618">
        <v>0</v>
      </c>
      <c r="P99" s="644">
        <v>100</v>
      </c>
    </row>
    <row r="100" spans="1:16" ht="15.75" customHeight="1">
      <c r="A100" s="634" t="s">
        <v>1922</v>
      </c>
      <c r="B100" s="635">
        <v>44967</v>
      </c>
      <c r="C100" s="636" t="s">
        <v>1597</v>
      </c>
      <c r="D100" s="636" t="s">
        <v>1598</v>
      </c>
      <c r="E100" s="637">
        <v>11.9</v>
      </c>
      <c r="F100" s="634" t="s">
        <v>1599</v>
      </c>
      <c r="G100" s="634" t="s">
        <v>1600</v>
      </c>
      <c r="H100" s="634" t="s">
        <v>1854</v>
      </c>
      <c r="I100" s="639">
        <v>8865</v>
      </c>
      <c r="J100" s="638" t="s">
        <v>1599</v>
      </c>
      <c r="K100" s="640">
        <v>3745</v>
      </c>
      <c r="L100" s="645">
        <f t="shared" si="1"/>
        <v>22086.75</v>
      </c>
      <c r="M100" s="902">
        <v>25831.75</v>
      </c>
      <c r="N100" s="911">
        <v>20199</v>
      </c>
      <c r="O100" s="636">
        <v>0</v>
      </c>
      <c r="P100" s="646">
        <v>100</v>
      </c>
    </row>
    <row r="101" spans="1:16" ht="15.75" customHeight="1">
      <c r="A101" s="628" t="s">
        <v>1923</v>
      </c>
      <c r="B101" s="629">
        <v>44967</v>
      </c>
      <c r="C101" s="618" t="s">
        <v>1597</v>
      </c>
      <c r="D101" s="618" t="s">
        <v>1598</v>
      </c>
      <c r="E101" s="630">
        <v>6</v>
      </c>
      <c r="F101" s="628" t="s">
        <v>1599</v>
      </c>
      <c r="G101" s="628" t="s">
        <v>1600</v>
      </c>
      <c r="H101" s="628" t="s">
        <v>1838</v>
      </c>
      <c r="I101" s="632">
        <v>4972</v>
      </c>
      <c r="J101" s="631" t="s">
        <v>1599</v>
      </c>
      <c r="K101" s="633">
        <v>3820</v>
      </c>
      <c r="L101" s="643">
        <f t="shared" si="1"/>
        <v>11290.74</v>
      </c>
      <c r="M101" s="901">
        <v>15110.74</v>
      </c>
      <c r="N101" s="912">
        <v>8580.01</v>
      </c>
      <c r="O101" s="618">
        <v>0</v>
      </c>
      <c r="P101" s="644">
        <v>100</v>
      </c>
    </row>
    <row r="102" spans="1:16" ht="15.75" customHeight="1">
      <c r="A102" s="634" t="s">
        <v>1924</v>
      </c>
      <c r="B102" s="635">
        <v>44972</v>
      </c>
      <c r="C102" s="636" t="s">
        <v>1597</v>
      </c>
      <c r="D102" s="636" t="s">
        <v>1598</v>
      </c>
      <c r="E102" s="637">
        <v>11.9</v>
      </c>
      <c r="F102" s="634" t="s">
        <v>1599</v>
      </c>
      <c r="G102" s="634" t="s">
        <v>1600</v>
      </c>
      <c r="H102" s="634" t="s">
        <v>1807</v>
      </c>
      <c r="I102" s="639">
        <v>1734</v>
      </c>
      <c r="J102" s="638" t="s">
        <v>1599</v>
      </c>
      <c r="K102" s="640">
        <v>3820</v>
      </c>
      <c r="L102" s="645">
        <f t="shared" si="1"/>
        <v>12167.3</v>
      </c>
      <c r="M102" s="902">
        <v>15987.3</v>
      </c>
      <c r="N102" s="911">
        <v>9494.7000000000007</v>
      </c>
      <c r="O102" s="636">
        <v>0</v>
      </c>
      <c r="P102" s="646">
        <v>100</v>
      </c>
    </row>
    <row r="103" spans="1:16" ht="15.75" customHeight="1">
      <c r="A103" s="628" t="s">
        <v>1925</v>
      </c>
      <c r="B103" s="629">
        <v>44964</v>
      </c>
      <c r="C103" s="618" t="s">
        <v>1597</v>
      </c>
      <c r="D103" s="618" t="s">
        <v>1598</v>
      </c>
      <c r="E103" s="630">
        <v>11.9</v>
      </c>
      <c r="F103" s="628" t="s">
        <v>1599</v>
      </c>
      <c r="G103" s="628" t="s">
        <v>1600</v>
      </c>
      <c r="H103" s="628" t="s">
        <v>1798</v>
      </c>
      <c r="I103" s="632">
        <v>1931</v>
      </c>
      <c r="J103" s="631" t="s">
        <v>1599</v>
      </c>
      <c r="K103" s="633">
        <v>5303.5</v>
      </c>
      <c r="L103" s="643">
        <f t="shared" si="1"/>
        <v>956</v>
      </c>
      <c r="M103" s="901">
        <v>6259.5</v>
      </c>
      <c r="N103" s="912">
        <v>5303.5</v>
      </c>
      <c r="O103" s="618">
        <v>0</v>
      </c>
      <c r="P103" s="644">
        <v>100</v>
      </c>
    </row>
    <row r="104" spans="1:16" ht="15.75" customHeight="1">
      <c r="A104" s="620" t="s">
        <v>1926</v>
      </c>
      <c r="B104" s="635">
        <v>44966</v>
      </c>
      <c r="C104" s="620" t="s">
        <v>1597</v>
      </c>
      <c r="D104" s="620" t="s">
        <v>1598</v>
      </c>
      <c r="E104" s="622">
        <v>11.9</v>
      </c>
      <c r="F104" s="620" t="s">
        <v>1599</v>
      </c>
      <c r="G104" s="620" t="s">
        <v>1600</v>
      </c>
      <c r="H104" s="634" t="s">
        <v>1798</v>
      </c>
      <c r="I104" s="639">
        <v>1931</v>
      </c>
      <c r="J104" s="625" t="s">
        <v>1599</v>
      </c>
      <c r="K104" s="626">
        <v>3336.51</v>
      </c>
      <c r="L104" s="647">
        <v>1360.48</v>
      </c>
      <c r="M104" s="900">
        <v>4696.99</v>
      </c>
      <c r="N104" s="911">
        <v>3336.51</v>
      </c>
      <c r="O104" s="636"/>
      <c r="P104" s="646"/>
    </row>
    <row r="105" spans="1:16" ht="15.75" customHeight="1">
      <c r="A105" s="628" t="s">
        <v>1927</v>
      </c>
      <c r="B105" s="629">
        <v>44971</v>
      </c>
      <c r="C105" s="618" t="s">
        <v>1597</v>
      </c>
      <c r="D105" s="618" t="s">
        <v>1598</v>
      </c>
      <c r="E105" s="630">
        <v>6</v>
      </c>
      <c r="F105" s="628" t="s">
        <v>1599</v>
      </c>
      <c r="G105" s="628" t="s">
        <v>1600</v>
      </c>
      <c r="H105" s="628" t="s">
        <v>1846</v>
      </c>
      <c r="I105" s="632">
        <v>5317</v>
      </c>
      <c r="J105" s="631" t="s">
        <v>1599</v>
      </c>
      <c r="K105" s="633">
        <v>2210</v>
      </c>
      <c r="L105" s="643">
        <f t="shared" ref="L105:L152" si="2">M105-K105</f>
        <v>3679.16</v>
      </c>
      <c r="M105" s="901">
        <v>5889.16</v>
      </c>
      <c r="N105" s="912">
        <v>2576.88</v>
      </c>
      <c r="O105" s="618">
        <v>0</v>
      </c>
      <c r="P105" s="644">
        <v>100</v>
      </c>
    </row>
    <row r="106" spans="1:16" ht="15.75" customHeight="1">
      <c r="A106" s="634" t="s">
        <v>1928</v>
      </c>
      <c r="B106" s="635">
        <v>44971</v>
      </c>
      <c r="C106" s="636" t="s">
        <v>1597</v>
      </c>
      <c r="D106" s="636" t="s">
        <v>1598</v>
      </c>
      <c r="E106" s="637">
        <v>5.3</v>
      </c>
      <c r="F106" s="634" t="s">
        <v>1599</v>
      </c>
      <c r="G106" s="634" t="s">
        <v>1600</v>
      </c>
      <c r="H106" s="634" t="s">
        <v>1815</v>
      </c>
      <c r="I106" s="639">
        <v>17387</v>
      </c>
      <c r="J106" s="638" t="s">
        <v>1599</v>
      </c>
      <c r="K106" s="640">
        <v>3760</v>
      </c>
      <c r="L106" s="645">
        <f t="shared" si="2"/>
        <v>19093.32</v>
      </c>
      <c r="M106" s="902">
        <v>22853.32</v>
      </c>
      <c r="N106" s="911">
        <v>16282.18</v>
      </c>
      <c r="O106" s="636">
        <v>0</v>
      </c>
      <c r="P106" s="646">
        <v>100</v>
      </c>
    </row>
    <row r="107" spans="1:16" ht="15.75" customHeight="1">
      <c r="A107" s="628" t="s">
        <v>1929</v>
      </c>
      <c r="B107" s="629">
        <v>44971</v>
      </c>
      <c r="C107" s="618" t="s">
        <v>1597</v>
      </c>
      <c r="D107" s="618" t="s">
        <v>1598</v>
      </c>
      <c r="E107" s="630">
        <v>6.2</v>
      </c>
      <c r="F107" s="628" t="s">
        <v>1599</v>
      </c>
      <c r="G107" s="628" t="s">
        <v>1600</v>
      </c>
      <c r="H107" s="628" t="s">
        <v>1836</v>
      </c>
      <c r="I107" s="632">
        <v>14544</v>
      </c>
      <c r="J107" s="631" t="s">
        <v>1599</v>
      </c>
      <c r="K107" s="633">
        <v>3700</v>
      </c>
      <c r="L107" s="643">
        <f t="shared" si="2"/>
        <v>14839</v>
      </c>
      <c r="M107" s="901">
        <v>18539</v>
      </c>
      <c r="N107" s="912">
        <v>12511.2</v>
      </c>
      <c r="O107" s="618">
        <v>0</v>
      </c>
      <c r="P107" s="644">
        <v>100</v>
      </c>
    </row>
    <row r="108" spans="1:16" ht="15.75" customHeight="1">
      <c r="A108" s="634" t="s">
        <v>1930</v>
      </c>
      <c r="B108" s="635">
        <v>44972</v>
      </c>
      <c r="C108" s="636" t="s">
        <v>1597</v>
      </c>
      <c r="D108" s="636" t="s">
        <v>1598</v>
      </c>
      <c r="E108" s="637">
        <v>6.5</v>
      </c>
      <c r="F108" s="634" t="s">
        <v>1599</v>
      </c>
      <c r="G108" s="634" t="s">
        <v>1600</v>
      </c>
      <c r="H108" s="634" t="s">
        <v>1880</v>
      </c>
      <c r="I108" s="639">
        <v>13558</v>
      </c>
      <c r="J108" s="638" t="s">
        <v>1599</v>
      </c>
      <c r="K108" s="640">
        <v>3950</v>
      </c>
      <c r="L108" s="645">
        <f t="shared" si="2"/>
        <v>11206</v>
      </c>
      <c r="M108" s="902">
        <v>15156</v>
      </c>
      <c r="N108" s="911">
        <v>7130</v>
      </c>
      <c r="O108" s="636">
        <v>0</v>
      </c>
      <c r="P108" s="646">
        <v>100</v>
      </c>
    </row>
    <row r="109" spans="1:16" ht="15.75" customHeight="1">
      <c r="A109" s="628" t="s">
        <v>1931</v>
      </c>
      <c r="B109" s="629">
        <v>44977</v>
      </c>
      <c r="C109" s="618" t="s">
        <v>1597</v>
      </c>
      <c r="D109" s="618" t="s">
        <v>1598</v>
      </c>
      <c r="E109" s="630">
        <v>6.2</v>
      </c>
      <c r="F109" s="628" t="s">
        <v>1599</v>
      </c>
      <c r="G109" s="628" t="s">
        <v>1600</v>
      </c>
      <c r="H109" s="628" t="s">
        <v>1932</v>
      </c>
      <c r="I109" s="632">
        <v>4823</v>
      </c>
      <c r="J109" s="631" t="s">
        <v>1599</v>
      </c>
      <c r="K109" s="633">
        <v>2080</v>
      </c>
      <c r="L109" s="643">
        <f t="shared" si="2"/>
        <v>5327.7</v>
      </c>
      <c r="M109" s="901">
        <v>7407.7</v>
      </c>
      <c r="N109" s="912">
        <v>4361.25</v>
      </c>
      <c r="O109" s="618">
        <v>0</v>
      </c>
      <c r="P109" s="644">
        <v>100</v>
      </c>
    </row>
    <row r="110" spans="1:16" ht="15.75" customHeight="1">
      <c r="A110" s="634" t="s">
        <v>1933</v>
      </c>
      <c r="B110" s="635">
        <v>44971</v>
      </c>
      <c r="C110" s="636" t="s">
        <v>1597</v>
      </c>
      <c r="D110" s="636" t="s">
        <v>1598</v>
      </c>
      <c r="E110" s="637">
        <v>6.2</v>
      </c>
      <c r="F110" s="634" t="s">
        <v>1599</v>
      </c>
      <c r="G110" s="634" t="s">
        <v>1600</v>
      </c>
      <c r="H110" s="634" t="s">
        <v>1822</v>
      </c>
      <c r="I110" s="639">
        <v>13787</v>
      </c>
      <c r="J110" s="638" t="s">
        <v>1599</v>
      </c>
      <c r="K110" s="640">
        <v>3900</v>
      </c>
      <c r="L110" s="645">
        <f t="shared" si="2"/>
        <v>9602</v>
      </c>
      <c r="M110" s="902">
        <v>13502</v>
      </c>
      <c r="N110" s="911">
        <v>5376</v>
      </c>
      <c r="O110" s="636">
        <v>0</v>
      </c>
      <c r="P110" s="646">
        <v>100</v>
      </c>
    </row>
    <row r="111" spans="1:16" ht="15.75" customHeight="1">
      <c r="A111" s="628" t="s">
        <v>1934</v>
      </c>
      <c r="B111" s="629">
        <v>44971</v>
      </c>
      <c r="C111" s="618" t="s">
        <v>1597</v>
      </c>
      <c r="D111" s="618" t="s">
        <v>1598</v>
      </c>
      <c r="E111" s="630">
        <v>6.2</v>
      </c>
      <c r="F111" s="628" t="s">
        <v>1599</v>
      </c>
      <c r="G111" s="628" t="s">
        <v>1600</v>
      </c>
      <c r="H111" s="628" t="s">
        <v>1884</v>
      </c>
      <c r="I111" s="632">
        <v>13413</v>
      </c>
      <c r="J111" s="631" t="s">
        <v>1599</v>
      </c>
      <c r="K111" s="633">
        <v>3830</v>
      </c>
      <c r="L111" s="643">
        <f t="shared" si="2"/>
        <v>16517</v>
      </c>
      <c r="M111" s="901">
        <v>20347</v>
      </c>
      <c r="N111" s="912">
        <v>12697</v>
      </c>
      <c r="O111" s="618">
        <v>0</v>
      </c>
      <c r="P111" s="644">
        <v>100</v>
      </c>
    </row>
    <row r="112" spans="1:16" ht="15.75" customHeight="1">
      <c r="A112" s="634" t="s">
        <v>1935</v>
      </c>
      <c r="B112" s="635">
        <v>44972</v>
      </c>
      <c r="C112" s="636" t="s">
        <v>1597</v>
      </c>
      <c r="D112" s="636" t="s">
        <v>1598</v>
      </c>
      <c r="E112" s="637">
        <v>6.2</v>
      </c>
      <c r="F112" s="634" t="s">
        <v>1599</v>
      </c>
      <c r="G112" s="634" t="s">
        <v>1600</v>
      </c>
      <c r="H112" s="634" t="s">
        <v>1809</v>
      </c>
      <c r="I112" s="639">
        <v>15168</v>
      </c>
      <c r="J112" s="638" t="s">
        <v>1599</v>
      </c>
      <c r="K112" s="640">
        <v>3690</v>
      </c>
      <c r="L112" s="645">
        <f t="shared" si="2"/>
        <v>18727</v>
      </c>
      <c r="M112" s="902">
        <v>22417</v>
      </c>
      <c r="N112" s="911">
        <v>14962.5</v>
      </c>
      <c r="O112" s="636">
        <v>0</v>
      </c>
      <c r="P112" s="646">
        <v>100</v>
      </c>
    </row>
    <row r="113" spans="1:16" ht="15.75" customHeight="1">
      <c r="A113" s="628" t="s">
        <v>1936</v>
      </c>
      <c r="B113" s="629">
        <v>44978</v>
      </c>
      <c r="C113" s="618" t="s">
        <v>1597</v>
      </c>
      <c r="D113" s="618" t="s">
        <v>1598</v>
      </c>
      <c r="E113" s="630">
        <v>7.1</v>
      </c>
      <c r="F113" s="628" t="s">
        <v>1599</v>
      </c>
      <c r="G113" s="628" t="s">
        <v>1600</v>
      </c>
      <c r="H113" s="628" t="s">
        <v>1850</v>
      </c>
      <c r="I113" s="632">
        <v>9687</v>
      </c>
      <c r="J113" s="631" t="s">
        <v>1599</v>
      </c>
      <c r="K113" s="633">
        <v>2220</v>
      </c>
      <c r="L113" s="643">
        <f t="shared" si="2"/>
        <v>5777</v>
      </c>
      <c r="M113" s="901">
        <v>7997</v>
      </c>
      <c r="N113" s="912">
        <v>4550</v>
      </c>
      <c r="O113" s="618">
        <v>0</v>
      </c>
      <c r="P113" s="644">
        <v>100</v>
      </c>
    </row>
    <row r="114" spans="1:16" ht="15.75" customHeight="1">
      <c r="A114" s="634" t="s">
        <v>1937</v>
      </c>
      <c r="B114" s="635">
        <v>44972</v>
      </c>
      <c r="C114" s="636" t="s">
        <v>1597</v>
      </c>
      <c r="D114" s="636" t="s">
        <v>1598</v>
      </c>
      <c r="E114" s="637">
        <v>6.5</v>
      </c>
      <c r="F114" s="634" t="s">
        <v>1599</v>
      </c>
      <c r="G114" s="634" t="s">
        <v>1600</v>
      </c>
      <c r="H114" s="634" t="s">
        <v>1873</v>
      </c>
      <c r="I114" s="639">
        <v>3824</v>
      </c>
      <c r="J114" s="638" t="s">
        <v>1599</v>
      </c>
      <c r="K114" s="640">
        <v>3850</v>
      </c>
      <c r="L114" s="645">
        <f t="shared" si="2"/>
        <v>9663.0499999999993</v>
      </c>
      <c r="M114" s="902">
        <v>13513.05</v>
      </c>
      <c r="N114" s="911">
        <v>7106.49</v>
      </c>
      <c r="O114" s="636">
        <v>0</v>
      </c>
      <c r="P114" s="646">
        <v>100</v>
      </c>
    </row>
    <row r="115" spans="1:16" ht="15.75" customHeight="1">
      <c r="A115" s="628" t="s">
        <v>1938</v>
      </c>
      <c r="B115" s="629">
        <v>44971</v>
      </c>
      <c r="C115" s="618" t="s">
        <v>1597</v>
      </c>
      <c r="D115" s="618" t="s">
        <v>1598</v>
      </c>
      <c r="E115" s="630">
        <v>6</v>
      </c>
      <c r="F115" s="628" t="s">
        <v>1599</v>
      </c>
      <c r="G115" s="628" t="s">
        <v>1600</v>
      </c>
      <c r="H115" s="628" t="s">
        <v>1798</v>
      </c>
      <c r="I115" s="632">
        <v>1931</v>
      </c>
      <c r="J115" s="631" t="s">
        <v>1599</v>
      </c>
      <c r="K115" s="633">
        <v>5482.2</v>
      </c>
      <c r="L115" s="643">
        <f t="shared" si="2"/>
        <v>1015.5</v>
      </c>
      <c r="M115" s="901">
        <v>6497.7</v>
      </c>
      <c r="N115" s="912">
        <v>5482.2</v>
      </c>
      <c r="O115" s="618">
        <v>0</v>
      </c>
      <c r="P115" s="644">
        <v>100</v>
      </c>
    </row>
    <row r="116" spans="1:16" ht="15.75" customHeight="1">
      <c r="A116" s="634" t="s">
        <v>1939</v>
      </c>
      <c r="B116" s="635">
        <v>44985</v>
      </c>
      <c r="C116" s="636" t="s">
        <v>1597</v>
      </c>
      <c r="D116" s="636" t="s">
        <v>1598</v>
      </c>
      <c r="E116" s="637">
        <v>11.9</v>
      </c>
      <c r="F116" s="634" t="s">
        <v>1599</v>
      </c>
      <c r="G116" s="634" t="s">
        <v>1600</v>
      </c>
      <c r="H116" s="634" t="s">
        <v>1798</v>
      </c>
      <c r="I116" s="639">
        <v>1931</v>
      </c>
      <c r="J116" s="638" t="s">
        <v>1599</v>
      </c>
      <c r="K116" s="640">
        <v>5236.68</v>
      </c>
      <c r="L116" s="645">
        <f t="shared" si="2"/>
        <v>986.5</v>
      </c>
      <c r="M116" s="902">
        <v>6223.18</v>
      </c>
      <c r="N116" s="911">
        <v>5236.68</v>
      </c>
      <c r="O116" s="636">
        <v>0</v>
      </c>
      <c r="P116" s="646">
        <v>100</v>
      </c>
    </row>
    <row r="117" spans="1:16" ht="15.75" customHeight="1">
      <c r="A117" s="628" t="s">
        <v>1940</v>
      </c>
      <c r="B117" s="629">
        <v>44977</v>
      </c>
      <c r="C117" s="618" t="s">
        <v>1597</v>
      </c>
      <c r="D117" s="618" t="s">
        <v>1598</v>
      </c>
      <c r="E117" s="630">
        <v>6.5</v>
      </c>
      <c r="F117" s="628" t="s">
        <v>1599</v>
      </c>
      <c r="G117" s="628" t="s">
        <v>1600</v>
      </c>
      <c r="H117" s="628" t="s">
        <v>1941</v>
      </c>
      <c r="I117" s="632">
        <v>1588</v>
      </c>
      <c r="J117" s="631" t="s">
        <v>1599</v>
      </c>
      <c r="K117" s="633">
        <v>2265</v>
      </c>
      <c r="L117" s="643">
        <f t="shared" si="2"/>
        <v>4365.37</v>
      </c>
      <c r="M117" s="901">
        <v>6630.37</v>
      </c>
      <c r="N117" s="912">
        <v>3250.48</v>
      </c>
      <c r="O117" s="618">
        <v>0</v>
      </c>
      <c r="P117" s="644">
        <v>100</v>
      </c>
    </row>
    <row r="118" spans="1:16" ht="15.75" customHeight="1">
      <c r="A118" s="634" t="s">
        <v>1942</v>
      </c>
      <c r="B118" s="635">
        <v>44978</v>
      </c>
      <c r="C118" s="636" t="s">
        <v>1597</v>
      </c>
      <c r="D118" s="636" t="s">
        <v>1598</v>
      </c>
      <c r="E118" s="637">
        <v>6.2</v>
      </c>
      <c r="F118" s="634" t="s">
        <v>1599</v>
      </c>
      <c r="G118" s="634" t="s">
        <v>1600</v>
      </c>
      <c r="H118" s="634" t="s">
        <v>1828</v>
      </c>
      <c r="I118" s="639">
        <v>7448</v>
      </c>
      <c r="J118" s="638" t="s">
        <v>1599</v>
      </c>
      <c r="K118" s="640">
        <v>3860</v>
      </c>
      <c r="L118" s="645">
        <f t="shared" si="2"/>
        <v>24002</v>
      </c>
      <c r="M118" s="902">
        <v>27862</v>
      </c>
      <c r="N118" s="911">
        <v>18990</v>
      </c>
      <c r="O118" s="636">
        <v>0</v>
      </c>
      <c r="P118" s="646">
        <v>100</v>
      </c>
    </row>
    <row r="119" spans="1:16" ht="15.75" customHeight="1">
      <c r="A119" s="628" t="s">
        <v>1943</v>
      </c>
      <c r="B119" s="629">
        <v>44978</v>
      </c>
      <c r="C119" s="618" t="s">
        <v>1597</v>
      </c>
      <c r="D119" s="618" t="s">
        <v>1598</v>
      </c>
      <c r="E119" s="630">
        <v>6.2</v>
      </c>
      <c r="F119" s="628" t="s">
        <v>1599</v>
      </c>
      <c r="G119" s="628" t="s">
        <v>1600</v>
      </c>
      <c r="H119" s="628" t="s">
        <v>1828</v>
      </c>
      <c r="I119" s="632">
        <v>7448</v>
      </c>
      <c r="J119" s="631" t="s">
        <v>1599</v>
      </c>
      <c r="K119" s="633">
        <v>3830</v>
      </c>
      <c r="L119" s="643">
        <f t="shared" si="2"/>
        <v>20502</v>
      </c>
      <c r="M119" s="901">
        <v>24332</v>
      </c>
      <c r="N119" s="912">
        <v>16550</v>
      </c>
      <c r="O119" s="618">
        <v>0</v>
      </c>
      <c r="P119" s="644">
        <v>100</v>
      </c>
    </row>
    <row r="120" spans="1:16" ht="15.75" customHeight="1">
      <c r="A120" s="634" t="s">
        <v>1944</v>
      </c>
      <c r="B120" s="635">
        <v>44979</v>
      </c>
      <c r="C120" s="636" t="s">
        <v>1597</v>
      </c>
      <c r="D120" s="636" t="s">
        <v>1598</v>
      </c>
      <c r="E120" s="637">
        <v>6.2</v>
      </c>
      <c r="F120" s="634" t="s">
        <v>1599</v>
      </c>
      <c r="G120" s="634" t="s">
        <v>1600</v>
      </c>
      <c r="H120" s="634" t="s">
        <v>1831</v>
      </c>
      <c r="I120" s="639">
        <v>7283</v>
      </c>
      <c r="J120" s="638" t="s">
        <v>1599</v>
      </c>
      <c r="K120" s="640">
        <v>3820</v>
      </c>
      <c r="L120" s="645">
        <f t="shared" si="2"/>
        <v>24802</v>
      </c>
      <c r="M120" s="902">
        <v>28622</v>
      </c>
      <c r="N120" s="911">
        <v>20725</v>
      </c>
      <c r="O120" s="636">
        <v>0</v>
      </c>
      <c r="P120" s="646">
        <v>100</v>
      </c>
    </row>
    <row r="121" spans="1:16" ht="15.75" customHeight="1">
      <c r="A121" s="628" t="s">
        <v>1945</v>
      </c>
      <c r="B121" s="629">
        <v>44979</v>
      </c>
      <c r="C121" s="618" t="s">
        <v>1597</v>
      </c>
      <c r="D121" s="618" t="s">
        <v>1598</v>
      </c>
      <c r="E121" s="630">
        <v>6.2</v>
      </c>
      <c r="F121" s="628" t="s">
        <v>1599</v>
      </c>
      <c r="G121" s="628" t="s">
        <v>1600</v>
      </c>
      <c r="H121" s="628" t="s">
        <v>1831</v>
      </c>
      <c r="I121" s="632">
        <v>7283</v>
      </c>
      <c r="J121" s="631" t="s">
        <v>1599</v>
      </c>
      <c r="K121" s="633">
        <v>3900</v>
      </c>
      <c r="L121" s="643">
        <f t="shared" si="2"/>
        <v>23232</v>
      </c>
      <c r="M121" s="901">
        <v>27132</v>
      </c>
      <c r="N121" s="912">
        <v>20159</v>
      </c>
      <c r="O121" s="618">
        <v>0</v>
      </c>
      <c r="P121" s="644">
        <v>100</v>
      </c>
    </row>
    <row r="122" spans="1:16" ht="15.75" customHeight="1">
      <c r="A122" s="634" t="s">
        <v>1946</v>
      </c>
      <c r="B122" s="635">
        <v>44979</v>
      </c>
      <c r="C122" s="636" t="s">
        <v>1597</v>
      </c>
      <c r="D122" s="636" t="s">
        <v>1598</v>
      </c>
      <c r="E122" s="637">
        <v>6.2</v>
      </c>
      <c r="F122" s="634" t="s">
        <v>1599</v>
      </c>
      <c r="G122" s="634" t="s">
        <v>1600</v>
      </c>
      <c r="H122" s="634" t="s">
        <v>1831</v>
      </c>
      <c r="I122" s="639">
        <v>7283</v>
      </c>
      <c r="J122" s="638" t="s">
        <v>1599</v>
      </c>
      <c r="K122" s="640">
        <v>2160</v>
      </c>
      <c r="L122" s="645">
        <f t="shared" si="2"/>
        <v>11002</v>
      </c>
      <c r="M122" s="902">
        <v>13162</v>
      </c>
      <c r="N122" s="911">
        <v>9340</v>
      </c>
      <c r="O122" s="636">
        <v>0</v>
      </c>
      <c r="P122" s="646">
        <v>100</v>
      </c>
    </row>
    <row r="123" spans="1:16" ht="15.75" customHeight="1">
      <c r="A123" s="628" t="s">
        <v>1947</v>
      </c>
      <c r="B123" s="629">
        <v>44977</v>
      </c>
      <c r="C123" s="618" t="s">
        <v>1597</v>
      </c>
      <c r="D123" s="618" t="s">
        <v>1598</v>
      </c>
      <c r="E123" s="630">
        <v>7.1</v>
      </c>
      <c r="F123" s="628" t="s">
        <v>1599</v>
      </c>
      <c r="G123" s="628" t="s">
        <v>1600</v>
      </c>
      <c r="H123" s="628" t="s">
        <v>1948</v>
      </c>
      <c r="I123" s="632">
        <v>13695</v>
      </c>
      <c r="J123" s="631" t="s">
        <v>1599</v>
      </c>
      <c r="K123" s="633">
        <v>3650</v>
      </c>
      <c r="L123" s="643">
        <f t="shared" si="2"/>
        <v>18736</v>
      </c>
      <c r="M123" s="901">
        <v>22386</v>
      </c>
      <c r="N123" s="912">
        <v>17822</v>
      </c>
      <c r="O123" s="618">
        <v>0</v>
      </c>
      <c r="P123" s="644">
        <v>100</v>
      </c>
    </row>
    <row r="124" spans="1:16" ht="15.75" customHeight="1">
      <c r="A124" s="634" t="s">
        <v>1949</v>
      </c>
      <c r="B124" s="635">
        <v>44977</v>
      </c>
      <c r="C124" s="636" t="s">
        <v>1597</v>
      </c>
      <c r="D124" s="636" t="s">
        <v>1598</v>
      </c>
      <c r="E124" s="637">
        <v>7.1</v>
      </c>
      <c r="F124" s="634" t="s">
        <v>1599</v>
      </c>
      <c r="G124" s="634" t="s">
        <v>1600</v>
      </c>
      <c r="H124" s="634" t="s">
        <v>1948</v>
      </c>
      <c r="I124" s="639">
        <v>13695</v>
      </c>
      <c r="J124" s="638" t="s">
        <v>1599</v>
      </c>
      <c r="K124" s="640">
        <v>3700</v>
      </c>
      <c r="L124" s="645">
        <f t="shared" si="2"/>
        <v>18800</v>
      </c>
      <c r="M124" s="902">
        <v>22500</v>
      </c>
      <c r="N124" s="911">
        <v>17940</v>
      </c>
      <c r="O124" s="636">
        <v>0</v>
      </c>
      <c r="P124" s="646">
        <v>100</v>
      </c>
    </row>
    <row r="125" spans="1:16" ht="15.75" customHeight="1">
      <c r="A125" s="628" t="s">
        <v>1950</v>
      </c>
      <c r="B125" s="629">
        <v>44979</v>
      </c>
      <c r="C125" s="618" t="s">
        <v>1597</v>
      </c>
      <c r="D125" s="618" t="s">
        <v>1598</v>
      </c>
      <c r="E125" s="630">
        <v>7.1</v>
      </c>
      <c r="F125" s="628" t="s">
        <v>1599</v>
      </c>
      <c r="G125" s="628" t="s">
        <v>1600</v>
      </c>
      <c r="H125" s="628" t="s">
        <v>1886</v>
      </c>
      <c r="I125" s="632">
        <v>13877</v>
      </c>
      <c r="J125" s="631" t="s">
        <v>1599</v>
      </c>
      <c r="K125" s="633">
        <v>3800</v>
      </c>
      <c r="L125" s="643">
        <f t="shared" si="2"/>
        <v>10189.799999999999</v>
      </c>
      <c r="M125" s="901">
        <v>13989.8</v>
      </c>
      <c r="N125" s="912">
        <v>7660</v>
      </c>
      <c r="O125" s="618">
        <v>0</v>
      </c>
      <c r="P125" s="644">
        <v>100</v>
      </c>
    </row>
    <row r="126" spans="1:16" ht="15.75" customHeight="1">
      <c r="A126" s="634" t="s">
        <v>1951</v>
      </c>
      <c r="B126" s="635">
        <v>44980</v>
      </c>
      <c r="C126" s="636" t="s">
        <v>1597</v>
      </c>
      <c r="D126" s="636" t="s">
        <v>1598</v>
      </c>
      <c r="E126" s="637">
        <v>6.2</v>
      </c>
      <c r="F126" s="634" t="s">
        <v>1599</v>
      </c>
      <c r="G126" s="634" t="s">
        <v>1600</v>
      </c>
      <c r="H126" s="634" t="s">
        <v>1886</v>
      </c>
      <c r="I126" s="639">
        <v>13877</v>
      </c>
      <c r="J126" s="638" t="s">
        <v>1599</v>
      </c>
      <c r="K126" s="640">
        <v>3900</v>
      </c>
      <c r="L126" s="645">
        <f t="shared" si="2"/>
        <v>19599.5</v>
      </c>
      <c r="M126" s="902">
        <v>23499.5</v>
      </c>
      <c r="N126" s="911">
        <v>15795</v>
      </c>
      <c r="O126" s="636">
        <v>0</v>
      </c>
      <c r="P126" s="646">
        <v>100</v>
      </c>
    </row>
    <row r="127" spans="1:16" ht="15.75" customHeight="1">
      <c r="A127" s="628" t="s">
        <v>1952</v>
      </c>
      <c r="B127" s="629">
        <v>44980</v>
      </c>
      <c r="C127" s="618" t="s">
        <v>1597</v>
      </c>
      <c r="D127" s="618" t="s">
        <v>1598</v>
      </c>
      <c r="E127" s="630">
        <v>7.1</v>
      </c>
      <c r="F127" s="628" t="s">
        <v>1599</v>
      </c>
      <c r="G127" s="628" t="s">
        <v>1600</v>
      </c>
      <c r="H127" s="628" t="s">
        <v>1886</v>
      </c>
      <c r="I127" s="632">
        <v>13877</v>
      </c>
      <c r="J127" s="631" t="s">
        <v>1599</v>
      </c>
      <c r="K127" s="633">
        <v>3840</v>
      </c>
      <c r="L127" s="643">
        <f t="shared" si="2"/>
        <v>12014</v>
      </c>
      <c r="M127" s="901">
        <v>15854</v>
      </c>
      <c r="N127" s="912">
        <v>8988</v>
      </c>
      <c r="O127" s="618">
        <v>0</v>
      </c>
      <c r="P127" s="644">
        <v>100</v>
      </c>
    </row>
    <row r="128" spans="1:16" ht="15.75" customHeight="1">
      <c r="A128" s="634" t="s">
        <v>1953</v>
      </c>
      <c r="B128" s="635">
        <v>44977</v>
      </c>
      <c r="C128" s="636" t="s">
        <v>1597</v>
      </c>
      <c r="D128" s="636" t="s">
        <v>1598</v>
      </c>
      <c r="E128" s="637">
        <v>7.1</v>
      </c>
      <c r="F128" s="634" t="s">
        <v>1599</v>
      </c>
      <c r="G128" s="634" t="s">
        <v>1600</v>
      </c>
      <c r="H128" s="634" t="s">
        <v>1822</v>
      </c>
      <c r="I128" s="639">
        <v>13787</v>
      </c>
      <c r="J128" s="638" t="s">
        <v>1599</v>
      </c>
      <c r="K128" s="640">
        <v>3820</v>
      </c>
      <c r="L128" s="645">
        <f t="shared" si="2"/>
        <v>12251.5</v>
      </c>
      <c r="M128" s="902">
        <v>16071.5</v>
      </c>
      <c r="N128" s="911">
        <v>8585.49</v>
      </c>
      <c r="O128" s="636">
        <v>0</v>
      </c>
      <c r="P128" s="646">
        <v>100</v>
      </c>
    </row>
    <row r="129" spans="1:16" ht="15.75" customHeight="1">
      <c r="A129" s="628" t="s">
        <v>1954</v>
      </c>
      <c r="B129" s="629">
        <v>44981</v>
      </c>
      <c r="C129" s="618" t="s">
        <v>1597</v>
      </c>
      <c r="D129" s="618" t="s">
        <v>1598</v>
      </c>
      <c r="E129" s="630">
        <v>6.2</v>
      </c>
      <c r="F129" s="628" t="s">
        <v>1599</v>
      </c>
      <c r="G129" s="628" t="s">
        <v>1600</v>
      </c>
      <c r="H129" s="628" t="s">
        <v>1807</v>
      </c>
      <c r="I129" s="632">
        <v>1734</v>
      </c>
      <c r="J129" s="631" t="s">
        <v>1599</v>
      </c>
      <c r="K129" s="633">
        <v>3650</v>
      </c>
      <c r="L129" s="643">
        <f t="shared" si="2"/>
        <v>11888</v>
      </c>
      <c r="M129" s="901">
        <v>15538</v>
      </c>
      <c r="N129" s="912">
        <v>9380.7999999999993</v>
      </c>
      <c r="O129" s="618">
        <v>0</v>
      </c>
      <c r="P129" s="644">
        <v>100</v>
      </c>
    </row>
    <row r="130" spans="1:16" ht="15.75" customHeight="1">
      <c r="A130" s="634" t="s">
        <v>1955</v>
      </c>
      <c r="B130" s="635">
        <v>44981</v>
      </c>
      <c r="C130" s="636" t="s">
        <v>1597</v>
      </c>
      <c r="D130" s="636" t="s">
        <v>1598</v>
      </c>
      <c r="E130" s="637">
        <v>7.1</v>
      </c>
      <c r="F130" s="634" t="s">
        <v>1599</v>
      </c>
      <c r="G130" s="634" t="s">
        <v>1600</v>
      </c>
      <c r="H130" s="634" t="s">
        <v>1807</v>
      </c>
      <c r="I130" s="639">
        <v>1734</v>
      </c>
      <c r="J130" s="638" t="s">
        <v>1599</v>
      </c>
      <c r="K130" s="640">
        <v>2100</v>
      </c>
      <c r="L130" s="645">
        <f t="shared" si="2"/>
        <v>5238.3</v>
      </c>
      <c r="M130" s="902">
        <v>7338.3</v>
      </c>
      <c r="N130" s="911">
        <v>4096.6000000000004</v>
      </c>
      <c r="O130" s="636">
        <v>0</v>
      </c>
      <c r="P130" s="646">
        <v>100</v>
      </c>
    </row>
    <row r="131" spans="1:16" ht="15.75" customHeight="1">
      <c r="A131" s="628" t="s">
        <v>1956</v>
      </c>
      <c r="B131" s="629">
        <v>44980</v>
      </c>
      <c r="C131" s="618" t="s">
        <v>1597</v>
      </c>
      <c r="D131" s="618" t="s">
        <v>1598</v>
      </c>
      <c r="E131" s="630">
        <v>6.2</v>
      </c>
      <c r="F131" s="628" t="s">
        <v>1599</v>
      </c>
      <c r="G131" s="628" t="s">
        <v>1600</v>
      </c>
      <c r="H131" s="628" t="s">
        <v>1809</v>
      </c>
      <c r="I131" s="632">
        <v>15168</v>
      </c>
      <c r="J131" s="631" t="s">
        <v>1599</v>
      </c>
      <c r="K131" s="633">
        <v>3700</v>
      </c>
      <c r="L131" s="643">
        <f t="shared" si="2"/>
        <v>17077</v>
      </c>
      <c r="M131" s="901">
        <v>20777</v>
      </c>
      <c r="N131" s="912">
        <v>15333.35</v>
      </c>
      <c r="O131" s="618">
        <v>0</v>
      </c>
      <c r="P131" s="644">
        <v>100</v>
      </c>
    </row>
    <row r="132" spans="1:16" ht="15.75" customHeight="1">
      <c r="A132" s="634" t="s">
        <v>1957</v>
      </c>
      <c r="B132" s="635">
        <v>44979</v>
      </c>
      <c r="C132" s="636" t="s">
        <v>1597</v>
      </c>
      <c r="D132" s="636" t="s">
        <v>1598</v>
      </c>
      <c r="E132" s="637">
        <v>6.2</v>
      </c>
      <c r="F132" s="634" t="s">
        <v>1599</v>
      </c>
      <c r="G132" s="634" t="s">
        <v>1600</v>
      </c>
      <c r="H132" s="634" t="s">
        <v>1809</v>
      </c>
      <c r="I132" s="639">
        <v>15168</v>
      </c>
      <c r="J132" s="638" t="s">
        <v>1599</v>
      </c>
      <c r="K132" s="640">
        <v>3700</v>
      </c>
      <c r="L132" s="645">
        <f t="shared" si="2"/>
        <v>19181</v>
      </c>
      <c r="M132" s="902">
        <v>22881</v>
      </c>
      <c r="N132" s="911">
        <v>16275</v>
      </c>
      <c r="O132" s="636">
        <v>0</v>
      </c>
      <c r="P132" s="646">
        <v>100</v>
      </c>
    </row>
    <row r="133" spans="1:16" ht="15.75" customHeight="1">
      <c r="A133" s="628" t="s">
        <v>1958</v>
      </c>
      <c r="B133" s="629">
        <v>44979</v>
      </c>
      <c r="C133" s="618" t="s">
        <v>1597</v>
      </c>
      <c r="D133" s="618" t="s">
        <v>1598</v>
      </c>
      <c r="E133" s="630">
        <v>6.2</v>
      </c>
      <c r="F133" s="628" t="s">
        <v>1599</v>
      </c>
      <c r="G133" s="628" t="s">
        <v>1600</v>
      </c>
      <c r="H133" s="628" t="s">
        <v>1809</v>
      </c>
      <c r="I133" s="632">
        <v>15168</v>
      </c>
      <c r="J133" s="631" t="s">
        <v>1599</v>
      </c>
      <c r="K133" s="633">
        <v>3700</v>
      </c>
      <c r="L133" s="643">
        <f t="shared" si="2"/>
        <v>19181</v>
      </c>
      <c r="M133" s="901">
        <v>22881</v>
      </c>
      <c r="N133" s="912">
        <v>16275</v>
      </c>
      <c r="O133" s="618">
        <v>0</v>
      </c>
      <c r="P133" s="644">
        <v>100</v>
      </c>
    </row>
    <row r="134" spans="1:16" ht="15.75" customHeight="1">
      <c r="A134" s="634" t="s">
        <v>1959</v>
      </c>
      <c r="B134" s="635">
        <v>44979</v>
      </c>
      <c r="C134" s="636" t="s">
        <v>1597</v>
      </c>
      <c r="D134" s="636" t="s">
        <v>1598</v>
      </c>
      <c r="E134" s="637">
        <v>7.1</v>
      </c>
      <c r="F134" s="634" t="s">
        <v>1599</v>
      </c>
      <c r="G134" s="634" t="s">
        <v>1600</v>
      </c>
      <c r="H134" s="634" t="s">
        <v>1850</v>
      </c>
      <c r="I134" s="639">
        <v>9687</v>
      </c>
      <c r="J134" s="638" t="s">
        <v>1599</v>
      </c>
      <c r="K134" s="640">
        <v>3770</v>
      </c>
      <c r="L134" s="645">
        <f t="shared" si="2"/>
        <v>19897</v>
      </c>
      <c r="M134" s="902">
        <v>23667</v>
      </c>
      <c r="N134" s="911">
        <v>18561</v>
      </c>
      <c r="O134" s="636">
        <v>0</v>
      </c>
      <c r="P134" s="646">
        <v>100</v>
      </c>
    </row>
    <row r="135" spans="1:16" ht="15.75" customHeight="1">
      <c r="A135" s="628" t="s">
        <v>1960</v>
      </c>
      <c r="B135" s="629">
        <v>44984</v>
      </c>
      <c r="C135" s="618" t="s">
        <v>1597</v>
      </c>
      <c r="D135" s="618" t="s">
        <v>1598</v>
      </c>
      <c r="E135" s="630">
        <v>7.1</v>
      </c>
      <c r="F135" s="628" t="s">
        <v>1599</v>
      </c>
      <c r="G135" s="628" t="s">
        <v>1600</v>
      </c>
      <c r="H135" s="628" t="s">
        <v>1828</v>
      </c>
      <c r="I135" s="632">
        <v>7448</v>
      </c>
      <c r="J135" s="631" t="s">
        <v>1599</v>
      </c>
      <c r="K135" s="633">
        <v>3700</v>
      </c>
      <c r="L135" s="643">
        <f t="shared" si="2"/>
        <v>23802</v>
      </c>
      <c r="M135" s="901">
        <v>27502</v>
      </c>
      <c r="N135" s="912">
        <v>20199</v>
      </c>
      <c r="O135" s="618">
        <v>0</v>
      </c>
      <c r="P135" s="644">
        <v>100</v>
      </c>
    </row>
    <row r="136" spans="1:16" ht="15.75" customHeight="1">
      <c r="A136" s="634" t="s">
        <v>1961</v>
      </c>
      <c r="B136" s="635">
        <v>44979</v>
      </c>
      <c r="C136" s="636" t="s">
        <v>1597</v>
      </c>
      <c r="D136" s="636" t="s">
        <v>1598</v>
      </c>
      <c r="E136" s="637">
        <v>6.2</v>
      </c>
      <c r="F136" s="634" t="s">
        <v>1599</v>
      </c>
      <c r="G136" s="634" t="s">
        <v>1600</v>
      </c>
      <c r="H136" s="634" t="s">
        <v>1836</v>
      </c>
      <c r="I136" s="639">
        <v>14544</v>
      </c>
      <c r="J136" s="638" t="s">
        <v>1599</v>
      </c>
      <c r="K136" s="640">
        <v>3840</v>
      </c>
      <c r="L136" s="645">
        <f t="shared" si="2"/>
        <v>14839</v>
      </c>
      <c r="M136" s="902">
        <v>18679</v>
      </c>
      <c r="N136" s="911">
        <v>12511.2</v>
      </c>
      <c r="O136" s="636">
        <v>0</v>
      </c>
      <c r="P136" s="646">
        <v>100</v>
      </c>
    </row>
    <row r="137" spans="1:16" ht="15.75" customHeight="1">
      <c r="A137" s="628" t="s">
        <v>1962</v>
      </c>
      <c r="B137" s="629">
        <v>44984</v>
      </c>
      <c r="C137" s="618" t="s">
        <v>1597</v>
      </c>
      <c r="D137" s="618" t="s">
        <v>1598</v>
      </c>
      <c r="E137" s="630">
        <v>5.2</v>
      </c>
      <c r="F137" s="628" t="s">
        <v>1599</v>
      </c>
      <c r="G137" s="628" t="s">
        <v>1600</v>
      </c>
      <c r="H137" s="628" t="s">
        <v>1963</v>
      </c>
      <c r="I137" s="632">
        <v>14253</v>
      </c>
      <c r="J137" s="631" t="s">
        <v>1599</v>
      </c>
      <c r="K137" s="633">
        <v>3780</v>
      </c>
      <c r="L137" s="643">
        <f t="shared" si="2"/>
        <v>10901.63</v>
      </c>
      <c r="M137" s="901">
        <v>14681.63</v>
      </c>
      <c r="N137" s="912">
        <v>8102.34</v>
      </c>
      <c r="O137" s="618">
        <v>0</v>
      </c>
      <c r="P137" s="644">
        <v>100</v>
      </c>
    </row>
    <row r="138" spans="1:16" ht="15.75" customHeight="1">
      <c r="A138" s="634" t="s">
        <v>1964</v>
      </c>
      <c r="B138" s="635">
        <v>44985</v>
      </c>
      <c r="C138" s="636" t="s">
        <v>1597</v>
      </c>
      <c r="D138" s="636" t="s">
        <v>1598</v>
      </c>
      <c r="E138" s="637">
        <v>3.6</v>
      </c>
      <c r="F138" s="634" t="s">
        <v>1599</v>
      </c>
      <c r="G138" s="634" t="s">
        <v>1600</v>
      </c>
      <c r="H138" s="634" t="s">
        <v>1965</v>
      </c>
      <c r="I138" s="639">
        <v>5092</v>
      </c>
      <c r="J138" s="638" t="s">
        <v>1599</v>
      </c>
      <c r="K138" s="640">
        <v>2185</v>
      </c>
      <c r="L138" s="645">
        <f t="shared" si="2"/>
        <v>5334.5</v>
      </c>
      <c r="M138" s="902">
        <v>7519.5</v>
      </c>
      <c r="N138" s="911">
        <v>4398.8999999999996</v>
      </c>
      <c r="O138" s="636">
        <v>0</v>
      </c>
      <c r="P138" s="646">
        <v>100</v>
      </c>
    </row>
    <row r="139" spans="1:16" ht="15.75" customHeight="1">
      <c r="A139" s="628" t="s">
        <v>1966</v>
      </c>
      <c r="B139" s="629">
        <v>44985</v>
      </c>
      <c r="C139" s="618" t="s">
        <v>1597</v>
      </c>
      <c r="D139" s="618" t="s">
        <v>1598</v>
      </c>
      <c r="E139" s="630">
        <v>5.3</v>
      </c>
      <c r="F139" s="628" t="s">
        <v>1599</v>
      </c>
      <c r="G139" s="628" t="s">
        <v>1600</v>
      </c>
      <c r="H139" s="628" t="s">
        <v>1815</v>
      </c>
      <c r="I139" s="632">
        <v>17387</v>
      </c>
      <c r="J139" s="631" t="s">
        <v>1599</v>
      </c>
      <c r="K139" s="633">
        <v>3770</v>
      </c>
      <c r="L139" s="643">
        <f t="shared" si="2"/>
        <v>17959.849999999999</v>
      </c>
      <c r="M139" s="901">
        <v>21729.85</v>
      </c>
      <c r="N139" s="912">
        <v>15637.32</v>
      </c>
      <c r="O139" s="618">
        <v>0</v>
      </c>
      <c r="P139" s="644">
        <v>100</v>
      </c>
    </row>
    <row r="140" spans="1:16" ht="15.75" customHeight="1">
      <c r="A140" s="634" t="s">
        <v>1967</v>
      </c>
      <c r="B140" s="635">
        <v>44980</v>
      </c>
      <c r="C140" s="636" t="s">
        <v>1597</v>
      </c>
      <c r="D140" s="636" t="s">
        <v>1598</v>
      </c>
      <c r="E140" s="637">
        <v>6.2</v>
      </c>
      <c r="F140" s="634" t="s">
        <v>1599</v>
      </c>
      <c r="G140" s="634" t="s">
        <v>1600</v>
      </c>
      <c r="H140" s="634" t="s">
        <v>1866</v>
      </c>
      <c r="I140" s="639">
        <v>2597</v>
      </c>
      <c r="J140" s="638" t="s">
        <v>1599</v>
      </c>
      <c r="K140" s="640">
        <v>3120</v>
      </c>
      <c r="L140" s="645">
        <f t="shared" si="2"/>
        <v>13088</v>
      </c>
      <c r="M140" s="902">
        <v>16208</v>
      </c>
      <c r="N140" s="911">
        <v>10669</v>
      </c>
      <c r="O140" s="636">
        <v>0</v>
      </c>
      <c r="P140" s="646">
        <v>100</v>
      </c>
    </row>
    <row r="141" spans="1:16" ht="15.75" customHeight="1">
      <c r="A141" s="628" t="s">
        <v>1968</v>
      </c>
      <c r="B141" s="629">
        <v>44985</v>
      </c>
      <c r="C141" s="618" t="s">
        <v>1597</v>
      </c>
      <c r="D141" s="618" t="s">
        <v>1598</v>
      </c>
      <c r="E141" s="630">
        <v>7.1</v>
      </c>
      <c r="F141" s="628" t="s">
        <v>1599</v>
      </c>
      <c r="G141" s="628" t="s">
        <v>1600</v>
      </c>
      <c r="H141" s="628" t="s">
        <v>1818</v>
      </c>
      <c r="I141" s="632">
        <v>14000</v>
      </c>
      <c r="J141" s="631" t="s">
        <v>1599</v>
      </c>
      <c r="K141" s="633">
        <v>3700</v>
      </c>
      <c r="L141" s="643">
        <f t="shared" si="2"/>
        <v>18316.560000000001</v>
      </c>
      <c r="M141" s="901">
        <v>22016.560000000001</v>
      </c>
      <c r="N141" s="912">
        <v>15942.2</v>
      </c>
      <c r="O141" s="618">
        <v>0</v>
      </c>
      <c r="P141" s="644">
        <v>100</v>
      </c>
    </row>
    <row r="142" spans="1:16" ht="15.75" customHeight="1">
      <c r="A142" s="634" t="s">
        <v>1969</v>
      </c>
      <c r="B142" s="635">
        <v>44985</v>
      </c>
      <c r="C142" s="636" t="s">
        <v>1597</v>
      </c>
      <c r="D142" s="636" t="s">
        <v>1598</v>
      </c>
      <c r="E142" s="637">
        <v>6.5</v>
      </c>
      <c r="F142" s="634" t="s">
        <v>1599</v>
      </c>
      <c r="G142" s="634" t="s">
        <v>1600</v>
      </c>
      <c r="H142" s="634" t="s">
        <v>1880</v>
      </c>
      <c r="I142" s="639">
        <v>13558</v>
      </c>
      <c r="J142" s="638" t="s">
        <v>1599</v>
      </c>
      <c r="K142" s="640">
        <v>3700</v>
      </c>
      <c r="L142" s="645">
        <f t="shared" si="2"/>
        <v>12605.25</v>
      </c>
      <c r="M142" s="902">
        <v>16305.25</v>
      </c>
      <c r="N142" s="911">
        <v>8711.25</v>
      </c>
      <c r="O142" s="636">
        <v>0</v>
      </c>
      <c r="P142" s="646">
        <v>100</v>
      </c>
    </row>
    <row r="143" spans="1:16" ht="15.75" customHeight="1">
      <c r="A143" s="628" t="s">
        <v>1970</v>
      </c>
      <c r="B143" s="629">
        <v>44986</v>
      </c>
      <c r="C143" s="618" t="s">
        <v>1597</v>
      </c>
      <c r="D143" s="618" t="s">
        <v>1598</v>
      </c>
      <c r="E143" s="630">
        <v>6</v>
      </c>
      <c r="F143" s="628" t="s">
        <v>1599</v>
      </c>
      <c r="G143" s="628" t="s">
        <v>1600</v>
      </c>
      <c r="H143" s="628" t="s">
        <v>1971</v>
      </c>
      <c r="I143" s="632">
        <v>4358</v>
      </c>
      <c r="J143" s="631" t="s">
        <v>1599</v>
      </c>
      <c r="K143" s="630">
        <v>2265</v>
      </c>
      <c r="L143" s="643">
        <f t="shared" si="2"/>
        <v>5347.15</v>
      </c>
      <c r="M143" s="901">
        <v>7612.15</v>
      </c>
      <c r="N143" s="913">
        <v>4360.3999999999996</v>
      </c>
      <c r="O143" s="618">
        <v>0</v>
      </c>
      <c r="P143" s="644">
        <v>100</v>
      </c>
    </row>
    <row r="144" spans="1:16" ht="15.75" customHeight="1">
      <c r="A144" s="634" t="s">
        <v>1972</v>
      </c>
      <c r="B144" s="635">
        <v>44986</v>
      </c>
      <c r="C144" s="636" t="s">
        <v>1597</v>
      </c>
      <c r="D144" s="636" t="s">
        <v>1598</v>
      </c>
      <c r="E144" s="637">
        <v>6</v>
      </c>
      <c r="F144" s="634" t="s">
        <v>1599</v>
      </c>
      <c r="G144" s="634" t="s">
        <v>1600</v>
      </c>
      <c r="H144" s="634" t="s">
        <v>1973</v>
      </c>
      <c r="I144" s="639">
        <v>4482</v>
      </c>
      <c r="J144" s="638" t="s">
        <v>1599</v>
      </c>
      <c r="K144" s="637">
        <v>2185</v>
      </c>
      <c r="L144" s="645">
        <f t="shared" si="2"/>
        <v>5249.35</v>
      </c>
      <c r="M144" s="902">
        <v>7434.35</v>
      </c>
      <c r="N144" s="914">
        <v>4200.95</v>
      </c>
      <c r="O144" s="636">
        <v>0</v>
      </c>
      <c r="P144" s="646">
        <v>100</v>
      </c>
    </row>
    <row r="145" spans="1:16" ht="15.75" customHeight="1">
      <c r="A145" s="628" t="s">
        <v>1974</v>
      </c>
      <c r="B145" s="629">
        <v>44984</v>
      </c>
      <c r="C145" s="618" t="s">
        <v>1597</v>
      </c>
      <c r="D145" s="618" t="s">
        <v>1598</v>
      </c>
      <c r="E145" s="630">
        <v>6.5</v>
      </c>
      <c r="F145" s="628" t="s">
        <v>1599</v>
      </c>
      <c r="G145" s="628" t="s">
        <v>1600</v>
      </c>
      <c r="H145" s="628" t="s">
        <v>1809</v>
      </c>
      <c r="I145" s="632">
        <v>15168</v>
      </c>
      <c r="J145" s="631" t="s">
        <v>1599</v>
      </c>
      <c r="K145" s="633">
        <v>3700</v>
      </c>
      <c r="L145" s="643">
        <f t="shared" si="2"/>
        <v>15320</v>
      </c>
      <c r="M145" s="901">
        <v>19020</v>
      </c>
      <c r="N145" s="912">
        <v>12558</v>
      </c>
      <c r="O145" s="618">
        <v>0</v>
      </c>
      <c r="P145" s="644">
        <v>100</v>
      </c>
    </row>
    <row r="146" spans="1:16" ht="15.75" customHeight="1">
      <c r="A146" s="634" t="s">
        <v>1975</v>
      </c>
      <c r="B146" s="635">
        <v>44985</v>
      </c>
      <c r="C146" s="636" t="s">
        <v>1597</v>
      </c>
      <c r="D146" s="636" t="s">
        <v>1598</v>
      </c>
      <c r="E146" s="637">
        <v>6</v>
      </c>
      <c r="F146" s="634" t="s">
        <v>1599</v>
      </c>
      <c r="G146" s="634" t="s">
        <v>1600</v>
      </c>
      <c r="H146" s="634" t="s">
        <v>1976</v>
      </c>
      <c r="I146" s="639">
        <v>4608</v>
      </c>
      <c r="J146" s="638" t="s">
        <v>1599</v>
      </c>
      <c r="K146" s="637">
        <v>2210</v>
      </c>
      <c r="L146" s="645">
        <f t="shared" si="2"/>
        <v>5249.35</v>
      </c>
      <c r="M146" s="902">
        <v>7459.35</v>
      </c>
      <c r="N146" s="914">
        <v>4200.95</v>
      </c>
      <c r="O146" s="636">
        <v>0</v>
      </c>
      <c r="P146" s="646">
        <v>100</v>
      </c>
    </row>
    <row r="147" spans="1:16" ht="15.75" customHeight="1">
      <c r="A147" s="628" t="s">
        <v>1977</v>
      </c>
      <c r="B147" s="629">
        <v>44985</v>
      </c>
      <c r="C147" s="618" t="s">
        <v>1597</v>
      </c>
      <c r="D147" s="618" t="s">
        <v>1598</v>
      </c>
      <c r="E147" s="630">
        <v>6.5</v>
      </c>
      <c r="F147" s="628" t="s">
        <v>1599</v>
      </c>
      <c r="G147" s="628" t="s">
        <v>1600</v>
      </c>
      <c r="H147" s="628" t="s">
        <v>1809</v>
      </c>
      <c r="I147" s="632">
        <v>15168</v>
      </c>
      <c r="J147" s="631" t="s">
        <v>1599</v>
      </c>
      <c r="K147" s="630">
        <v>3700</v>
      </c>
      <c r="L147" s="643">
        <f t="shared" si="2"/>
        <v>16200</v>
      </c>
      <c r="M147" s="901">
        <v>19900</v>
      </c>
      <c r="N147" s="913">
        <v>13083</v>
      </c>
      <c r="O147" s="618">
        <v>0</v>
      </c>
      <c r="P147" s="644">
        <v>100</v>
      </c>
    </row>
    <row r="148" spans="1:16" ht="15.75" customHeight="1">
      <c r="A148" s="634" t="s">
        <v>1978</v>
      </c>
      <c r="B148" s="635">
        <v>44985</v>
      </c>
      <c r="C148" s="636" t="s">
        <v>1597</v>
      </c>
      <c r="D148" s="636" t="s">
        <v>1598</v>
      </c>
      <c r="E148" s="637">
        <v>6.5</v>
      </c>
      <c r="F148" s="634" t="s">
        <v>1599</v>
      </c>
      <c r="G148" s="634" t="s">
        <v>1600</v>
      </c>
      <c r="H148" s="634" t="s">
        <v>1809</v>
      </c>
      <c r="I148" s="639">
        <v>15168</v>
      </c>
      <c r="J148" s="638" t="s">
        <v>1599</v>
      </c>
      <c r="K148" s="637">
        <v>3900</v>
      </c>
      <c r="L148" s="645">
        <f t="shared" si="2"/>
        <v>18916.400000000001</v>
      </c>
      <c r="M148" s="902">
        <v>22816.400000000001</v>
      </c>
      <c r="N148" s="914">
        <v>15960</v>
      </c>
      <c r="O148" s="636">
        <v>0</v>
      </c>
      <c r="P148" s="646">
        <v>100</v>
      </c>
    </row>
    <row r="149" spans="1:16" ht="15.75" customHeight="1">
      <c r="A149" s="628" t="s">
        <v>1979</v>
      </c>
      <c r="B149" s="629">
        <v>44984</v>
      </c>
      <c r="C149" s="618" t="s">
        <v>1597</v>
      </c>
      <c r="D149" s="618" t="s">
        <v>1598</v>
      </c>
      <c r="E149" s="630">
        <v>11.9</v>
      </c>
      <c r="F149" s="628" t="s">
        <v>1599</v>
      </c>
      <c r="G149" s="628" t="s">
        <v>1600</v>
      </c>
      <c r="H149" s="628" t="s">
        <v>1844</v>
      </c>
      <c r="I149" s="632">
        <v>5727</v>
      </c>
      <c r="J149" s="631" t="s">
        <v>1599</v>
      </c>
      <c r="K149" s="633">
        <v>2180</v>
      </c>
      <c r="L149" s="643">
        <f t="shared" si="2"/>
        <v>6539.3099999999995</v>
      </c>
      <c r="M149" s="901">
        <v>8719.31</v>
      </c>
      <c r="N149" s="912">
        <v>5443.38</v>
      </c>
      <c r="O149" s="618">
        <v>0</v>
      </c>
      <c r="P149" s="644">
        <v>100</v>
      </c>
    </row>
    <row r="150" spans="1:16" ht="15.75" customHeight="1">
      <c r="A150" s="634" t="s">
        <v>1980</v>
      </c>
      <c r="B150" s="635">
        <v>44984</v>
      </c>
      <c r="C150" s="636" t="s">
        <v>1597</v>
      </c>
      <c r="D150" s="636" t="s">
        <v>1598</v>
      </c>
      <c r="E150" s="637">
        <v>11.9</v>
      </c>
      <c r="F150" s="634" t="s">
        <v>1599</v>
      </c>
      <c r="G150" s="634" t="s">
        <v>1600</v>
      </c>
      <c r="H150" s="634" t="s">
        <v>1846</v>
      </c>
      <c r="I150" s="639">
        <v>5317</v>
      </c>
      <c r="J150" s="638" t="s">
        <v>1599</v>
      </c>
      <c r="K150" s="640">
        <v>2100</v>
      </c>
      <c r="L150" s="645">
        <f t="shared" si="2"/>
        <v>7614.76</v>
      </c>
      <c r="M150" s="902">
        <v>9714.76</v>
      </c>
      <c r="N150" s="911">
        <v>6637</v>
      </c>
      <c r="O150" s="636">
        <v>0</v>
      </c>
      <c r="P150" s="646">
        <v>100</v>
      </c>
    </row>
    <row r="151" spans="1:16" ht="15.75" customHeight="1">
      <c r="A151" s="628" t="s">
        <v>1981</v>
      </c>
      <c r="B151" s="629">
        <v>44987</v>
      </c>
      <c r="C151" s="618" t="s">
        <v>1597</v>
      </c>
      <c r="D151" s="618" t="s">
        <v>1598</v>
      </c>
      <c r="E151" s="630">
        <v>11.9</v>
      </c>
      <c r="F151" s="628" t="s">
        <v>1599</v>
      </c>
      <c r="G151" s="631" t="s">
        <v>1600</v>
      </c>
      <c r="H151" s="628" t="s">
        <v>1841</v>
      </c>
      <c r="I151" s="632">
        <v>9486</v>
      </c>
      <c r="J151" s="631" t="s">
        <v>1599</v>
      </c>
      <c r="K151" s="633">
        <v>3840</v>
      </c>
      <c r="L151" s="643">
        <f t="shared" si="2"/>
        <v>22442</v>
      </c>
      <c r="M151" s="901">
        <v>26282</v>
      </c>
      <c r="N151" s="912">
        <v>18391.599999999999</v>
      </c>
      <c r="O151" s="618">
        <v>0</v>
      </c>
      <c r="P151" s="644">
        <v>100</v>
      </c>
    </row>
    <row r="152" spans="1:16" ht="15.75" customHeight="1">
      <c r="A152" s="634" t="s">
        <v>1982</v>
      </c>
      <c r="B152" s="635">
        <v>44987</v>
      </c>
      <c r="C152" s="636" t="s">
        <v>1597</v>
      </c>
      <c r="D152" s="636" t="s">
        <v>1598</v>
      </c>
      <c r="E152" s="637">
        <v>11.9</v>
      </c>
      <c r="F152" s="634" t="s">
        <v>1599</v>
      </c>
      <c r="G152" s="638" t="s">
        <v>1600</v>
      </c>
      <c r="H152" s="634" t="s">
        <v>1841</v>
      </c>
      <c r="I152" s="639">
        <v>9486</v>
      </c>
      <c r="J152" s="638" t="s">
        <v>1599</v>
      </c>
      <c r="K152" s="640">
        <v>3700</v>
      </c>
      <c r="L152" s="645">
        <f t="shared" si="2"/>
        <v>19344.5</v>
      </c>
      <c r="M152" s="902">
        <v>23044.5</v>
      </c>
      <c r="N152" s="911">
        <v>15577</v>
      </c>
      <c r="O152" s="636">
        <v>0</v>
      </c>
      <c r="P152" s="646">
        <v>100</v>
      </c>
    </row>
    <row r="153" spans="1:16" ht="15.75" customHeight="1">
      <c r="A153" s="610" t="s">
        <v>1983</v>
      </c>
      <c r="B153" s="629">
        <v>44989</v>
      </c>
      <c r="C153" s="610" t="s">
        <v>1597</v>
      </c>
      <c r="D153" s="610" t="s">
        <v>1598</v>
      </c>
      <c r="E153" s="612">
        <v>6.5</v>
      </c>
      <c r="F153" s="610" t="s">
        <v>1599</v>
      </c>
      <c r="G153" s="613" t="s">
        <v>1600</v>
      </c>
      <c r="H153" s="628" t="s">
        <v>1801</v>
      </c>
      <c r="I153" s="632">
        <v>9292</v>
      </c>
      <c r="J153" s="615" t="s">
        <v>1599</v>
      </c>
      <c r="K153" s="616">
        <v>2300</v>
      </c>
      <c r="L153" s="648">
        <v>14805</v>
      </c>
      <c r="M153" s="901"/>
      <c r="N153" s="912">
        <v>14226.6</v>
      </c>
      <c r="O153" s="618">
        <v>0</v>
      </c>
      <c r="P153" s="644">
        <v>100</v>
      </c>
    </row>
    <row r="154" spans="1:16" ht="15.75" customHeight="1">
      <c r="A154" s="634" t="s">
        <v>1984</v>
      </c>
      <c r="B154" s="635">
        <v>44993</v>
      </c>
      <c r="C154" s="636" t="s">
        <v>1597</v>
      </c>
      <c r="D154" s="636" t="s">
        <v>1598</v>
      </c>
      <c r="E154" s="637">
        <v>11.9</v>
      </c>
      <c r="F154" s="634" t="s">
        <v>1599</v>
      </c>
      <c r="G154" s="638" t="s">
        <v>1600</v>
      </c>
      <c r="H154" s="634" t="s">
        <v>1831</v>
      </c>
      <c r="I154" s="639">
        <v>7283</v>
      </c>
      <c r="J154" s="638" t="s">
        <v>1599</v>
      </c>
      <c r="K154" s="640">
        <v>3860</v>
      </c>
      <c r="L154" s="645">
        <f t="shared" ref="L154:L213" si="3">M154-K154</f>
        <v>23402</v>
      </c>
      <c r="M154" s="902">
        <v>27262</v>
      </c>
      <c r="N154" s="911">
        <v>20604</v>
      </c>
      <c r="O154" s="636">
        <v>0</v>
      </c>
      <c r="P154" s="646">
        <v>100</v>
      </c>
    </row>
    <row r="155" spans="1:16" ht="15.75" customHeight="1">
      <c r="A155" s="628" t="s">
        <v>1985</v>
      </c>
      <c r="B155" s="629">
        <v>44992</v>
      </c>
      <c r="C155" s="618" t="s">
        <v>1597</v>
      </c>
      <c r="D155" s="618" t="s">
        <v>1598</v>
      </c>
      <c r="E155" s="630">
        <v>7.1</v>
      </c>
      <c r="F155" s="628" t="s">
        <v>1599</v>
      </c>
      <c r="G155" s="631" t="s">
        <v>1600</v>
      </c>
      <c r="H155" s="628" t="s">
        <v>1831</v>
      </c>
      <c r="I155" s="632">
        <v>7283</v>
      </c>
      <c r="J155" s="631" t="s">
        <v>1599</v>
      </c>
      <c r="K155" s="633">
        <v>2160</v>
      </c>
      <c r="L155" s="643">
        <f t="shared" si="3"/>
        <v>9292</v>
      </c>
      <c r="M155" s="901">
        <v>11452</v>
      </c>
      <c r="N155" s="912">
        <v>8082</v>
      </c>
      <c r="O155" s="618">
        <v>0</v>
      </c>
      <c r="P155" s="644">
        <v>100</v>
      </c>
    </row>
    <row r="156" spans="1:16" ht="15.75" customHeight="1">
      <c r="A156" s="634" t="s">
        <v>1986</v>
      </c>
      <c r="B156" s="635">
        <v>44987</v>
      </c>
      <c r="C156" s="636" t="s">
        <v>1597</v>
      </c>
      <c r="D156" s="636" t="s">
        <v>1598</v>
      </c>
      <c r="E156" s="637">
        <v>7.1</v>
      </c>
      <c r="F156" s="634" t="s">
        <v>1599</v>
      </c>
      <c r="G156" s="638" t="s">
        <v>1600</v>
      </c>
      <c r="H156" s="634" t="s">
        <v>1884</v>
      </c>
      <c r="I156" s="639">
        <v>13413</v>
      </c>
      <c r="J156" s="638" t="s">
        <v>1599</v>
      </c>
      <c r="K156" s="640">
        <v>3700</v>
      </c>
      <c r="L156" s="645">
        <f t="shared" si="3"/>
        <v>14839</v>
      </c>
      <c r="M156" s="902">
        <v>18539</v>
      </c>
      <c r="N156" s="911">
        <v>12511.2</v>
      </c>
      <c r="O156" s="636">
        <v>0</v>
      </c>
      <c r="P156" s="646">
        <v>100</v>
      </c>
    </row>
    <row r="157" spans="1:16" ht="15.75" customHeight="1">
      <c r="A157" s="628" t="s">
        <v>1987</v>
      </c>
      <c r="B157" s="629">
        <v>44988</v>
      </c>
      <c r="C157" s="618" t="s">
        <v>1597</v>
      </c>
      <c r="D157" s="618" t="s">
        <v>1598</v>
      </c>
      <c r="E157" s="630">
        <v>6.5</v>
      </c>
      <c r="F157" s="628" t="s">
        <v>1599</v>
      </c>
      <c r="G157" s="631" t="s">
        <v>1600</v>
      </c>
      <c r="H157" s="628" t="s">
        <v>1850</v>
      </c>
      <c r="I157" s="632">
        <v>9687</v>
      </c>
      <c r="J157" s="631" t="s">
        <v>1599</v>
      </c>
      <c r="K157" s="633">
        <v>3800</v>
      </c>
      <c r="L157" s="643">
        <f t="shared" si="3"/>
        <v>19893</v>
      </c>
      <c r="M157" s="901">
        <v>23693</v>
      </c>
      <c r="N157" s="912">
        <v>18610.8</v>
      </c>
      <c r="O157" s="618">
        <v>0</v>
      </c>
      <c r="P157" s="644">
        <v>100</v>
      </c>
    </row>
    <row r="158" spans="1:16" ht="15.75" customHeight="1">
      <c r="A158" s="634" t="s">
        <v>1988</v>
      </c>
      <c r="B158" s="635">
        <v>44987</v>
      </c>
      <c r="C158" s="636" t="s">
        <v>1597</v>
      </c>
      <c r="D158" s="636" t="s">
        <v>1598</v>
      </c>
      <c r="E158" s="637">
        <v>7.1</v>
      </c>
      <c r="F158" s="636" t="s">
        <v>1599</v>
      </c>
      <c r="G158" s="636" t="s">
        <v>1600</v>
      </c>
      <c r="H158" s="634" t="s">
        <v>1886</v>
      </c>
      <c r="I158" s="639">
        <v>13877</v>
      </c>
      <c r="J158" s="642" t="s">
        <v>1599</v>
      </c>
      <c r="K158" s="640">
        <v>3840</v>
      </c>
      <c r="L158" s="645">
        <f t="shared" si="3"/>
        <v>-2416.1999999999998</v>
      </c>
      <c r="M158" s="902">
        <v>1423.8</v>
      </c>
      <c r="N158" s="911">
        <v>7660</v>
      </c>
      <c r="O158" s="636">
        <v>0</v>
      </c>
      <c r="P158" s="646">
        <v>100</v>
      </c>
    </row>
    <row r="159" spans="1:16" ht="15.75" customHeight="1">
      <c r="A159" s="628" t="s">
        <v>1989</v>
      </c>
      <c r="B159" s="629">
        <v>44992</v>
      </c>
      <c r="C159" s="618" t="s">
        <v>1597</v>
      </c>
      <c r="D159" s="618" t="s">
        <v>1598</v>
      </c>
      <c r="E159" s="630">
        <v>11.9</v>
      </c>
      <c r="F159" s="628" t="s">
        <v>1599</v>
      </c>
      <c r="G159" s="631" t="s">
        <v>1600</v>
      </c>
      <c r="H159" s="628" t="s">
        <v>1809</v>
      </c>
      <c r="I159" s="632">
        <v>15168</v>
      </c>
      <c r="J159" s="631" t="s">
        <v>1599</v>
      </c>
      <c r="K159" s="633">
        <v>3810</v>
      </c>
      <c r="L159" s="643">
        <f t="shared" si="3"/>
        <v>18786.400000000001</v>
      </c>
      <c r="M159" s="901">
        <v>22596.400000000001</v>
      </c>
      <c r="N159" s="912">
        <v>15019.2</v>
      </c>
      <c r="O159" s="618">
        <v>0</v>
      </c>
      <c r="P159" s="644">
        <v>100</v>
      </c>
    </row>
    <row r="160" spans="1:16" ht="15.75" customHeight="1">
      <c r="A160" s="634" t="s">
        <v>1990</v>
      </c>
      <c r="B160" s="635">
        <v>44992</v>
      </c>
      <c r="C160" s="636" t="s">
        <v>1597</v>
      </c>
      <c r="D160" s="636" t="s">
        <v>1598</v>
      </c>
      <c r="E160" s="637">
        <v>11.9</v>
      </c>
      <c r="F160" s="634" t="s">
        <v>1599</v>
      </c>
      <c r="G160" s="638" t="s">
        <v>1600</v>
      </c>
      <c r="H160" s="634" t="s">
        <v>1809</v>
      </c>
      <c r="I160" s="639">
        <v>15168</v>
      </c>
      <c r="J160" s="638" t="s">
        <v>1599</v>
      </c>
      <c r="K160" s="640">
        <v>3890</v>
      </c>
      <c r="L160" s="645">
        <f t="shared" si="3"/>
        <v>18727</v>
      </c>
      <c r="M160" s="902">
        <v>22617</v>
      </c>
      <c r="N160" s="911">
        <v>14962.5</v>
      </c>
      <c r="O160" s="636">
        <v>0</v>
      </c>
      <c r="P160" s="646">
        <v>100</v>
      </c>
    </row>
    <row r="161" spans="1:16" ht="15.75" customHeight="1">
      <c r="A161" s="628" t="s">
        <v>1991</v>
      </c>
      <c r="B161" s="629">
        <v>44992</v>
      </c>
      <c r="C161" s="618" t="s">
        <v>1597</v>
      </c>
      <c r="D161" s="618" t="s">
        <v>1598</v>
      </c>
      <c r="E161" s="630">
        <v>6.2</v>
      </c>
      <c r="F161" s="628" t="s">
        <v>1599</v>
      </c>
      <c r="G161" s="631" t="s">
        <v>1600</v>
      </c>
      <c r="H161" s="628" t="s">
        <v>1809</v>
      </c>
      <c r="I161" s="632">
        <v>15168</v>
      </c>
      <c r="J161" s="631" t="s">
        <v>1599</v>
      </c>
      <c r="K161" s="633">
        <v>3870</v>
      </c>
      <c r="L161" s="643">
        <f t="shared" si="3"/>
        <v>18786.400000000001</v>
      </c>
      <c r="M161" s="901">
        <v>22656.400000000001</v>
      </c>
      <c r="N161" s="912">
        <v>15019.2</v>
      </c>
      <c r="O161" s="618">
        <v>0</v>
      </c>
      <c r="P161" s="644">
        <v>100</v>
      </c>
    </row>
    <row r="162" spans="1:16" ht="15.75" customHeight="1">
      <c r="A162" s="634" t="s">
        <v>1992</v>
      </c>
      <c r="B162" s="635">
        <v>44994</v>
      </c>
      <c r="C162" s="636" t="s">
        <v>1597</v>
      </c>
      <c r="D162" s="636" t="s">
        <v>1598</v>
      </c>
      <c r="E162" s="637">
        <v>7.1</v>
      </c>
      <c r="F162" s="634" t="s">
        <v>1599</v>
      </c>
      <c r="G162" s="638" t="s">
        <v>1600</v>
      </c>
      <c r="H162" s="634" t="s">
        <v>1809</v>
      </c>
      <c r="I162" s="639">
        <v>15168</v>
      </c>
      <c r="J162" s="638" t="s">
        <v>1599</v>
      </c>
      <c r="K162" s="640">
        <v>3700</v>
      </c>
      <c r="L162" s="645">
        <f t="shared" si="3"/>
        <v>16070.119999999999</v>
      </c>
      <c r="M162" s="902">
        <v>19770.12</v>
      </c>
      <c r="N162" s="911">
        <v>13384.62</v>
      </c>
      <c r="O162" s="636">
        <v>0</v>
      </c>
      <c r="P162" s="646">
        <v>100</v>
      </c>
    </row>
    <row r="163" spans="1:16" ht="15.75" customHeight="1">
      <c r="A163" s="628" t="s">
        <v>1993</v>
      </c>
      <c r="B163" s="629">
        <v>44992</v>
      </c>
      <c r="C163" s="618" t="s">
        <v>1597</v>
      </c>
      <c r="D163" s="618" t="s">
        <v>1598</v>
      </c>
      <c r="E163" s="630">
        <v>7.1</v>
      </c>
      <c r="F163" s="628" t="s">
        <v>1599</v>
      </c>
      <c r="G163" s="631" t="s">
        <v>1600</v>
      </c>
      <c r="H163" s="628" t="s">
        <v>1836</v>
      </c>
      <c r="I163" s="632">
        <v>14544</v>
      </c>
      <c r="J163" s="631" t="s">
        <v>1599</v>
      </c>
      <c r="K163" s="633">
        <v>3900</v>
      </c>
      <c r="L163" s="643">
        <f t="shared" si="3"/>
        <v>14839</v>
      </c>
      <c r="M163" s="901">
        <v>18739</v>
      </c>
      <c r="N163" s="912">
        <v>12511.2</v>
      </c>
      <c r="O163" s="618">
        <v>0</v>
      </c>
      <c r="P163" s="644">
        <v>100</v>
      </c>
    </row>
    <row r="164" spans="1:16" ht="15.75" customHeight="1">
      <c r="A164" s="634" t="s">
        <v>1994</v>
      </c>
      <c r="B164" s="635">
        <v>44988</v>
      </c>
      <c r="C164" s="636" t="s">
        <v>1597</v>
      </c>
      <c r="D164" s="636" t="s">
        <v>1598</v>
      </c>
      <c r="E164" s="637">
        <v>11.9</v>
      </c>
      <c r="F164" s="634" t="s">
        <v>1599</v>
      </c>
      <c r="G164" s="638" t="s">
        <v>1600</v>
      </c>
      <c r="H164" s="634" t="s">
        <v>1912</v>
      </c>
      <c r="I164" s="639">
        <v>4929</v>
      </c>
      <c r="J164" s="638" t="s">
        <v>1599</v>
      </c>
      <c r="K164" s="640">
        <v>3690</v>
      </c>
      <c r="L164" s="645">
        <f t="shared" si="3"/>
        <v>16073.099999999999</v>
      </c>
      <c r="M164" s="902">
        <v>19763.099999999999</v>
      </c>
      <c r="N164" s="911">
        <v>14123.12</v>
      </c>
      <c r="O164" s="636">
        <v>0</v>
      </c>
      <c r="P164" s="646">
        <v>100</v>
      </c>
    </row>
    <row r="165" spans="1:16" ht="15.75" customHeight="1">
      <c r="A165" s="628" t="s">
        <v>1995</v>
      </c>
      <c r="B165" s="629">
        <v>44988</v>
      </c>
      <c r="C165" s="618" t="s">
        <v>1597</v>
      </c>
      <c r="D165" s="618" t="s">
        <v>1598</v>
      </c>
      <c r="E165" s="630">
        <v>11.9</v>
      </c>
      <c r="F165" s="628" t="s">
        <v>1599</v>
      </c>
      <c r="G165" s="631" t="s">
        <v>1600</v>
      </c>
      <c r="H165" s="628" t="s">
        <v>1912</v>
      </c>
      <c r="I165" s="632">
        <v>4929</v>
      </c>
      <c r="J165" s="631" t="s">
        <v>1599</v>
      </c>
      <c r="K165" s="633">
        <v>3540</v>
      </c>
      <c r="L165" s="643">
        <f t="shared" si="3"/>
        <v>15102.599999999999</v>
      </c>
      <c r="M165" s="901">
        <v>18642.599999999999</v>
      </c>
      <c r="N165" s="912">
        <v>13606.32</v>
      </c>
      <c r="O165" s="618">
        <v>0</v>
      </c>
      <c r="P165" s="644">
        <v>100</v>
      </c>
    </row>
    <row r="166" spans="1:16" ht="15.75" customHeight="1">
      <c r="A166" s="634" t="s">
        <v>1996</v>
      </c>
      <c r="B166" s="635">
        <v>44988</v>
      </c>
      <c r="C166" s="636" t="s">
        <v>1597</v>
      </c>
      <c r="D166" s="636" t="s">
        <v>1598</v>
      </c>
      <c r="E166" s="637">
        <v>11.9</v>
      </c>
      <c r="F166" s="634" t="s">
        <v>1599</v>
      </c>
      <c r="G166" s="638" t="s">
        <v>1600</v>
      </c>
      <c r="H166" s="634" t="s">
        <v>1912</v>
      </c>
      <c r="I166" s="639">
        <v>4929</v>
      </c>
      <c r="J166" s="638" t="s">
        <v>1599</v>
      </c>
      <c r="K166" s="640">
        <v>3640</v>
      </c>
      <c r="L166" s="645">
        <f t="shared" si="3"/>
        <v>13216.439999999999</v>
      </c>
      <c r="M166" s="902">
        <v>16856.439999999999</v>
      </c>
      <c r="N166" s="911">
        <v>10742.56</v>
      </c>
      <c r="O166" s="636">
        <v>0</v>
      </c>
      <c r="P166" s="646">
        <v>100</v>
      </c>
    </row>
    <row r="167" spans="1:16" ht="15.75" customHeight="1">
      <c r="A167" s="628" t="s">
        <v>1997</v>
      </c>
      <c r="B167" s="629">
        <v>44993</v>
      </c>
      <c r="C167" s="618" t="s">
        <v>1597</v>
      </c>
      <c r="D167" s="618" t="s">
        <v>1598</v>
      </c>
      <c r="E167" s="630">
        <v>5.2</v>
      </c>
      <c r="F167" s="628" t="s">
        <v>1599</v>
      </c>
      <c r="G167" s="631" t="s">
        <v>1600</v>
      </c>
      <c r="H167" s="628" t="s">
        <v>1825</v>
      </c>
      <c r="I167" s="632">
        <v>15486</v>
      </c>
      <c r="J167" s="631" t="s">
        <v>1599</v>
      </c>
      <c r="K167" s="633">
        <v>3760</v>
      </c>
      <c r="L167" s="643">
        <f t="shared" si="3"/>
        <v>11106.64</v>
      </c>
      <c r="M167" s="901">
        <v>14866.64</v>
      </c>
      <c r="N167" s="912">
        <v>8256.48</v>
      </c>
      <c r="O167" s="618">
        <v>0</v>
      </c>
      <c r="P167" s="644">
        <v>100</v>
      </c>
    </row>
    <row r="168" spans="1:16" ht="15.75" customHeight="1">
      <c r="A168" s="634" t="s">
        <v>1998</v>
      </c>
      <c r="B168" s="635">
        <v>44992</v>
      </c>
      <c r="C168" s="636" t="s">
        <v>1597</v>
      </c>
      <c r="D168" s="636" t="s">
        <v>1598</v>
      </c>
      <c r="E168" s="637">
        <v>7.1</v>
      </c>
      <c r="F168" s="634" t="s">
        <v>1599</v>
      </c>
      <c r="G168" s="638" t="s">
        <v>1600</v>
      </c>
      <c r="H168" s="634" t="s">
        <v>1884</v>
      </c>
      <c r="I168" s="639">
        <v>13413</v>
      </c>
      <c r="J168" s="638" t="s">
        <v>1599</v>
      </c>
      <c r="K168" s="640">
        <v>3900</v>
      </c>
      <c r="L168" s="645">
        <f t="shared" si="3"/>
        <v>19071.599999999999</v>
      </c>
      <c r="M168" s="902">
        <v>22971.599999999999</v>
      </c>
      <c r="N168" s="911">
        <v>15602.4</v>
      </c>
      <c r="O168" s="636">
        <v>0</v>
      </c>
      <c r="P168" s="646">
        <v>100</v>
      </c>
    </row>
    <row r="169" spans="1:16" ht="15.75" customHeight="1">
      <c r="A169" s="628" t="s">
        <v>1999</v>
      </c>
      <c r="B169" s="629">
        <v>44998</v>
      </c>
      <c r="C169" s="618" t="s">
        <v>1597</v>
      </c>
      <c r="D169" s="618" t="s">
        <v>1598</v>
      </c>
      <c r="E169" s="630">
        <v>6.5</v>
      </c>
      <c r="F169" s="628" t="s">
        <v>1599</v>
      </c>
      <c r="G169" s="631" t="s">
        <v>1600</v>
      </c>
      <c r="H169" s="628" t="s">
        <v>1880</v>
      </c>
      <c r="I169" s="632">
        <v>13558</v>
      </c>
      <c r="J169" s="631" t="s">
        <v>1599</v>
      </c>
      <c r="K169" s="633">
        <v>3700</v>
      </c>
      <c r="L169" s="643">
        <f t="shared" si="3"/>
        <v>17115</v>
      </c>
      <c r="M169" s="901">
        <v>20815</v>
      </c>
      <c r="N169" s="912">
        <v>13187</v>
      </c>
      <c r="O169" s="618">
        <v>0</v>
      </c>
      <c r="P169" s="644">
        <v>100</v>
      </c>
    </row>
    <row r="170" spans="1:16" ht="15.75" customHeight="1">
      <c r="A170" s="634" t="s">
        <v>2000</v>
      </c>
      <c r="B170" s="635">
        <v>44992</v>
      </c>
      <c r="C170" s="636" t="s">
        <v>1597</v>
      </c>
      <c r="D170" s="636" t="s">
        <v>1598</v>
      </c>
      <c r="E170" s="637">
        <v>11.9</v>
      </c>
      <c r="F170" s="634" t="s">
        <v>1599</v>
      </c>
      <c r="G170" s="638" t="s">
        <v>1600</v>
      </c>
      <c r="H170" s="634" t="s">
        <v>1807</v>
      </c>
      <c r="I170" s="639">
        <v>1734</v>
      </c>
      <c r="J170" s="638" t="s">
        <v>1599</v>
      </c>
      <c r="K170" s="640">
        <v>3600</v>
      </c>
      <c r="L170" s="645">
        <f t="shared" si="3"/>
        <v>11610.5</v>
      </c>
      <c r="M170" s="902">
        <v>15210.5</v>
      </c>
      <c r="N170" s="911">
        <v>8827.2000000000007</v>
      </c>
      <c r="O170" s="636">
        <v>0</v>
      </c>
      <c r="P170" s="646">
        <v>100</v>
      </c>
    </row>
    <row r="171" spans="1:16" ht="15.75" customHeight="1">
      <c r="A171" s="628" t="s">
        <v>2001</v>
      </c>
      <c r="B171" s="629">
        <v>45002</v>
      </c>
      <c r="C171" s="618" t="s">
        <v>1597</v>
      </c>
      <c r="D171" s="618" t="s">
        <v>1598</v>
      </c>
      <c r="E171" s="630">
        <v>6</v>
      </c>
      <c r="F171" s="628" t="s">
        <v>1599</v>
      </c>
      <c r="G171" s="631" t="s">
        <v>1600</v>
      </c>
      <c r="H171" s="628" t="s">
        <v>1818</v>
      </c>
      <c r="I171" s="632">
        <v>14000</v>
      </c>
      <c r="J171" s="631" t="s">
        <v>1599</v>
      </c>
      <c r="K171" s="633">
        <v>3730</v>
      </c>
      <c r="L171" s="643">
        <f t="shared" si="3"/>
        <v>17407.7</v>
      </c>
      <c r="M171" s="901">
        <v>21137.7</v>
      </c>
      <c r="N171" s="912">
        <v>15179.34</v>
      </c>
      <c r="O171" s="618">
        <v>0</v>
      </c>
      <c r="P171" s="644">
        <v>100</v>
      </c>
    </row>
    <row r="172" spans="1:16" ht="15.75" customHeight="1">
      <c r="A172" s="634" t="s">
        <v>2002</v>
      </c>
      <c r="B172" s="635">
        <v>44994</v>
      </c>
      <c r="C172" s="636" t="s">
        <v>1597</v>
      </c>
      <c r="D172" s="636" t="s">
        <v>1598</v>
      </c>
      <c r="E172" s="637">
        <v>4.0999999999999996</v>
      </c>
      <c r="F172" s="634" t="s">
        <v>1599</v>
      </c>
      <c r="G172" s="638" t="s">
        <v>1600</v>
      </c>
      <c r="H172" s="634" t="s">
        <v>2003</v>
      </c>
      <c r="I172" s="639">
        <v>9292</v>
      </c>
      <c r="J172" s="638" t="s">
        <v>1599</v>
      </c>
      <c r="K172" s="640">
        <v>3795</v>
      </c>
      <c r="L172" s="645">
        <f t="shared" si="3"/>
        <v>11493.1</v>
      </c>
      <c r="M172" s="902">
        <v>15288.1</v>
      </c>
      <c r="N172" s="911">
        <v>7386</v>
      </c>
      <c r="O172" s="636">
        <v>0</v>
      </c>
      <c r="P172" s="646">
        <v>100</v>
      </c>
    </row>
    <row r="173" spans="1:16" ht="15.75" customHeight="1">
      <c r="A173" s="628" t="s">
        <v>2004</v>
      </c>
      <c r="B173" s="629">
        <v>45002</v>
      </c>
      <c r="C173" s="618" t="s">
        <v>1597</v>
      </c>
      <c r="D173" s="618" t="s">
        <v>1598</v>
      </c>
      <c r="E173" s="630">
        <v>6.5</v>
      </c>
      <c r="F173" s="628" t="s">
        <v>1599</v>
      </c>
      <c r="G173" s="631" t="s">
        <v>1600</v>
      </c>
      <c r="H173" s="628" t="s">
        <v>1850</v>
      </c>
      <c r="I173" s="632">
        <v>9687</v>
      </c>
      <c r="J173" s="631" t="s">
        <v>1599</v>
      </c>
      <c r="K173" s="633">
        <v>3650</v>
      </c>
      <c r="L173" s="643">
        <f t="shared" si="3"/>
        <v>25027</v>
      </c>
      <c r="M173" s="901">
        <v>28677</v>
      </c>
      <c r="N173" s="912">
        <v>23842</v>
      </c>
      <c r="O173" s="618">
        <v>0</v>
      </c>
      <c r="P173" s="644">
        <v>100</v>
      </c>
    </row>
    <row r="174" spans="1:16" ht="15.75" customHeight="1">
      <c r="A174" s="634" t="s">
        <v>2005</v>
      </c>
      <c r="B174" s="635">
        <v>44993</v>
      </c>
      <c r="C174" s="636" t="s">
        <v>1597</v>
      </c>
      <c r="D174" s="636" t="s">
        <v>1598</v>
      </c>
      <c r="E174" s="637">
        <v>11.9</v>
      </c>
      <c r="F174" s="634" t="s">
        <v>1599</v>
      </c>
      <c r="G174" s="638" t="s">
        <v>1600</v>
      </c>
      <c r="H174" s="634" t="s">
        <v>1866</v>
      </c>
      <c r="I174" s="639">
        <v>2597</v>
      </c>
      <c r="J174" s="638" t="s">
        <v>1599</v>
      </c>
      <c r="K174" s="640">
        <v>2190</v>
      </c>
      <c r="L174" s="645">
        <f t="shared" si="3"/>
        <v>4142</v>
      </c>
      <c r="M174" s="902">
        <v>6332</v>
      </c>
      <c r="N174" s="911">
        <v>3015.5</v>
      </c>
      <c r="O174" s="636">
        <v>0</v>
      </c>
      <c r="P174" s="646">
        <v>100</v>
      </c>
    </row>
    <row r="175" spans="1:16" ht="15.75" customHeight="1">
      <c r="A175" s="628" t="s">
        <v>2006</v>
      </c>
      <c r="B175" s="629">
        <v>44993</v>
      </c>
      <c r="C175" s="618" t="s">
        <v>1597</v>
      </c>
      <c r="D175" s="618" t="s">
        <v>1598</v>
      </c>
      <c r="E175" s="630">
        <v>5.2</v>
      </c>
      <c r="F175" s="628" t="s">
        <v>1599</v>
      </c>
      <c r="G175" s="631" t="s">
        <v>1600</v>
      </c>
      <c r="H175" s="628" t="s">
        <v>1798</v>
      </c>
      <c r="I175" s="632">
        <v>1931</v>
      </c>
      <c r="J175" s="631" t="s">
        <v>1599</v>
      </c>
      <c r="K175" s="633">
        <v>4762</v>
      </c>
      <c r="L175" s="643">
        <f t="shared" si="3"/>
        <v>969</v>
      </c>
      <c r="M175" s="901">
        <v>5731</v>
      </c>
      <c r="N175" s="912">
        <v>4762</v>
      </c>
      <c r="O175" s="618">
        <v>0</v>
      </c>
      <c r="P175" s="644">
        <v>100</v>
      </c>
    </row>
    <row r="176" spans="1:16" ht="15.75" customHeight="1">
      <c r="A176" s="634" t="s">
        <v>2007</v>
      </c>
      <c r="B176" s="635">
        <v>44995</v>
      </c>
      <c r="C176" s="636" t="s">
        <v>1597</v>
      </c>
      <c r="D176" s="636" t="s">
        <v>1598</v>
      </c>
      <c r="E176" s="637">
        <v>6</v>
      </c>
      <c r="F176" s="634" t="s">
        <v>1599</v>
      </c>
      <c r="G176" s="638" t="s">
        <v>1600</v>
      </c>
      <c r="H176" s="634" t="s">
        <v>1838</v>
      </c>
      <c r="I176" s="639">
        <v>4972</v>
      </c>
      <c r="J176" s="638" t="s">
        <v>1599</v>
      </c>
      <c r="K176" s="640">
        <v>2265</v>
      </c>
      <c r="L176" s="645">
        <f t="shared" si="3"/>
        <v>7232</v>
      </c>
      <c r="M176" s="902">
        <v>9497</v>
      </c>
      <c r="N176" s="911">
        <v>5913</v>
      </c>
      <c r="O176" s="636">
        <v>0</v>
      </c>
      <c r="P176" s="646">
        <v>100</v>
      </c>
    </row>
    <row r="177" spans="1:16" ht="15.75" customHeight="1">
      <c r="A177" s="628" t="s">
        <v>2008</v>
      </c>
      <c r="B177" s="629">
        <v>44999</v>
      </c>
      <c r="C177" s="618" t="s">
        <v>1597</v>
      </c>
      <c r="D177" s="618" t="s">
        <v>1598</v>
      </c>
      <c r="E177" s="630">
        <v>7.1</v>
      </c>
      <c r="F177" s="628" t="s">
        <v>1599</v>
      </c>
      <c r="G177" s="631" t="s">
        <v>1600</v>
      </c>
      <c r="H177" s="628" t="s">
        <v>1886</v>
      </c>
      <c r="I177" s="632">
        <v>13877</v>
      </c>
      <c r="J177" s="631" t="s">
        <v>1599</v>
      </c>
      <c r="K177" s="633">
        <v>3900</v>
      </c>
      <c r="L177" s="643">
        <f t="shared" si="3"/>
        <v>10189.799999999999</v>
      </c>
      <c r="M177" s="901">
        <v>14089.8</v>
      </c>
      <c r="N177" s="912">
        <v>7660</v>
      </c>
      <c r="O177" s="618">
        <v>0</v>
      </c>
      <c r="P177" s="644">
        <v>100</v>
      </c>
    </row>
    <row r="178" spans="1:16" ht="15.75" customHeight="1">
      <c r="A178" s="634" t="s">
        <v>2009</v>
      </c>
      <c r="B178" s="635">
        <v>44999</v>
      </c>
      <c r="C178" s="636" t="s">
        <v>1597</v>
      </c>
      <c r="D178" s="636" t="s">
        <v>1598</v>
      </c>
      <c r="E178" s="637">
        <v>7.1</v>
      </c>
      <c r="F178" s="634" t="s">
        <v>1599</v>
      </c>
      <c r="G178" s="638" t="s">
        <v>1600</v>
      </c>
      <c r="H178" s="634" t="s">
        <v>1886</v>
      </c>
      <c r="I178" s="639">
        <v>13877</v>
      </c>
      <c r="J178" s="638" t="s">
        <v>1599</v>
      </c>
      <c r="K178" s="640">
        <v>3840</v>
      </c>
      <c r="L178" s="645">
        <f t="shared" si="3"/>
        <v>19599.5</v>
      </c>
      <c r="M178" s="902">
        <v>23439.5</v>
      </c>
      <c r="N178" s="911">
        <v>15795</v>
      </c>
      <c r="O178" s="636">
        <v>0</v>
      </c>
      <c r="P178" s="646">
        <v>100</v>
      </c>
    </row>
    <row r="179" spans="1:16" ht="15.75" customHeight="1">
      <c r="A179" s="628" t="s">
        <v>2010</v>
      </c>
      <c r="B179" s="629">
        <v>45002</v>
      </c>
      <c r="C179" s="618" t="s">
        <v>1597</v>
      </c>
      <c r="D179" s="618" t="s">
        <v>1598</v>
      </c>
      <c r="E179" s="630">
        <v>7.1</v>
      </c>
      <c r="F179" s="628" t="s">
        <v>1599</v>
      </c>
      <c r="G179" s="631" t="s">
        <v>1600</v>
      </c>
      <c r="H179" s="628" t="s">
        <v>1886</v>
      </c>
      <c r="I179" s="632">
        <v>13877</v>
      </c>
      <c r="J179" s="631" t="s">
        <v>1599</v>
      </c>
      <c r="K179" s="633">
        <v>3840</v>
      </c>
      <c r="L179" s="643">
        <f t="shared" si="3"/>
        <v>10726</v>
      </c>
      <c r="M179" s="901">
        <v>14566</v>
      </c>
      <c r="N179" s="912">
        <v>8196.2000000000007</v>
      </c>
      <c r="O179" s="618">
        <v>0</v>
      </c>
      <c r="P179" s="644">
        <v>100</v>
      </c>
    </row>
    <row r="180" spans="1:16" ht="15.75" customHeight="1">
      <c r="A180" s="634" t="s">
        <v>2011</v>
      </c>
      <c r="B180" s="635">
        <v>45000</v>
      </c>
      <c r="C180" s="636" t="s">
        <v>1597</v>
      </c>
      <c r="D180" s="636" t="s">
        <v>1598</v>
      </c>
      <c r="E180" s="637">
        <v>7.1</v>
      </c>
      <c r="F180" s="634" t="s">
        <v>1599</v>
      </c>
      <c r="G180" s="638" t="s">
        <v>1600</v>
      </c>
      <c r="H180" s="634" t="s">
        <v>1886</v>
      </c>
      <c r="I180" s="639">
        <v>13877</v>
      </c>
      <c r="J180" s="638" t="s">
        <v>1599</v>
      </c>
      <c r="K180" s="640">
        <v>3700</v>
      </c>
      <c r="L180" s="645">
        <f t="shared" si="3"/>
        <v>12014</v>
      </c>
      <c r="M180" s="902">
        <v>15714</v>
      </c>
      <c r="N180" s="911">
        <v>8988</v>
      </c>
      <c r="O180" s="636">
        <v>0</v>
      </c>
      <c r="P180" s="646">
        <v>100</v>
      </c>
    </row>
    <row r="181" spans="1:16" ht="15.75" customHeight="1">
      <c r="A181" s="628" t="s">
        <v>2012</v>
      </c>
      <c r="B181" s="629">
        <v>45000</v>
      </c>
      <c r="C181" s="618" t="s">
        <v>1597</v>
      </c>
      <c r="D181" s="618" t="s">
        <v>1598</v>
      </c>
      <c r="E181" s="630">
        <v>7.1</v>
      </c>
      <c r="F181" s="628" t="s">
        <v>1599</v>
      </c>
      <c r="G181" s="631" t="s">
        <v>1600</v>
      </c>
      <c r="H181" s="628" t="s">
        <v>1886</v>
      </c>
      <c r="I181" s="632">
        <v>13877</v>
      </c>
      <c r="J181" s="631" t="s">
        <v>1599</v>
      </c>
      <c r="K181" s="633">
        <v>3700</v>
      </c>
      <c r="L181" s="643">
        <f t="shared" si="3"/>
        <v>10189.799999999999</v>
      </c>
      <c r="M181" s="901">
        <v>13889.8</v>
      </c>
      <c r="N181" s="912">
        <v>7660</v>
      </c>
      <c r="O181" s="618">
        <v>0</v>
      </c>
      <c r="P181" s="644">
        <v>100</v>
      </c>
    </row>
    <row r="182" spans="1:16" ht="15.75" customHeight="1">
      <c r="A182" s="634" t="s">
        <v>2013</v>
      </c>
      <c r="B182" s="635">
        <v>45002</v>
      </c>
      <c r="C182" s="636" t="s">
        <v>1597</v>
      </c>
      <c r="D182" s="636" t="s">
        <v>1598</v>
      </c>
      <c r="E182" s="637">
        <v>7.1</v>
      </c>
      <c r="F182" s="634" t="s">
        <v>1599</v>
      </c>
      <c r="G182" s="638" t="s">
        <v>1600</v>
      </c>
      <c r="H182" s="634" t="s">
        <v>1886</v>
      </c>
      <c r="I182" s="639">
        <v>13877</v>
      </c>
      <c r="J182" s="638" t="s">
        <v>1599</v>
      </c>
      <c r="K182" s="640">
        <v>3620</v>
      </c>
      <c r="L182" s="645">
        <f t="shared" si="3"/>
        <v>10213.4</v>
      </c>
      <c r="M182" s="902">
        <v>13833.4</v>
      </c>
      <c r="N182" s="911">
        <v>7356.6</v>
      </c>
      <c r="O182" s="636">
        <v>0</v>
      </c>
      <c r="P182" s="646">
        <v>100</v>
      </c>
    </row>
    <row r="183" spans="1:16" ht="15.75" customHeight="1">
      <c r="A183" s="628" t="s">
        <v>2014</v>
      </c>
      <c r="B183" s="629">
        <v>44998</v>
      </c>
      <c r="C183" s="618" t="s">
        <v>1597</v>
      </c>
      <c r="D183" s="618" t="s">
        <v>1598</v>
      </c>
      <c r="E183" s="630">
        <v>7.1</v>
      </c>
      <c r="F183" s="628" t="s">
        <v>1599</v>
      </c>
      <c r="G183" s="631" t="s">
        <v>1600</v>
      </c>
      <c r="H183" s="628" t="s">
        <v>1893</v>
      </c>
      <c r="I183" s="632">
        <v>2167</v>
      </c>
      <c r="J183" s="631" t="s">
        <v>1599</v>
      </c>
      <c r="K183" s="633">
        <v>2220</v>
      </c>
      <c r="L183" s="643">
        <f t="shared" si="3"/>
        <v>4388.76</v>
      </c>
      <c r="M183" s="901">
        <v>6608.76</v>
      </c>
      <c r="N183" s="912">
        <v>3284.72</v>
      </c>
      <c r="O183" s="618">
        <v>0</v>
      </c>
      <c r="P183" s="644">
        <v>100</v>
      </c>
    </row>
    <row r="184" spans="1:16" ht="15.75" customHeight="1">
      <c r="A184" s="634" t="s">
        <v>2015</v>
      </c>
      <c r="B184" s="635">
        <v>44998</v>
      </c>
      <c r="C184" s="636" t="s">
        <v>1597</v>
      </c>
      <c r="D184" s="636" t="s">
        <v>1598</v>
      </c>
      <c r="E184" s="637">
        <v>7.1</v>
      </c>
      <c r="F184" s="634" t="s">
        <v>1599</v>
      </c>
      <c r="G184" s="638" t="s">
        <v>1600</v>
      </c>
      <c r="H184" s="634" t="s">
        <v>1893</v>
      </c>
      <c r="I184" s="639">
        <v>2167</v>
      </c>
      <c r="J184" s="638" t="s">
        <v>1599</v>
      </c>
      <c r="K184" s="640">
        <v>2330</v>
      </c>
      <c r="L184" s="645">
        <f t="shared" si="3"/>
        <v>4388.76</v>
      </c>
      <c r="M184" s="902">
        <v>6718.76</v>
      </c>
      <c r="N184" s="911">
        <v>3284.72</v>
      </c>
      <c r="O184" s="636">
        <v>0</v>
      </c>
      <c r="P184" s="646">
        <v>100</v>
      </c>
    </row>
    <row r="185" spans="1:16" ht="15.75" customHeight="1">
      <c r="A185" s="628" t="s">
        <v>2016</v>
      </c>
      <c r="B185" s="629">
        <v>44999</v>
      </c>
      <c r="C185" s="618" t="s">
        <v>1597</v>
      </c>
      <c r="D185" s="618" t="s">
        <v>1598</v>
      </c>
      <c r="E185" s="630">
        <v>7.1</v>
      </c>
      <c r="F185" s="628" t="s">
        <v>1599</v>
      </c>
      <c r="G185" s="631" t="s">
        <v>1600</v>
      </c>
      <c r="H185" s="628" t="s">
        <v>1836</v>
      </c>
      <c r="I185" s="632">
        <v>14544</v>
      </c>
      <c r="J185" s="631" t="s">
        <v>1599</v>
      </c>
      <c r="K185" s="633">
        <v>3830</v>
      </c>
      <c r="L185" s="643">
        <f t="shared" si="3"/>
        <v>14839</v>
      </c>
      <c r="M185" s="901">
        <v>18669</v>
      </c>
      <c r="N185" s="912">
        <v>12511.2</v>
      </c>
      <c r="O185" s="618">
        <v>0</v>
      </c>
      <c r="P185" s="644">
        <v>100</v>
      </c>
    </row>
    <row r="186" spans="1:16" ht="15.75" customHeight="1">
      <c r="A186" s="634" t="s">
        <v>2017</v>
      </c>
      <c r="B186" s="635">
        <v>45002</v>
      </c>
      <c r="C186" s="636" t="s">
        <v>1597</v>
      </c>
      <c r="D186" s="636" t="s">
        <v>1598</v>
      </c>
      <c r="E186" s="637">
        <v>7.1</v>
      </c>
      <c r="F186" s="634" t="s">
        <v>1599</v>
      </c>
      <c r="G186" s="638" t="s">
        <v>1600</v>
      </c>
      <c r="H186" s="634" t="s">
        <v>1941</v>
      </c>
      <c r="I186" s="639">
        <v>1588</v>
      </c>
      <c r="J186" s="638" t="s">
        <v>1599</v>
      </c>
      <c r="K186" s="640">
        <v>2200</v>
      </c>
      <c r="L186" s="645">
        <f t="shared" si="3"/>
        <v>4337.28</v>
      </c>
      <c r="M186" s="902">
        <v>6537.28</v>
      </c>
      <c r="N186" s="911">
        <v>3222.92</v>
      </c>
      <c r="O186" s="636">
        <v>0</v>
      </c>
      <c r="P186" s="646">
        <v>100</v>
      </c>
    </row>
    <row r="187" spans="1:16" ht="15.75" customHeight="1">
      <c r="A187" s="628" t="s">
        <v>2018</v>
      </c>
      <c r="B187" s="629">
        <v>45001</v>
      </c>
      <c r="C187" s="618" t="s">
        <v>1597</v>
      </c>
      <c r="D187" s="618" t="s">
        <v>1598</v>
      </c>
      <c r="E187" s="630">
        <v>7.1</v>
      </c>
      <c r="F187" s="628" t="s">
        <v>1599</v>
      </c>
      <c r="G187" s="631" t="s">
        <v>1600</v>
      </c>
      <c r="H187" s="628" t="s">
        <v>1825</v>
      </c>
      <c r="I187" s="632">
        <v>15486</v>
      </c>
      <c r="J187" s="631" t="s">
        <v>1599</v>
      </c>
      <c r="K187" s="633">
        <v>3780</v>
      </c>
      <c r="L187" s="643">
        <f t="shared" si="3"/>
        <v>8878.36</v>
      </c>
      <c r="M187" s="901">
        <v>12658.36</v>
      </c>
      <c r="N187" s="912">
        <v>6402.7</v>
      </c>
      <c r="O187" s="618">
        <v>0</v>
      </c>
      <c r="P187" s="644">
        <v>100</v>
      </c>
    </row>
    <row r="188" spans="1:16" ht="15.75" customHeight="1">
      <c r="A188" s="634" t="s">
        <v>2019</v>
      </c>
      <c r="B188" s="635">
        <v>45001</v>
      </c>
      <c r="C188" s="636" t="s">
        <v>1597</v>
      </c>
      <c r="D188" s="636" t="s">
        <v>1598</v>
      </c>
      <c r="E188" s="637">
        <v>6.2</v>
      </c>
      <c r="F188" s="634" t="s">
        <v>1599</v>
      </c>
      <c r="G188" s="638" t="s">
        <v>1600</v>
      </c>
      <c r="H188" s="634" t="s">
        <v>1884</v>
      </c>
      <c r="I188" s="639">
        <v>13413</v>
      </c>
      <c r="J188" s="638" t="s">
        <v>1599</v>
      </c>
      <c r="K188" s="640">
        <v>3780</v>
      </c>
      <c r="L188" s="645">
        <f t="shared" si="3"/>
        <v>19071.599999999999</v>
      </c>
      <c r="M188" s="902">
        <v>22851.599999999999</v>
      </c>
      <c r="N188" s="911">
        <v>15602.4</v>
      </c>
      <c r="O188" s="636">
        <v>0</v>
      </c>
      <c r="P188" s="646">
        <v>100</v>
      </c>
    </row>
    <row r="189" spans="1:16" ht="15.75" customHeight="1">
      <c r="A189" s="628" t="s">
        <v>2020</v>
      </c>
      <c r="B189" s="629">
        <v>45002</v>
      </c>
      <c r="C189" s="618" t="s">
        <v>1597</v>
      </c>
      <c r="D189" s="618" t="s">
        <v>1598</v>
      </c>
      <c r="E189" s="630">
        <v>6.5</v>
      </c>
      <c r="F189" s="628" t="s">
        <v>1599</v>
      </c>
      <c r="G189" s="631" t="s">
        <v>1600</v>
      </c>
      <c r="H189" s="628" t="s">
        <v>1963</v>
      </c>
      <c r="I189" s="632">
        <v>14253</v>
      </c>
      <c r="J189" s="631" t="s">
        <v>1599</v>
      </c>
      <c r="K189" s="633">
        <v>3900</v>
      </c>
      <c r="L189" s="643">
        <f t="shared" si="3"/>
        <v>11424.08</v>
      </c>
      <c r="M189" s="901">
        <v>15324.08</v>
      </c>
      <c r="N189" s="912">
        <v>8558.64</v>
      </c>
      <c r="O189" s="618">
        <v>0</v>
      </c>
      <c r="P189" s="644">
        <v>100</v>
      </c>
    </row>
    <row r="190" spans="1:16" ht="15.75" customHeight="1">
      <c r="A190" s="634" t="s">
        <v>2021</v>
      </c>
      <c r="B190" s="635">
        <v>45005</v>
      </c>
      <c r="C190" s="636" t="s">
        <v>1597</v>
      </c>
      <c r="D190" s="636" t="s">
        <v>1598</v>
      </c>
      <c r="E190" s="637">
        <v>6.5</v>
      </c>
      <c r="F190" s="634" t="s">
        <v>1599</v>
      </c>
      <c r="G190" s="638" t="s">
        <v>1600</v>
      </c>
      <c r="H190" s="634" t="s">
        <v>1850</v>
      </c>
      <c r="I190" s="639">
        <v>9687</v>
      </c>
      <c r="J190" s="638" t="s">
        <v>1599</v>
      </c>
      <c r="K190" s="640">
        <v>3670</v>
      </c>
      <c r="L190" s="645">
        <f t="shared" si="3"/>
        <v>19465.5</v>
      </c>
      <c r="M190" s="902">
        <v>23135.5</v>
      </c>
      <c r="N190" s="911">
        <v>18402.3</v>
      </c>
      <c r="O190" s="636">
        <v>0</v>
      </c>
      <c r="P190" s="646">
        <v>100</v>
      </c>
    </row>
    <row r="191" spans="1:16" ht="15.75" customHeight="1">
      <c r="A191" s="628" t="s">
        <v>2022</v>
      </c>
      <c r="B191" s="629">
        <v>45005</v>
      </c>
      <c r="C191" s="618" t="s">
        <v>1597</v>
      </c>
      <c r="D191" s="618" t="s">
        <v>1598</v>
      </c>
      <c r="E191" s="630">
        <v>11.7</v>
      </c>
      <c r="F191" s="628" t="s">
        <v>1599</v>
      </c>
      <c r="G191" s="631" t="s">
        <v>1600</v>
      </c>
      <c r="H191" s="628" t="s">
        <v>1965</v>
      </c>
      <c r="I191" s="632">
        <v>5092</v>
      </c>
      <c r="J191" s="631" t="s">
        <v>1599</v>
      </c>
      <c r="K191" s="633">
        <v>2200</v>
      </c>
      <c r="L191" s="643">
        <f t="shared" si="3"/>
        <v>5625.4</v>
      </c>
      <c r="M191" s="901">
        <v>7825.4</v>
      </c>
      <c r="N191" s="912">
        <v>4613.8999999999996</v>
      </c>
      <c r="O191" s="618">
        <v>0</v>
      </c>
      <c r="P191" s="644">
        <v>100</v>
      </c>
    </row>
    <row r="192" spans="1:16" ht="15.75" customHeight="1">
      <c r="A192" s="634" t="s">
        <v>2023</v>
      </c>
      <c r="B192" s="635">
        <v>45006</v>
      </c>
      <c r="C192" s="636" t="s">
        <v>1597</v>
      </c>
      <c r="D192" s="636" t="s">
        <v>1598</v>
      </c>
      <c r="E192" s="637">
        <v>6.5</v>
      </c>
      <c r="F192" s="634" t="s">
        <v>1599</v>
      </c>
      <c r="G192" s="638" t="s">
        <v>1600</v>
      </c>
      <c r="H192" s="634" t="s">
        <v>1809</v>
      </c>
      <c r="I192" s="639">
        <v>15168</v>
      </c>
      <c r="J192" s="638" t="s">
        <v>1599</v>
      </c>
      <c r="K192" s="640">
        <v>3810</v>
      </c>
      <c r="L192" s="645">
        <f t="shared" si="3"/>
        <v>-1634.6</v>
      </c>
      <c r="M192" s="902">
        <v>2175.4</v>
      </c>
      <c r="N192" s="911">
        <v>15019.2</v>
      </c>
      <c r="O192" s="636">
        <v>0</v>
      </c>
      <c r="P192" s="646">
        <v>100</v>
      </c>
    </row>
    <row r="193" spans="1:16" ht="15.75" customHeight="1">
      <c r="A193" s="628" t="s">
        <v>2024</v>
      </c>
      <c r="B193" s="629">
        <v>45006</v>
      </c>
      <c r="C193" s="618" t="s">
        <v>1597</v>
      </c>
      <c r="D193" s="618" t="s">
        <v>1598</v>
      </c>
      <c r="E193" s="630">
        <v>6.2</v>
      </c>
      <c r="F193" s="628" t="s">
        <v>1599</v>
      </c>
      <c r="G193" s="631" t="s">
        <v>1600</v>
      </c>
      <c r="H193" s="628" t="s">
        <v>1809</v>
      </c>
      <c r="I193" s="632">
        <v>15168</v>
      </c>
      <c r="J193" s="631" t="s">
        <v>1599</v>
      </c>
      <c r="K193" s="633">
        <v>3860</v>
      </c>
      <c r="L193" s="643">
        <f t="shared" si="3"/>
        <v>18909.400000000001</v>
      </c>
      <c r="M193" s="901">
        <v>22769.4</v>
      </c>
      <c r="N193" s="912">
        <v>15019.2</v>
      </c>
      <c r="O193" s="618">
        <v>0</v>
      </c>
      <c r="P193" s="644">
        <v>100</v>
      </c>
    </row>
    <row r="194" spans="1:16" ht="15.75" customHeight="1">
      <c r="A194" s="634" t="s">
        <v>2025</v>
      </c>
      <c r="B194" s="635">
        <v>45007</v>
      </c>
      <c r="C194" s="636" t="s">
        <v>1597</v>
      </c>
      <c r="D194" s="636" t="s">
        <v>1598</v>
      </c>
      <c r="E194" s="637">
        <v>6.2</v>
      </c>
      <c r="F194" s="634" t="s">
        <v>1599</v>
      </c>
      <c r="G194" s="638" t="s">
        <v>1600</v>
      </c>
      <c r="H194" s="634" t="s">
        <v>1828</v>
      </c>
      <c r="I194" s="639">
        <v>7448</v>
      </c>
      <c r="J194" s="638" t="s">
        <v>1599</v>
      </c>
      <c r="K194" s="640">
        <v>3850</v>
      </c>
      <c r="L194" s="645">
        <f t="shared" si="3"/>
        <v>23572</v>
      </c>
      <c r="M194" s="902">
        <v>27422</v>
      </c>
      <c r="N194" s="911">
        <v>19211</v>
      </c>
      <c r="O194" s="636">
        <v>0</v>
      </c>
      <c r="P194" s="646">
        <v>100</v>
      </c>
    </row>
    <row r="195" spans="1:16" ht="15.75" customHeight="1">
      <c r="A195" s="628" t="s">
        <v>2026</v>
      </c>
      <c r="B195" s="629">
        <v>45007</v>
      </c>
      <c r="C195" s="618" t="s">
        <v>1597</v>
      </c>
      <c r="D195" s="618" t="s">
        <v>1598</v>
      </c>
      <c r="E195" s="630">
        <v>6.2</v>
      </c>
      <c r="F195" s="628" t="s">
        <v>1599</v>
      </c>
      <c r="G195" s="631" t="s">
        <v>1600</v>
      </c>
      <c r="H195" s="628" t="s">
        <v>1828</v>
      </c>
      <c r="I195" s="632">
        <v>7448</v>
      </c>
      <c r="J195" s="631" t="s">
        <v>1599</v>
      </c>
      <c r="K195" s="633">
        <v>3900</v>
      </c>
      <c r="L195" s="643">
        <f t="shared" si="3"/>
        <v>24267</v>
      </c>
      <c r="M195" s="901">
        <v>28167</v>
      </c>
      <c r="N195" s="912">
        <v>20305</v>
      </c>
      <c r="O195" s="618">
        <v>0</v>
      </c>
      <c r="P195" s="644">
        <v>100</v>
      </c>
    </row>
    <row r="196" spans="1:16" ht="15.75" customHeight="1">
      <c r="A196" s="634" t="s">
        <v>2027</v>
      </c>
      <c r="B196" s="635">
        <v>45007</v>
      </c>
      <c r="C196" s="636" t="s">
        <v>1597</v>
      </c>
      <c r="D196" s="636" t="s">
        <v>1598</v>
      </c>
      <c r="E196" s="637">
        <v>6.2</v>
      </c>
      <c r="F196" s="634" t="s">
        <v>1599</v>
      </c>
      <c r="G196" s="638" t="s">
        <v>1600</v>
      </c>
      <c r="H196" s="634" t="s">
        <v>1828</v>
      </c>
      <c r="I196" s="639">
        <v>7448</v>
      </c>
      <c r="J196" s="638" t="s">
        <v>1599</v>
      </c>
      <c r="K196" s="640">
        <v>3840</v>
      </c>
      <c r="L196" s="645">
        <f t="shared" si="3"/>
        <v>24152</v>
      </c>
      <c r="M196" s="902">
        <v>27992</v>
      </c>
      <c r="N196" s="911">
        <v>22287</v>
      </c>
      <c r="O196" s="636">
        <v>0</v>
      </c>
      <c r="P196" s="646">
        <v>100</v>
      </c>
    </row>
    <row r="197" spans="1:16" ht="15.75" customHeight="1">
      <c r="A197" s="628" t="s">
        <v>2028</v>
      </c>
      <c r="B197" s="629">
        <v>45006</v>
      </c>
      <c r="C197" s="618" t="s">
        <v>1597</v>
      </c>
      <c r="D197" s="618" t="s">
        <v>1598</v>
      </c>
      <c r="E197" s="630">
        <v>6.2</v>
      </c>
      <c r="F197" s="628" t="s">
        <v>1599</v>
      </c>
      <c r="G197" s="631" t="s">
        <v>1600</v>
      </c>
      <c r="H197" s="628" t="s">
        <v>1831</v>
      </c>
      <c r="I197" s="632">
        <v>7283</v>
      </c>
      <c r="J197" s="631" t="s">
        <v>1599</v>
      </c>
      <c r="K197" s="633">
        <v>3880</v>
      </c>
      <c r="L197" s="643">
        <f t="shared" si="3"/>
        <v>23937</v>
      </c>
      <c r="M197" s="901">
        <v>27817</v>
      </c>
      <c r="N197" s="912">
        <v>20590</v>
      </c>
      <c r="O197" s="618">
        <v>0</v>
      </c>
      <c r="P197" s="644">
        <v>100</v>
      </c>
    </row>
    <row r="198" spans="1:16" ht="15.75" customHeight="1">
      <c r="A198" s="634" t="s">
        <v>2029</v>
      </c>
      <c r="B198" s="635">
        <v>45006</v>
      </c>
      <c r="C198" s="636" t="s">
        <v>1597</v>
      </c>
      <c r="D198" s="636" t="s">
        <v>1598</v>
      </c>
      <c r="E198" s="637">
        <v>7.1</v>
      </c>
      <c r="F198" s="634" t="s">
        <v>1599</v>
      </c>
      <c r="G198" s="638" t="s">
        <v>1600</v>
      </c>
      <c r="H198" s="634" t="s">
        <v>1831</v>
      </c>
      <c r="I198" s="639">
        <v>7283</v>
      </c>
      <c r="J198" s="638" t="s">
        <v>1599</v>
      </c>
      <c r="K198" s="640">
        <v>3870</v>
      </c>
      <c r="L198" s="645">
        <f t="shared" si="3"/>
        <v>24077</v>
      </c>
      <c r="M198" s="902">
        <v>27947</v>
      </c>
      <c r="N198" s="911">
        <v>19299</v>
      </c>
      <c r="O198" s="636">
        <v>0</v>
      </c>
      <c r="P198" s="646">
        <v>100</v>
      </c>
    </row>
    <row r="199" spans="1:16" ht="15.75" customHeight="1">
      <c r="A199" s="628" t="s">
        <v>2030</v>
      </c>
      <c r="B199" s="629">
        <v>45008</v>
      </c>
      <c r="C199" s="618" t="s">
        <v>1597</v>
      </c>
      <c r="D199" s="618" t="s">
        <v>1598</v>
      </c>
      <c r="E199" s="630">
        <v>11.9</v>
      </c>
      <c r="F199" s="628" t="s">
        <v>1599</v>
      </c>
      <c r="G199" s="631" t="s">
        <v>1600</v>
      </c>
      <c r="H199" s="628" t="s">
        <v>1854</v>
      </c>
      <c r="I199" s="632">
        <v>8865</v>
      </c>
      <c r="J199" s="631" t="s">
        <v>1599</v>
      </c>
      <c r="K199" s="633">
        <v>3740</v>
      </c>
      <c r="L199" s="643">
        <f t="shared" si="3"/>
        <v>22262</v>
      </c>
      <c r="M199" s="901">
        <v>26002</v>
      </c>
      <c r="N199" s="912">
        <v>20147</v>
      </c>
      <c r="O199" s="618">
        <v>0</v>
      </c>
      <c r="P199" s="644">
        <v>100</v>
      </c>
    </row>
    <row r="200" spans="1:16" ht="15.75" customHeight="1">
      <c r="A200" s="634" t="s">
        <v>2031</v>
      </c>
      <c r="B200" s="635">
        <v>45005</v>
      </c>
      <c r="C200" s="636" t="s">
        <v>1597</v>
      </c>
      <c r="D200" s="636" t="s">
        <v>1598</v>
      </c>
      <c r="E200" s="637">
        <v>11.9</v>
      </c>
      <c r="F200" s="634" t="s">
        <v>1599</v>
      </c>
      <c r="G200" s="638" t="s">
        <v>1600</v>
      </c>
      <c r="H200" s="634" t="s">
        <v>1971</v>
      </c>
      <c r="I200" s="639">
        <v>4358</v>
      </c>
      <c r="J200" s="638" t="s">
        <v>1599</v>
      </c>
      <c r="K200" s="640">
        <v>3830</v>
      </c>
      <c r="L200" s="645">
        <f t="shared" si="3"/>
        <v>12151.5</v>
      </c>
      <c r="M200" s="902">
        <v>15981.5</v>
      </c>
      <c r="N200" s="911">
        <v>10469.25</v>
      </c>
      <c r="O200" s="636">
        <v>0</v>
      </c>
      <c r="P200" s="646">
        <v>100</v>
      </c>
    </row>
    <row r="201" spans="1:16" ht="15.75" customHeight="1">
      <c r="A201" s="628" t="s">
        <v>2032</v>
      </c>
      <c r="B201" s="629">
        <v>45006</v>
      </c>
      <c r="C201" s="618" t="s">
        <v>1597</v>
      </c>
      <c r="D201" s="618" t="s">
        <v>1598</v>
      </c>
      <c r="E201" s="630">
        <v>6.2</v>
      </c>
      <c r="F201" s="628" t="s">
        <v>1599</v>
      </c>
      <c r="G201" s="631" t="s">
        <v>1600</v>
      </c>
      <c r="H201" s="628" t="s">
        <v>1798</v>
      </c>
      <c r="I201" s="632">
        <v>1931</v>
      </c>
      <c r="J201" s="631" t="s">
        <v>1599</v>
      </c>
      <c r="K201" s="633">
        <v>5015.5</v>
      </c>
      <c r="L201" s="643">
        <f t="shared" si="3"/>
        <v>946</v>
      </c>
      <c r="M201" s="901">
        <v>5961.5</v>
      </c>
      <c r="N201" s="912">
        <v>5015.5</v>
      </c>
      <c r="O201" s="618">
        <v>0</v>
      </c>
      <c r="P201" s="644">
        <v>100</v>
      </c>
    </row>
    <row r="202" spans="1:16" ht="15.75" customHeight="1">
      <c r="A202" s="634" t="s">
        <v>2033</v>
      </c>
      <c r="B202" s="635">
        <v>45009</v>
      </c>
      <c r="C202" s="636" t="s">
        <v>1597</v>
      </c>
      <c r="D202" s="636" t="s">
        <v>1598</v>
      </c>
      <c r="E202" s="637">
        <v>11.9</v>
      </c>
      <c r="F202" s="634" t="s">
        <v>1599</v>
      </c>
      <c r="G202" s="638" t="s">
        <v>1600</v>
      </c>
      <c r="H202" s="634" t="s">
        <v>1893</v>
      </c>
      <c r="I202" s="639">
        <v>2167</v>
      </c>
      <c r="J202" s="638" t="s">
        <v>1599</v>
      </c>
      <c r="K202" s="640">
        <v>2200</v>
      </c>
      <c r="L202" s="645">
        <f t="shared" si="3"/>
        <v>4299.28</v>
      </c>
      <c r="M202" s="902">
        <v>6499.28</v>
      </c>
      <c r="N202" s="911">
        <v>3049.28</v>
      </c>
      <c r="O202" s="636">
        <v>0</v>
      </c>
      <c r="P202" s="646">
        <v>100</v>
      </c>
    </row>
    <row r="203" spans="1:16" ht="15.75" customHeight="1">
      <c r="A203" s="628" t="s">
        <v>2034</v>
      </c>
      <c r="B203" s="629">
        <v>45008</v>
      </c>
      <c r="C203" s="618" t="s">
        <v>1597</v>
      </c>
      <c r="D203" s="618" t="s">
        <v>1598</v>
      </c>
      <c r="E203" s="630">
        <v>6.2</v>
      </c>
      <c r="F203" s="628" t="s">
        <v>1599</v>
      </c>
      <c r="G203" s="631" t="s">
        <v>1600</v>
      </c>
      <c r="H203" s="628" t="s">
        <v>1838</v>
      </c>
      <c r="I203" s="632">
        <v>4972</v>
      </c>
      <c r="J203" s="631" t="s">
        <v>1599</v>
      </c>
      <c r="K203" s="633">
        <v>3660</v>
      </c>
      <c r="L203" s="643">
        <f t="shared" si="3"/>
        <v>9086.7999999999993</v>
      </c>
      <c r="M203" s="901">
        <v>12746.8</v>
      </c>
      <c r="N203" s="912">
        <v>6778</v>
      </c>
      <c r="O203" s="618">
        <v>0</v>
      </c>
      <c r="P203" s="644">
        <v>100</v>
      </c>
    </row>
    <row r="204" spans="1:16" ht="15.75" customHeight="1">
      <c r="A204" s="634" t="s">
        <v>2035</v>
      </c>
      <c r="B204" s="635">
        <v>45006</v>
      </c>
      <c r="C204" s="636" t="s">
        <v>1597</v>
      </c>
      <c r="D204" s="636" t="s">
        <v>1598</v>
      </c>
      <c r="E204" s="637">
        <v>7.1</v>
      </c>
      <c r="F204" s="634" t="s">
        <v>1599</v>
      </c>
      <c r="G204" s="638" t="s">
        <v>1600</v>
      </c>
      <c r="H204" s="634" t="s">
        <v>1873</v>
      </c>
      <c r="I204" s="639">
        <v>3824</v>
      </c>
      <c r="J204" s="638" t="s">
        <v>1599</v>
      </c>
      <c r="K204" s="640">
        <v>3810</v>
      </c>
      <c r="L204" s="645">
        <f t="shared" si="3"/>
        <v>10707.14</v>
      </c>
      <c r="M204" s="902">
        <v>14517.14</v>
      </c>
      <c r="N204" s="911">
        <v>7974</v>
      </c>
      <c r="O204" s="636">
        <v>0</v>
      </c>
      <c r="P204" s="646">
        <v>100</v>
      </c>
    </row>
    <row r="205" spans="1:16" ht="15.75" customHeight="1">
      <c r="A205" s="628" t="s">
        <v>2036</v>
      </c>
      <c r="B205" s="629">
        <v>45007</v>
      </c>
      <c r="C205" s="618" t="s">
        <v>1597</v>
      </c>
      <c r="D205" s="618" t="s">
        <v>1598</v>
      </c>
      <c r="E205" s="630">
        <v>7.1</v>
      </c>
      <c r="F205" s="628" t="s">
        <v>1599</v>
      </c>
      <c r="G205" s="631" t="s">
        <v>1600</v>
      </c>
      <c r="H205" s="628" t="s">
        <v>1873</v>
      </c>
      <c r="I205" s="632">
        <v>3824</v>
      </c>
      <c r="J205" s="631" t="s">
        <v>1599</v>
      </c>
      <c r="K205" s="633">
        <v>3840</v>
      </c>
      <c r="L205" s="643">
        <f t="shared" si="3"/>
        <v>10779.65</v>
      </c>
      <c r="M205" s="901">
        <v>14619.65</v>
      </c>
      <c r="N205" s="912">
        <v>7960.53</v>
      </c>
      <c r="O205" s="618">
        <v>0</v>
      </c>
      <c r="P205" s="644">
        <v>100</v>
      </c>
    </row>
    <row r="206" spans="1:16" ht="15.75" customHeight="1">
      <c r="A206" s="634" t="s">
        <v>2037</v>
      </c>
      <c r="B206" s="635">
        <v>45007</v>
      </c>
      <c r="C206" s="636" t="s">
        <v>1597</v>
      </c>
      <c r="D206" s="636" t="s">
        <v>1598</v>
      </c>
      <c r="E206" s="637">
        <v>3.6</v>
      </c>
      <c r="F206" s="634" t="s">
        <v>1599</v>
      </c>
      <c r="G206" s="638" t="s">
        <v>1600</v>
      </c>
      <c r="H206" s="634" t="s">
        <v>1932</v>
      </c>
      <c r="I206" s="639">
        <v>4823</v>
      </c>
      <c r="J206" s="638" t="s">
        <v>1599</v>
      </c>
      <c r="K206" s="640">
        <v>2185</v>
      </c>
      <c r="L206" s="645">
        <f t="shared" si="3"/>
        <v>5504.9</v>
      </c>
      <c r="M206" s="902">
        <v>7689.9</v>
      </c>
      <c r="N206" s="911">
        <v>4485.55</v>
      </c>
      <c r="O206" s="636">
        <v>0</v>
      </c>
      <c r="P206" s="646">
        <v>100</v>
      </c>
    </row>
    <row r="207" spans="1:16" ht="15.75" customHeight="1">
      <c r="A207" s="628" t="s">
        <v>2038</v>
      </c>
      <c r="B207" s="629">
        <v>45006</v>
      </c>
      <c r="C207" s="618" t="s">
        <v>1597</v>
      </c>
      <c r="D207" s="618" t="s">
        <v>1598</v>
      </c>
      <c r="E207" s="630">
        <v>7.1</v>
      </c>
      <c r="F207" s="628" t="s">
        <v>1599</v>
      </c>
      <c r="G207" s="631" t="s">
        <v>1600</v>
      </c>
      <c r="H207" s="628" t="s">
        <v>1836</v>
      </c>
      <c r="I207" s="632">
        <v>14544</v>
      </c>
      <c r="J207" s="631" t="s">
        <v>1599</v>
      </c>
      <c r="K207" s="633">
        <v>3700</v>
      </c>
      <c r="L207" s="643">
        <f t="shared" si="3"/>
        <v>14839</v>
      </c>
      <c r="M207" s="901">
        <v>18539</v>
      </c>
      <c r="N207" s="912">
        <v>12511.2</v>
      </c>
      <c r="O207" s="618">
        <v>0</v>
      </c>
      <c r="P207" s="644">
        <v>100</v>
      </c>
    </row>
    <row r="208" spans="1:16" ht="15.75" customHeight="1">
      <c r="A208" s="634" t="s">
        <v>2039</v>
      </c>
      <c r="B208" s="635">
        <v>45006</v>
      </c>
      <c r="C208" s="636" t="s">
        <v>1597</v>
      </c>
      <c r="D208" s="636" t="s">
        <v>1598</v>
      </c>
      <c r="E208" s="637">
        <v>7.1</v>
      </c>
      <c r="F208" s="634" t="s">
        <v>1599</v>
      </c>
      <c r="G208" s="638" t="s">
        <v>1600</v>
      </c>
      <c r="H208" s="634" t="s">
        <v>1836</v>
      </c>
      <c r="I208" s="639">
        <v>14544</v>
      </c>
      <c r="J208" s="638" t="s">
        <v>1599</v>
      </c>
      <c r="K208" s="640">
        <v>3700</v>
      </c>
      <c r="L208" s="645">
        <f t="shared" si="3"/>
        <v>19071.599999999999</v>
      </c>
      <c r="M208" s="902">
        <v>22771.599999999999</v>
      </c>
      <c r="N208" s="911">
        <v>15602.4</v>
      </c>
      <c r="O208" s="636">
        <v>0</v>
      </c>
      <c r="P208" s="646">
        <v>100</v>
      </c>
    </row>
    <row r="209" spans="1:16" ht="15.75" customHeight="1">
      <c r="A209" s="628" t="s">
        <v>2040</v>
      </c>
      <c r="B209" s="629">
        <v>45008</v>
      </c>
      <c r="C209" s="618" t="s">
        <v>1597</v>
      </c>
      <c r="D209" s="618" t="s">
        <v>1598</v>
      </c>
      <c r="E209" s="630">
        <v>6</v>
      </c>
      <c r="F209" s="628" t="s">
        <v>1599</v>
      </c>
      <c r="G209" s="631" t="s">
        <v>1600</v>
      </c>
      <c r="H209" s="628" t="s">
        <v>1973</v>
      </c>
      <c r="I209" s="632">
        <v>4482</v>
      </c>
      <c r="J209" s="631" t="s">
        <v>1599</v>
      </c>
      <c r="K209" s="633">
        <v>2210</v>
      </c>
      <c r="L209" s="643">
        <f t="shared" si="3"/>
        <v>5683</v>
      </c>
      <c r="M209" s="901">
        <v>7893</v>
      </c>
      <c r="N209" s="912">
        <v>4743.2</v>
      </c>
      <c r="O209" s="618">
        <v>0</v>
      </c>
      <c r="P209" s="644">
        <v>100</v>
      </c>
    </row>
    <row r="210" spans="1:16" ht="15.75" customHeight="1">
      <c r="A210" s="634" t="s">
        <v>2041</v>
      </c>
      <c r="B210" s="635">
        <v>45008</v>
      </c>
      <c r="C210" s="636" t="s">
        <v>1597</v>
      </c>
      <c r="D210" s="636" t="s">
        <v>1598</v>
      </c>
      <c r="E210" s="637">
        <v>6</v>
      </c>
      <c r="F210" s="634" t="s">
        <v>1599</v>
      </c>
      <c r="G210" s="638" t="s">
        <v>1600</v>
      </c>
      <c r="H210" s="634" t="s">
        <v>1880</v>
      </c>
      <c r="I210" s="639">
        <v>13558</v>
      </c>
      <c r="J210" s="638" t="s">
        <v>1599</v>
      </c>
      <c r="K210" s="640">
        <v>3820</v>
      </c>
      <c r="L210" s="645">
        <f t="shared" si="3"/>
        <v>14839</v>
      </c>
      <c r="M210" s="902">
        <v>18659</v>
      </c>
      <c r="N210" s="911">
        <v>12511.2</v>
      </c>
      <c r="O210" s="636">
        <v>0</v>
      </c>
      <c r="P210" s="646">
        <v>100</v>
      </c>
    </row>
    <row r="211" spans="1:16" ht="15.75" customHeight="1">
      <c r="A211" s="628" t="s">
        <v>2042</v>
      </c>
      <c r="B211" s="629">
        <v>45008</v>
      </c>
      <c r="C211" s="618" t="s">
        <v>1597</v>
      </c>
      <c r="D211" s="618" t="s">
        <v>1598</v>
      </c>
      <c r="E211" s="630">
        <v>6</v>
      </c>
      <c r="F211" s="628" t="s">
        <v>1599</v>
      </c>
      <c r="G211" s="631" t="s">
        <v>1600</v>
      </c>
      <c r="H211" s="628" t="s">
        <v>2043</v>
      </c>
      <c r="I211" s="632">
        <v>4220</v>
      </c>
      <c r="J211" s="631" t="s">
        <v>1599</v>
      </c>
      <c r="K211" s="633">
        <v>2245</v>
      </c>
      <c r="L211" s="643">
        <f t="shared" si="3"/>
        <v>5424.65</v>
      </c>
      <c r="M211" s="901">
        <v>7669.65</v>
      </c>
      <c r="N211" s="912">
        <v>4403.25</v>
      </c>
      <c r="O211" s="618">
        <v>0</v>
      </c>
      <c r="P211" s="644">
        <v>100</v>
      </c>
    </row>
    <row r="212" spans="1:16" ht="15.75" customHeight="1">
      <c r="A212" s="634" t="s">
        <v>2044</v>
      </c>
      <c r="B212" s="635">
        <v>45008</v>
      </c>
      <c r="C212" s="636" t="s">
        <v>1597</v>
      </c>
      <c r="D212" s="636" t="s">
        <v>1598</v>
      </c>
      <c r="E212" s="637">
        <v>6</v>
      </c>
      <c r="F212" s="634" t="s">
        <v>1599</v>
      </c>
      <c r="G212" s="638" t="s">
        <v>1600</v>
      </c>
      <c r="H212" s="634" t="s">
        <v>1822</v>
      </c>
      <c r="I212" s="639">
        <v>13787</v>
      </c>
      <c r="J212" s="638" t="s">
        <v>1599</v>
      </c>
      <c r="K212" s="640">
        <v>3900</v>
      </c>
      <c r="L212" s="645">
        <f t="shared" si="3"/>
        <v>14148</v>
      </c>
      <c r="M212" s="902">
        <v>18048</v>
      </c>
      <c r="N212" s="911">
        <v>11330</v>
      </c>
      <c r="O212" s="636">
        <v>0</v>
      </c>
      <c r="P212" s="646">
        <v>100</v>
      </c>
    </row>
    <row r="213" spans="1:16" ht="15.75" customHeight="1">
      <c r="A213" s="628" t="s">
        <v>2045</v>
      </c>
      <c r="B213" s="629">
        <v>45009</v>
      </c>
      <c r="C213" s="618" t="s">
        <v>1597</v>
      </c>
      <c r="D213" s="618" t="s">
        <v>1598</v>
      </c>
      <c r="E213" s="630">
        <v>6.5</v>
      </c>
      <c r="F213" s="628" t="s">
        <v>1599</v>
      </c>
      <c r="G213" s="631" t="s">
        <v>1600</v>
      </c>
      <c r="H213" s="628" t="s">
        <v>1963</v>
      </c>
      <c r="I213" s="632">
        <v>14253</v>
      </c>
      <c r="J213" s="631" t="s">
        <v>1599</v>
      </c>
      <c r="K213" s="633">
        <v>3950</v>
      </c>
      <c r="L213" s="643">
        <f t="shared" si="3"/>
        <v>10552.88</v>
      </c>
      <c r="M213" s="901">
        <v>14502.88</v>
      </c>
      <c r="N213" s="912">
        <v>7733.52</v>
      </c>
      <c r="O213" s="618">
        <v>0</v>
      </c>
      <c r="P213" s="644">
        <v>100</v>
      </c>
    </row>
    <row r="214" spans="1:16" ht="15.75" customHeight="1">
      <c r="A214" s="634" t="s">
        <v>2046</v>
      </c>
      <c r="B214" s="635">
        <v>45023</v>
      </c>
      <c r="C214" s="636" t="s">
        <v>1597</v>
      </c>
      <c r="D214" s="636" t="s">
        <v>1598</v>
      </c>
      <c r="E214" s="637">
        <v>11.9</v>
      </c>
      <c r="F214" s="634" t="s">
        <v>1599</v>
      </c>
      <c r="G214" s="638" t="s">
        <v>1600</v>
      </c>
      <c r="H214" s="649" t="s">
        <v>1841</v>
      </c>
      <c r="I214" s="639">
        <v>9486</v>
      </c>
      <c r="J214" s="638" t="s">
        <v>1599</v>
      </c>
      <c r="K214" s="640">
        <v>2280</v>
      </c>
      <c r="L214" s="645">
        <v>13457</v>
      </c>
      <c r="M214" s="902">
        <v>15737</v>
      </c>
      <c r="N214" s="911">
        <v>11985</v>
      </c>
      <c r="O214" s="636">
        <v>0</v>
      </c>
      <c r="P214" s="646">
        <v>100</v>
      </c>
    </row>
    <row r="215" spans="1:16" ht="15.75" customHeight="1">
      <c r="A215" s="628" t="s">
        <v>2047</v>
      </c>
      <c r="B215" s="629">
        <v>45023</v>
      </c>
      <c r="C215" s="618" t="s">
        <v>1597</v>
      </c>
      <c r="D215" s="618" t="s">
        <v>1598</v>
      </c>
      <c r="E215" s="630">
        <v>11.9</v>
      </c>
      <c r="F215" s="628" t="s">
        <v>1599</v>
      </c>
      <c r="G215" s="631" t="s">
        <v>1600</v>
      </c>
      <c r="H215" s="650" t="s">
        <v>1841</v>
      </c>
      <c r="I215" s="632">
        <v>9486</v>
      </c>
      <c r="J215" s="631" t="s">
        <v>1599</v>
      </c>
      <c r="K215" s="633">
        <v>3840</v>
      </c>
      <c r="L215" s="643">
        <v>19570.400000000001</v>
      </c>
      <c r="M215" s="901">
        <v>23410.400000000001</v>
      </c>
      <c r="N215" s="912">
        <v>13238.3</v>
      </c>
      <c r="O215" s="618">
        <v>0</v>
      </c>
      <c r="P215" s="644">
        <v>100</v>
      </c>
    </row>
    <row r="216" spans="1:16" ht="15.75" customHeight="1">
      <c r="A216" s="634" t="s">
        <v>2048</v>
      </c>
      <c r="B216" s="635">
        <v>45023</v>
      </c>
      <c r="C216" s="636" t="s">
        <v>1597</v>
      </c>
      <c r="D216" s="636" t="s">
        <v>1598</v>
      </c>
      <c r="E216" s="637">
        <v>11.9</v>
      </c>
      <c r="F216" s="634" t="s">
        <v>1599</v>
      </c>
      <c r="G216" s="638" t="s">
        <v>1600</v>
      </c>
      <c r="H216" s="649" t="s">
        <v>1841</v>
      </c>
      <c r="I216" s="639">
        <v>9486</v>
      </c>
      <c r="J216" s="638" t="s">
        <v>1599</v>
      </c>
      <c r="K216" s="640">
        <v>3830</v>
      </c>
      <c r="L216" s="645">
        <v>14280.599999999999</v>
      </c>
      <c r="M216" s="902">
        <v>18110.599999999999</v>
      </c>
      <c r="N216" s="911">
        <v>10938.6</v>
      </c>
      <c r="O216" s="636">
        <v>0</v>
      </c>
      <c r="P216" s="646">
        <v>100</v>
      </c>
    </row>
    <row r="217" spans="1:16" ht="15.75" customHeight="1">
      <c r="A217" s="628" t="s">
        <v>2049</v>
      </c>
      <c r="B217" s="629">
        <v>45007</v>
      </c>
      <c r="C217" s="618" t="s">
        <v>1597</v>
      </c>
      <c r="D217" s="618" t="s">
        <v>1598</v>
      </c>
      <c r="E217" s="630">
        <v>7.1</v>
      </c>
      <c r="F217" s="628" t="s">
        <v>1599</v>
      </c>
      <c r="G217" s="631" t="s">
        <v>1600</v>
      </c>
      <c r="H217" s="628" t="s">
        <v>1850</v>
      </c>
      <c r="I217" s="632">
        <v>9687</v>
      </c>
      <c r="J217" s="631" t="s">
        <v>1599</v>
      </c>
      <c r="K217" s="633">
        <v>3900</v>
      </c>
      <c r="L217" s="643">
        <v>8887.64</v>
      </c>
      <c r="M217" s="901">
        <v>12787.64</v>
      </c>
      <c r="N217" s="912">
        <v>18942.599999999999</v>
      </c>
      <c r="O217" s="618">
        <v>0</v>
      </c>
      <c r="P217" s="644">
        <v>100</v>
      </c>
    </row>
    <row r="218" spans="1:16" ht="15.75" customHeight="1">
      <c r="A218" s="634" t="s">
        <v>2050</v>
      </c>
      <c r="B218" s="635">
        <v>45007</v>
      </c>
      <c r="C218" s="636" t="s">
        <v>1597</v>
      </c>
      <c r="D218" s="636" t="s">
        <v>1598</v>
      </c>
      <c r="E218" s="637">
        <v>7.1</v>
      </c>
      <c r="F218" s="634" t="s">
        <v>1599</v>
      </c>
      <c r="G218" s="638" t="s">
        <v>1600</v>
      </c>
      <c r="H218" s="634" t="s">
        <v>1873</v>
      </c>
      <c r="I218" s="639">
        <v>3824</v>
      </c>
      <c r="J218" s="638" t="s">
        <v>1599</v>
      </c>
      <c r="K218" s="640">
        <v>3820</v>
      </c>
      <c r="L218" s="645">
        <f t="shared" ref="L218:L225" si="4">M218-K218</f>
        <v>11508.62</v>
      </c>
      <c r="M218" s="902">
        <v>15328.62</v>
      </c>
      <c r="N218" s="911">
        <v>8718.18</v>
      </c>
      <c r="O218" s="636">
        <v>0</v>
      </c>
      <c r="P218" s="646">
        <v>100</v>
      </c>
    </row>
    <row r="219" spans="1:16" ht="15.75" customHeight="1">
      <c r="A219" s="628" t="s">
        <v>2051</v>
      </c>
      <c r="B219" s="629">
        <v>45014</v>
      </c>
      <c r="C219" s="618" t="s">
        <v>1597</v>
      </c>
      <c r="D219" s="618" t="s">
        <v>1598</v>
      </c>
      <c r="E219" s="630">
        <v>4.9000000000000004</v>
      </c>
      <c r="F219" s="628" t="s">
        <v>1599</v>
      </c>
      <c r="G219" s="631" t="s">
        <v>1600</v>
      </c>
      <c r="H219" s="628" t="s">
        <v>1836</v>
      </c>
      <c r="I219" s="632">
        <v>14544</v>
      </c>
      <c r="J219" s="631" t="s">
        <v>1599</v>
      </c>
      <c r="K219" s="633">
        <v>3860</v>
      </c>
      <c r="L219" s="643">
        <f t="shared" si="4"/>
        <v>14839</v>
      </c>
      <c r="M219" s="901">
        <v>18699</v>
      </c>
      <c r="N219" s="912">
        <v>12511.2</v>
      </c>
      <c r="O219" s="618">
        <v>0</v>
      </c>
      <c r="P219" s="644">
        <v>100</v>
      </c>
    </row>
    <row r="220" spans="1:16" ht="15.75" customHeight="1">
      <c r="A220" s="634" t="s">
        <v>2052</v>
      </c>
      <c r="B220" s="635">
        <v>45008</v>
      </c>
      <c r="C220" s="636" t="s">
        <v>1597</v>
      </c>
      <c r="D220" s="636" t="s">
        <v>1598</v>
      </c>
      <c r="E220" s="637">
        <v>11.9</v>
      </c>
      <c r="F220" s="634" t="s">
        <v>1599</v>
      </c>
      <c r="G220" s="638" t="s">
        <v>1600</v>
      </c>
      <c r="H220" s="634" t="s">
        <v>1854</v>
      </c>
      <c r="I220" s="639">
        <v>8865</v>
      </c>
      <c r="J220" s="638" t="s">
        <v>1599</v>
      </c>
      <c r="K220" s="640">
        <v>2220</v>
      </c>
      <c r="L220" s="645">
        <f t="shared" si="4"/>
        <v>15320</v>
      </c>
      <c r="M220" s="902">
        <v>17540</v>
      </c>
      <c r="N220" s="911">
        <v>12848.3</v>
      </c>
      <c r="O220" s="636">
        <v>0</v>
      </c>
      <c r="P220" s="646">
        <v>100</v>
      </c>
    </row>
    <row r="221" spans="1:16" ht="15.75" customHeight="1">
      <c r="A221" s="628" t="s">
        <v>2053</v>
      </c>
      <c r="B221" s="629">
        <v>45014</v>
      </c>
      <c r="C221" s="618" t="s">
        <v>1597</v>
      </c>
      <c r="D221" s="618" t="s">
        <v>1598</v>
      </c>
      <c r="E221" s="630">
        <v>6.2</v>
      </c>
      <c r="F221" s="628" t="s">
        <v>1599</v>
      </c>
      <c r="G221" s="631" t="s">
        <v>1600</v>
      </c>
      <c r="H221" s="628" t="s">
        <v>1836</v>
      </c>
      <c r="I221" s="632">
        <v>14544</v>
      </c>
      <c r="J221" s="631" t="s">
        <v>1599</v>
      </c>
      <c r="K221" s="633">
        <v>3840</v>
      </c>
      <c r="L221" s="643">
        <f t="shared" si="4"/>
        <v>14839</v>
      </c>
      <c r="M221" s="901">
        <v>18679</v>
      </c>
      <c r="N221" s="912">
        <v>12511.2</v>
      </c>
      <c r="O221" s="618">
        <v>0</v>
      </c>
      <c r="P221" s="644">
        <v>100</v>
      </c>
    </row>
    <row r="222" spans="1:16" ht="15.75" customHeight="1">
      <c r="A222" s="634" t="s">
        <v>2054</v>
      </c>
      <c r="B222" s="635">
        <v>45014</v>
      </c>
      <c r="C222" s="636" t="s">
        <v>1597</v>
      </c>
      <c r="D222" s="636" t="s">
        <v>1598</v>
      </c>
      <c r="E222" s="637">
        <v>6.2</v>
      </c>
      <c r="F222" s="634" t="s">
        <v>1599</v>
      </c>
      <c r="G222" s="638" t="s">
        <v>1600</v>
      </c>
      <c r="H222" s="634" t="s">
        <v>1836</v>
      </c>
      <c r="I222" s="639">
        <v>14544</v>
      </c>
      <c r="J222" s="638" t="s">
        <v>1599</v>
      </c>
      <c r="K222" s="640">
        <v>3880</v>
      </c>
      <c r="L222" s="645">
        <f t="shared" si="4"/>
        <v>19071.599999999999</v>
      </c>
      <c r="M222" s="902">
        <v>22951.599999999999</v>
      </c>
      <c r="N222" s="911">
        <v>15602.4</v>
      </c>
      <c r="O222" s="636">
        <v>0</v>
      </c>
      <c r="P222" s="646">
        <v>100</v>
      </c>
    </row>
    <row r="223" spans="1:16" ht="15.75" customHeight="1">
      <c r="A223" s="628" t="s">
        <v>2055</v>
      </c>
      <c r="B223" s="629">
        <v>45014</v>
      </c>
      <c r="C223" s="618" t="s">
        <v>1597</v>
      </c>
      <c r="D223" s="618" t="s">
        <v>1598</v>
      </c>
      <c r="E223" s="630">
        <v>6.2</v>
      </c>
      <c r="F223" s="628" t="s">
        <v>1599</v>
      </c>
      <c r="G223" s="631" t="s">
        <v>1600</v>
      </c>
      <c r="H223" s="628" t="s">
        <v>1880</v>
      </c>
      <c r="I223" s="632">
        <v>13558</v>
      </c>
      <c r="J223" s="631" t="s">
        <v>1599</v>
      </c>
      <c r="K223" s="633">
        <v>3890</v>
      </c>
      <c r="L223" s="643">
        <f t="shared" si="4"/>
        <v>14843</v>
      </c>
      <c r="M223" s="901">
        <v>18733</v>
      </c>
      <c r="N223" s="912">
        <v>12187.6</v>
      </c>
      <c r="O223" s="618">
        <v>0</v>
      </c>
      <c r="P223" s="644">
        <v>100</v>
      </c>
    </row>
    <row r="224" spans="1:16" ht="15.75" customHeight="1">
      <c r="A224" s="634" t="s">
        <v>2056</v>
      </c>
      <c r="B224" s="635">
        <v>45014</v>
      </c>
      <c r="C224" s="636" t="s">
        <v>1597</v>
      </c>
      <c r="D224" s="636" t="s">
        <v>1598</v>
      </c>
      <c r="E224" s="637">
        <v>6.2</v>
      </c>
      <c r="F224" s="634" t="s">
        <v>1599</v>
      </c>
      <c r="G224" s="638" t="s">
        <v>1600</v>
      </c>
      <c r="H224" s="634" t="s">
        <v>1815</v>
      </c>
      <c r="I224" s="639">
        <v>17387</v>
      </c>
      <c r="J224" s="638" t="s">
        <v>1599</v>
      </c>
      <c r="K224" s="640">
        <v>3850</v>
      </c>
      <c r="L224" s="645">
        <f t="shared" si="4"/>
        <v>19155.96</v>
      </c>
      <c r="M224" s="902">
        <v>23005.96</v>
      </c>
      <c r="N224" s="911">
        <v>16769.53</v>
      </c>
      <c r="O224" s="636">
        <v>0</v>
      </c>
      <c r="P224" s="646">
        <v>100</v>
      </c>
    </row>
    <row r="225" spans="1:16" ht="15.75" customHeight="1">
      <c r="A225" s="628" t="s">
        <v>2057</v>
      </c>
      <c r="B225" s="629">
        <v>45013</v>
      </c>
      <c r="C225" s="618" t="s">
        <v>1597</v>
      </c>
      <c r="D225" s="618" t="s">
        <v>1598</v>
      </c>
      <c r="E225" s="630">
        <v>4.0999999999999996</v>
      </c>
      <c r="F225" s="628" t="s">
        <v>1599</v>
      </c>
      <c r="G225" s="631" t="s">
        <v>1600</v>
      </c>
      <c r="H225" s="628" t="s">
        <v>1850</v>
      </c>
      <c r="I225" s="632">
        <v>9687</v>
      </c>
      <c r="J225" s="631" t="s">
        <v>1599</v>
      </c>
      <c r="K225" s="633">
        <v>2280</v>
      </c>
      <c r="L225" s="643">
        <f t="shared" si="4"/>
        <v>5777</v>
      </c>
      <c r="M225" s="901">
        <v>8057</v>
      </c>
      <c r="N225" s="912">
        <v>4550</v>
      </c>
      <c r="O225" s="618">
        <v>0</v>
      </c>
      <c r="P225" s="644">
        <v>100</v>
      </c>
    </row>
    <row r="226" spans="1:16" ht="15.75" customHeight="1">
      <c r="A226" s="620" t="s">
        <v>2058</v>
      </c>
      <c r="B226" s="635">
        <v>45012</v>
      </c>
      <c r="C226" s="620" t="s">
        <v>1597</v>
      </c>
      <c r="D226" s="620" t="s">
        <v>1598</v>
      </c>
      <c r="E226" s="622">
        <v>5.3</v>
      </c>
      <c r="F226" s="620" t="s">
        <v>1599</v>
      </c>
      <c r="G226" s="623" t="s">
        <v>1600</v>
      </c>
      <c r="H226" s="634" t="s">
        <v>1807</v>
      </c>
      <c r="I226" s="639">
        <v>1734</v>
      </c>
      <c r="J226" s="625" t="s">
        <v>1599</v>
      </c>
      <c r="K226" s="626">
        <v>3700</v>
      </c>
      <c r="L226" s="647">
        <v>11212</v>
      </c>
      <c r="M226" s="900">
        <v>14912</v>
      </c>
      <c r="N226" s="911">
        <v>8450</v>
      </c>
      <c r="O226" s="636">
        <v>0</v>
      </c>
      <c r="P226" s="646">
        <v>100</v>
      </c>
    </row>
    <row r="227" spans="1:16" ht="15.75" customHeight="1">
      <c r="A227" s="628" t="s">
        <v>2059</v>
      </c>
      <c r="B227" s="629">
        <v>45014</v>
      </c>
      <c r="C227" s="618" t="s">
        <v>1597</v>
      </c>
      <c r="D227" s="618" t="s">
        <v>1598</v>
      </c>
      <c r="E227" s="630">
        <v>4.9000000000000004</v>
      </c>
      <c r="F227" s="628" t="s">
        <v>1599</v>
      </c>
      <c r="G227" s="631" t="s">
        <v>1600</v>
      </c>
      <c r="H227" s="628" t="s">
        <v>1854</v>
      </c>
      <c r="I227" s="632">
        <v>8865</v>
      </c>
      <c r="J227" s="631" t="s">
        <v>1599</v>
      </c>
      <c r="K227" s="633">
        <v>2300</v>
      </c>
      <c r="L227" s="643">
        <f t="shared" ref="L227:L231" si="5">M227-K227</f>
        <v>4412</v>
      </c>
      <c r="M227" s="901">
        <v>6712</v>
      </c>
      <c r="N227" s="912">
        <v>3198</v>
      </c>
      <c r="O227" s="618">
        <v>0</v>
      </c>
      <c r="P227" s="644">
        <v>100</v>
      </c>
    </row>
    <row r="228" spans="1:16" ht="15.75" customHeight="1">
      <c r="A228" s="634" t="s">
        <v>2060</v>
      </c>
      <c r="B228" s="635">
        <v>45015</v>
      </c>
      <c r="C228" s="636" t="s">
        <v>1597</v>
      </c>
      <c r="D228" s="636" t="s">
        <v>1598</v>
      </c>
      <c r="E228" s="637">
        <v>7.1</v>
      </c>
      <c r="F228" s="634" t="s">
        <v>1599</v>
      </c>
      <c r="G228" s="638" t="s">
        <v>1600</v>
      </c>
      <c r="H228" s="634" t="s">
        <v>1846</v>
      </c>
      <c r="I228" s="639">
        <v>5317</v>
      </c>
      <c r="J228" s="638" t="s">
        <v>1599</v>
      </c>
      <c r="K228" s="640">
        <v>3640</v>
      </c>
      <c r="L228" s="645">
        <f t="shared" si="5"/>
        <v>13003.369999999999</v>
      </c>
      <c r="M228" s="902">
        <v>16643.37</v>
      </c>
      <c r="N228" s="911">
        <v>10672.53</v>
      </c>
      <c r="O228" s="636">
        <v>0</v>
      </c>
      <c r="P228" s="646">
        <v>100</v>
      </c>
    </row>
    <row r="229" spans="1:16" ht="15.75" customHeight="1">
      <c r="A229" s="610" t="s">
        <v>2061</v>
      </c>
      <c r="B229" s="629">
        <v>45015</v>
      </c>
      <c r="C229" s="618" t="s">
        <v>1597</v>
      </c>
      <c r="D229" s="618" t="s">
        <v>1598</v>
      </c>
      <c r="E229" s="630">
        <v>7.1</v>
      </c>
      <c r="F229" s="628" t="s">
        <v>1599</v>
      </c>
      <c r="G229" s="631" t="s">
        <v>1600</v>
      </c>
      <c r="H229" s="628" t="s">
        <v>1833</v>
      </c>
      <c r="I229" s="632">
        <v>4795</v>
      </c>
      <c r="J229" s="631" t="s">
        <v>1599</v>
      </c>
      <c r="K229" s="633">
        <v>2180</v>
      </c>
      <c r="L229" s="643">
        <f t="shared" si="5"/>
        <v>6369.7000000000007</v>
      </c>
      <c r="M229" s="901">
        <v>8549.7000000000007</v>
      </c>
      <c r="N229" s="912">
        <v>5225.5</v>
      </c>
      <c r="O229" s="618">
        <v>0</v>
      </c>
      <c r="P229" s="644">
        <v>100</v>
      </c>
    </row>
    <row r="230" spans="1:16" ht="15.75" customHeight="1">
      <c r="A230" s="628" t="s">
        <v>2062</v>
      </c>
      <c r="B230" s="629">
        <v>45019</v>
      </c>
      <c r="C230" s="618" t="s">
        <v>1597</v>
      </c>
      <c r="D230" s="618" t="s">
        <v>1598</v>
      </c>
      <c r="E230" s="630">
        <v>6</v>
      </c>
      <c r="F230" s="628" t="s">
        <v>1599</v>
      </c>
      <c r="G230" s="628" t="s">
        <v>1600</v>
      </c>
      <c r="H230" s="628" t="s">
        <v>1833</v>
      </c>
      <c r="I230" s="632">
        <v>4795</v>
      </c>
      <c r="J230" s="631" t="s">
        <v>1599</v>
      </c>
      <c r="K230" s="633">
        <v>3900</v>
      </c>
      <c r="L230" s="643">
        <f t="shared" si="5"/>
        <v>8887.64</v>
      </c>
      <c r="M230" s="901">
        <v>12787.64</v>
      </c>
      <c r="N230" s="912">
        <v>6764.67</v>
      </c>
      <c r="O230" s="618">
        <v>0</v>
      </c>
      <c r="P230" s="644">
        <v>100</v>
      </c>
    </row>
    <row r="231" spans="1:16" ht="15.75" customHeight="1">
      <c r="A231" s="634" t="s">
        <v>2063</v>
      </c>
      <c r="B231" s="635">
        <v>45019</v>
      </c>
      <c r="C231" s="636" t="s">
        <v>1597</v>
      </c>
      <c r="D231" s="636" t="s">
        <v>1598</v>
      </c>
      <c r="E231" s="637">
        <v>7.1</v>
      </c>
      <c r="F231" s="636" t="s">
        <v>1599</v>
      </c>
      <c r="G231" s="636" t="s">
        <v>1600</v>
      </c>
      <c r="H231" s="634" t="s">
        <v>2064</v>
      </c>
      <c r="I231" s="639">
        <v>5416</v>
      </c>
      <c r="J231" s="642" t="s">
        <v>1599</v>
      </c>
      <c r="K231" s="640">
        <v>2100</v>
      </c>
      <c r="L231" s="645">
        <f t="shared" si="5"/>
        <v>3533.09</v>
      </c>
      <c r="M231" s="902">
        <v>5633.09</v>
      </c>
      <c r="N231" s="911">
        <v>2479.41</v>
      </c>
      <c r="O231" s="636">
        <v>0</v>
      </c>
      <c r="P231" s="646">
        <v>100</v>
      </c>
    </row>
    <row r="232" spans="1:16" ht="15.75" customHeight="1">
      <c r="A232" s="634" t="s">
        <v>2065</v>
      </c>
      <c r="B232" s="635">
        <v>45021</v>
      </c>
      <c r="C232" s="636" t="s">
        <v>1597</v>
      </c>
      <c r="D232" s="636" t="s">
        <v>2066</v>
      </c>
      <c r="E232" s="637">
        <v>41.1</v>
      </c>
      <c r="F232" s="636" t="s">
        <v>1599</v>
      </c>
      <c r="G232" s="636" t="s">
        <v>1600</v>
      </c>
      <c r="H232" s="634" t="s">
        <v>1846</v>
      </c>
      <c r="I232" s="639">
        <v>5317</v>
      </c>
      <c r="J232" s="642" t="s">
        <v>1599</v>
      </c>
      <c r="K232" s="640">
        <v>3750</v>
      </c>
      <c r="L232" s="645">
        <v>9415.85</v>
      </c>
      <c r="M232" s="902">
        <v>5333.85</v>
      </c>
      <c r="N232" s="911">
        <v>4077.81</v>
      </c>
      <c r="O232" s="636">
        <v>0</v>
      </c>
      <c r="P232" s="646">
        <v>100</v>
      </c>
    </row>
    <row r="233" spans="1:16" ht="15.75" customHeight="1">
      <c r="A233" s="634" t="s">
        <v>2067</v>
      </c>
      <c r="B233" s="635">
        <v>45021</v>
      </c>
      <c r="C233" s="636" t="s">
        <v>1597</v>
      </c>
      <c r="D233" s="636" t="s">
        <v>1598</v>
      </c>
      <c r="E233" s="637">
        <v>7.1</v>
      </c>
      <c r="F233" s="634" t="s">
        <v>1599</v>
      </c>
      <c r="G233" s="634" t="s">
        <v>1600</v>
      </c>
      <c r="H233" s="634" t="s">
        <v>2068</v>
      </c>
      <c r="I233" s="639">
        <v>8986</v>
      </c>
      <c r="J233" s="638" t="s">
        <v>1599</v>
      </c>
      <c r="K233" s="640">
        <v>2140</v>
      </c>
      <c r="L233" s="645">
        <f t="shared" ref="L233:L235" si="6">M233-K233</f>
        <v>5949.19</v>
      </c>
      <c r="M233" s="902">
        <v>8089.19</v>
      </c>
      <c r="N233" s="911">
        <v>4229.59</v>
      </c>
      <c r="O233" s="636">
        <v>0</v>
      </c>
      <c r="P233" s="646">
        <v>100</v>
      </c>
    </row>
    <row r="234" spans="1:16" ht="15.75" customHeight="1">
      <c r="A234" s="628" t="s">
        <v>2069</v>
      </c>
      <c r="B234" s="629">
        <v>45019</v>
      </c>
      <c r="C234" s="618" t="s">
        <v>1597</v>
      </c>
      <c r="D234" s="618" t="s">
        <v>1598</v>
      </c>
      <c r="E234" s="630">
        <v>5.3</v>
      </c>
      <c r="F234" s="628" t="s">
        <v>1599</v>
      </c>
      <c r="G234" s="628" t="s">
        <v>1600</v>
      </c>
      <c r="H234" s="628" t="s">
        <v>1807</v>
      </c>
      <c r="I234" s="632">
        <v>1734</v>
      </c>
      <c r="J234" s="631" t="s">
        <v>1599</v>
      </c>
      <c r="K234" s="633">
        <v>3820</v>
      </c>
      <c r="L234" s="643">
        <f t="shared" si="6"/>
        <v>10714.1</v>
      </c>
      <c r="M234" s="901">
        <v>14534.1</v>
      </c>
      <c r="N234" s="912">
        <v>8046.9</v>
      </c>
      <c r="O234" s="618">
        <v>0</v>
      </c>
      <c r="P234" s="644">
        <v>100</v>
      </c>
    </row>
    <row r="235" spans="1:16" ht="15.75" customHeight="1">
      <c r="A235" s="634" t="s">
        <v>2070</v>
      </c>
      <c r="B235" s="635">
        <v>45023</v>
      </c>
      <c r="C235" s="636" t="s">
        <v>1597</v>
      </c>
      <c r="D235" s="636" t="s">
        <v>1598</v>
      </c>
      <c r="E235" s="637">
        <v>11.9</v>
      </c>
      <c r="F235" s="634" t="s">
        <v>1599</v>
      </c>
      <c r="G235" s="634" t="s">
        <v>1600</v>
      </c>
      <c r="H235" s="634" t="s">
        <v>1807</v>
      </c>
      <c r="I235" s="639">
        <v>1734</v>
      </c>
      <c r="J235" s="638" t="s">
        <v>1599</v>
      </c>
      <c r="K235" s="640">
        <v>3700</v>
      </c>
      <c r="L235" s="645">
        <f t="shared" si="6"/>
        <v>11694.6</v>
      </c>
      <c r="M235" s="902">
        <v>15394.6</v>
      </c>
      <c r="N235" s="911">
        <v>9386.6</v>
      </c>
      <c r="O235" s="636">
        <v>0</v>
      </c>
      <c r="P235" s="646">
        <v>100</v>
      </c>
    </row>
    <row r="236" spans="1:16" ht="15.75" customHeight="1">
      <c r="A236" s="610" t="s">
        <v>2071</v>
      </c>
      <c r="B236" s="629">
        <v>45023</v>
      </c>
      <c r="C236" s="610" t="s">
        <v>1597</v>
      </c>
      <c r="D236" s="610" t="s">
        <v>1598</v>
      </c>
      <c r="E236" s="612">
        <v>11.9</v>
      </c>
      <c r="F236" s="610" t="s">
        <v>1599</v>
      </c>
      <c r="G236" s="610" t="s">
        <v>1600</v>
      </c>
      <c r="H236" s="628" t="s">
        <v>1798</v>
      </c>
      <c r="I236" s="632">
        <v>1931</v>
      </c>
      <c r="J236" s="615" t="s">
        <v>1599</v>
      </c>
      <c r="K236" s="616">
        <v>3800</v>
      </c>
      <c r="L236" s="648">
        <v>9573.85</v>
      </c>
      <c r="M236" s="899">
        <v>13373.85</v>
      </c>
      <c r="N236" s="912">
        <v>3132.45</v>
      </c>
      <c r="O236" s="618">
        <v>0</v>
      </c>
      <c r="P236" s="644">
        <v>100</v>
      </c>
    </row>
    <row r="237" spans="1:16" ht="15.75" customHeight="1">
      <c r="A237" s="634" t="s">
        <v>2072</v>
      </c>
      <c r="B237" s="635">
        <v>45021</v>
      </c>
      <c r="C237" s="636" t="s">
        <v>1597</v>
      </c>
      <c r="D237" s="636" t="s">
        <v>1598</v>
      </c>
      <c r="E237" s="637">
        <v>6</v>
      </c>
      <c r="F237" s="634" t="s">
        <v>1599</v>
      </c>
      <c r="G237" s="634" t="s">
        <v>1600</v>
      </c>
      <c r="H237" s="634" t="s">
        <v>1836</v>
      </c>
      <c r="I237" s="639">
        <v>14544</v>
      </c>
      <c r="J237" s="638" t="s">
        <v>1599</v>
      </c>
      <c r="K237" s="640">
        <v>3800</v>
      </c>
      <c r="L237" s="645">
        <f t="shared" ref="L237:L249" si="7">M237-K237</f>
        <v>13824</v>
      </c>
      <c r="M237" s="902">
        <v>17624</v>
      </c>
      <c r="N237" s="911">
        <v>11400</v>
      </c>
      <c r="O237" s="636">
        <v>0</v>
      </c>
      <c r="P237" s="646">
        <v>100</v>
      </c>
    </row>
    <row r="238" spans="1:16" ht="15.75" customHeight="1">
      <c r="A238" s="628" t="s">
        <v>2073</v>
      </c>
      <c r="B238" s="629">
        <v>45021</v>
      </c>
      <c r="C238" s="618" t="s">
        <v>1597</v>
      </c>
      <c r="D238" s="618" t="s">
        <v>1598</v>
      </c>
      <c r="E238" s="630">
        <v>11.9</v>
      </c>
      <c r="F238" s="628" t="s">
        <v>1599</v>
      </c>
      <c r="G238" s="628" t="s">
        <v>1600</v>
      </c>
      <c r="H238" s="628" t="s">
        <v>1866</v>
      </c>
      <c r="I238" s="632">
        <v>2597</v>
      </c>
      <c r="J238" s="631" t="s">
        <v>1599</v>
      </c>
      <c r="K238" s="633">
        <v>2100</v>
      </c>
      <c r="L238" s="643">
        <f t="shared" si="7"/>
        <v>5344.5</v>
      </c>
      <c r="M238" s="901">
        <v>7444.5</v>
      </c>
      <c r="N238" s="912">
        <v>4067</v>
      </c>
      <c r="O238" s="618">
        <v>0</v>
      </c>
      <c r="P238" s="644">
        <v>100</v>
      </c>
    </row>
    <row r="239" spans="1:16" ht="15.75" customHeight="1">
      <c r="A239" s="634" t="s">
        <v>2074</v>
      </c>
      <c r="B239" s="635">
        <v>45036</v>
      </c>
      <c r="C239" s="636" t="s">
        <v>1597</v>
      </c>
      <c r="D239" s="636" t="s">
        <v>1598</v>
      </c>
      <c r="E239" s="637">
        <v>6.2</v>
      </c>
      <c r="F239" s="634" t="s">
        <v>1599</v>
      </c>
      <c r="G239" s="634" t="s">
        <v>1600</v>
      </c>
      <c r="H239" s="634" t="s">
        <v>1884</v>
      </c>
      <c r="I239" s="639">
        <v>13413</v>
      </c>
      <c r="J239" s="638" t="s">
        <v>1599</v>
      </c>
      <c r="K239" s="640">
        <v>3750</v>
      </c>
      <c r="L239" s="645">
        <f t="shared" si="7"/>
        <v>19071.599999999999</v>
      </c>
      <c r="M239" s="902">
        <v>22821.599999999999</v>
      </c>
      <c r="N239" s="911">
        <v>15602.4</v>
      </c>
      <c r="O239" s="636">
        <v>0</v>
      </c>
      <c r="P239" s="646">
        <v>100</v>
      </c>
    </row>
    <row r="240" spans="1:16" ht="15.75" customHeight="1">
      <c r="A240" s="628" t="s">
        <v>2075</v>
      </c>
      <c r="B240" s="629">
        <v>45035</v>
      </c>
      <c r="C240" s="618" t="s">
        <v>1597</v>
      </c>
      <c r="D240" s="618" t="s">
        <v>1598</v>
      </c>
      <c r="E240" s="630">
        <v>6.2</v>
      </c>
      <c r="F240" s="628" t="s">
        <v>1599</v>
      </c>
      <c r="G240" s="628" t="s">
        <v>1600</v>
      </c>
      <c r="H240" s="628" t="s">
        <v>1828</v>
      </c>
      <c r="I240" s="632">
        <v>7448</v>
      </c>
      <c r="J240" s="631" t="s">
        <v>1599</v>
      </c>
      <c r="K240" s="633">
        <v>3830</v>
      </c>
      <c r="L240" s="643">
        <f t="shared" si="7"/>
        <v>9957</v>
      </c>
      <c r="M240" s="901">
        <v>13787</v>
      </c>
      <c r="N240" s="912">
        <v>5262</v>
      </c>
      <c r="O240" s="618">
        <v>0</v>
      </c>
      <c r="P240" s="644">
        <v>100</v>
      </c>
    </row>
    <row r="241" spans="1:16" ht="15.75" customHeight="1">
      <c r="A241" s="634" t="s">
        <v>2076</v>
      </c>
      <c r="B241" s="635">
        <v>45036</v>
      </c>
      <c r="C241" s="636" t="s">
        <v>1597</v>
      </c>
      <c r="D241" s="636" t="s">
        <v>1598</v>
      </c>
      <c r="E241" s="637">
        <v>7.1</v>
      </c>
      <c r="F241" s="634" t="s">
        <v>1599</v>
      </c>
      <c r="G241" s="634" t="s">
        <v>1600</v>
      </c>
      <c r="H241" s="634" t="s">
        <v>1844</v>
      </c>
      <c r="I241" s="639">
        <v>5727</v>
      </c>
      <c r="J241" s="638" t="s">
        <v>1599</v>
      </c>
      <c r="K241" s="640">
        <v>3640</v>
      </c>
      <c r="L241" s="645">
        <f t="shared" si="7"/>
        <v>12334.6</v>
      </c>
      <c r="M241" s="902">
        <v>15974.6</v>
      </c>
      <c r="N241" s="911">
        <v>10463.84</v>
      </c>
      <c r="O241" s="636">
        <v>0</v>
      </c>
      <c r="P241" s="646">
        <v>100</v>
      </c>
    </row>
    <row r="242" spans="1:16" ht="15.75" customHeight="1">
      <c r="A242" s="628" t="s">
        <v>2077</v>
      </c>
      <c r="B242" s="629">
        <v>45037</v>
      </c>
      <c r="C242" s="618" t="s">
        <v>1597</v>
      </c>
      <c r="D242" s="618" t="s">
        <v>1598</v>
      </c>
      <c r="E242" s="630">
        <v>6.5</v>
      </c>
      <c r="F242" s="628" t="s">
        <v>1599</v>
      </c>
      <c r="G242" s="628" t="s">
        <v>1600</v>
      </c>
      <c r="H242" s="628" t="s">
        <v>1912</v>
      </c>
      <c r="I242" s="632">
        <v>4929</v>
      </c>
      <c r="J242" s="631" t="s">
        <v>1599</v>
      </c>
      <c r="K242" s="633">
        <v>2220</v>
      </c>
      <c r="L242" s="643">
        <f t="shared" si="7"/>
        <v>7497.15</v>
      </c>
      <c r="M242" s="901">
        <v>9717.15</v>
      </c>
      <c r="N242" s="912">
        <v>6644.95</v>
      </c>
      <c r="O242" s="618">
        <v>0</v>
      </c>
      <c r="P242" s="644">
        <v>100</v>
      </c>
    </row>
    <row r="243" spans="1:16" ht="15.75" customHeight="1">
      <c r="A243" s="634" t="s">
        <v>2078</v>
      </c>
      <c r="B243" s="635">
        <v>45037</v>
      </c>
      <c r="C243" s="636" t="s">
        <v>1597</v>
      </c>
      <c r="D243" s="636" t="s">
        <v>1598</v>
      </c>
      <c r="E243" s="637">
        <v>6.5</v>
      </c>
      <c r="F243" s="634" t="s">
        <v>1599</v>
      </c>
      <c r="G243" s="634" t="s">
        <v>1600</v>
      </c>
      <c r="H243" s="634" t="s">
        <v>1803</v>
      </c>
      <c r="I243" s="639">
        <v>8839</v>
      </c>
      <c r="J243" s="638" t="s">
        <v>1599</v>
      </c>
      <c r="K243" s="640">
        <v>3800</v>
      </c>
      <c r="L243" s="645">
        <f t="shared" si="7"/>
        <v>13594</v>
      </c>
      <c r="M243" s="902">
        <v>17394</v>
      </c>
      <c r="N243" s="911">
        <v>10091</v>
      </c>
      <c r="O243" s="636">
        <v>0</v>
      </c>
      <c r="P243" s="646">
        <v>100</v>
      </c>
    </row>
    <row r="244" spans="1:16" ht="15.75" customHeight="1">
      <c r="A244" s="628" t="s">
        <v>2079</v>
      </c>
      <c r="B244" s="629">
        <v>45035</v>
      </c>
      <c r="C244" s="618" t="s">
        <v>1597</v>
      </c>
      <c r="D244" s="618" t="s">
        <v>1598</v>
      </c>
      <c r="E244" s="630">
        <v>6.2</v>
      </c>
      <c r="F244" s="628" t="s">
        <v>1599</v>
      </c>
      <c r="G244" s="628" t="s">
        <v>1600</v>
      </c>
      <c r="H244" s="628" t="s">
        <v>1884</v>
      </c>
      <c r="I244" s="632">
        <v>13413</v>
      </c>
      <c r="J244" s="631" t="s">
        <v>1599</v>
      </c>
      <c r="K244" s="633">
        <v>3700</v>
      </c>
      <c r="L244" s="643">
        <f t="shared" si="7"/>
        <v>14839</v>
      </c>
      <c r="M244" s="901">
        <v>18539</v>
      </c>
      <c r="N244" s="912">
        <v>12511.2</v>
      </c>
      <c r="O244" s="618">
        <v>0</v>
      </c>
      <c r="P244" s="644">
        <v>100</v>
      </c>
    </row>
    <row r="245" spans="1:16" ht="15.75" customHeight="1">
      <c r="A245" s="634" t="s">
        <v>2080</v>
      </c>
      <c r="B245" s="635">
        <v>45035</v>
      </c>
      <c r="C245" s="636" t="s">
        <v>1597</v>
      </c>
      <c r="D245" s="636" t="s">
        <v>1598</v>
      </c>
      <c r="E245" s="637">
        <v>6.2</v>
      </c>
      <c r="F245" s="634" t="s">
        <v>1599</v>
      </c>
      <c r="G245" s="634" t="s">
        <v>1600</v>
      </c>
      <c r="H245" s="634" t="s">
        <v>1884</v>
      </c>
      <c r="I245" s="639">
        <v>13413</v>
      </c>
      <c r="J245" s="638" t="s">
        <v>1599</v>
      </c>
      <c r="K245" s="640">
        <v>3870</v>
      </c>
      <c r="L245" s="645">
        <f t="shared" si="7"/>
        <v>14839</v>
      </c>
      <c r="M245" s="902">
        <v>18709</v>
      </c>
      <c r="N245" s="911">
        <v>12511.2</v>
      </c>
      <c r="O245" s="636">
        <v>0</v>
      </c>
      <c r="P245" s="646">
        <v>100</v>
      </c>
    </row>
    <row r="246" spans="1:16" ht="15.75" customHeight="1">
      <c r="A246" s="628" t="s">
        <v>2081</v>
      </c>
      <c r="B246" s="629">
        <v>45036</v>
      </c>
      <c r="C246" s="618" t="s">
        <v>1597</v>
      </c>
      <c r="D246" s="618" t="s">
        <v>1598</v>
      </c>
      <c r="E246" s="630">
        <v>6.2</v>
      </c>
      <c r="F246" s="628" t="s">
        <v>1599</v>
      </c>
      <c r="G246" s="628" t="s">
        <v>1600</v>
      </c>
      <c r="H246" s="628" t="s">
        <v>1880</v>
      </c>
      <c r="I246" s="632">
        <v>13558</v>
      </c>
      <c r="J246" s="631" t="s">
        <v>1599</v>
      </c>
      <c r="K246" s="633">
        <v>3830</v>
      </c>
      <c r="L246" s="643">
        <f t="shared" si="7"/>
        <v>14839</v>
      </c>
      <c r="M246" s="901">
        <v>18669</v>
      </c>
      <c r="N246" s="912">
        <v>12511.2</v>
      </c>
      <c r="O246" s="618">
        <v>0</v>
      </c>
      <c r="P246" s="644">
        <v>100</v>
      </c>
    </row>
    <row r="247" spans="1:16" ht="15.75" customHeight="1">
      <c r="A247" s="634" t="s">
        <v>2082</v>
      </c>
      <c r="B247" s="635">
        <v>45035</v>
      </c>
      <c r="C247" s="636" t="s">
        <v>1597</v>
      </c>
      <c r="D247" s="636" t="s">
        <v>1598</v>
      </c>
      <c r="E247" s="637">
        <v>6.2</v>
      </c>
      <c r="F247" s="634" t="s">
        <v>1599</v>
      </c>
      <c r="G247" s="634" t="s">
        <v>1600</v>
      </c>
      <c r="H247" s="634" t="s">
        <v>1836</v>
      </c>
      <c r="I247" s="639">
        <v>14544</v>
      </c>
      <c r="J247" s="638" t="s">
        <v>1599</v>
      </c>
      <c r="K247" s="640">
        <v>3860</v>
      </c>
      <c r="L247" s="645">
        <f t="shared" si="7"/>
        <v>14839</v>
      </c>
      <c r="M247" s="902">
        <v>18699</v>
      </c>
      <c r="N247" s="911">
        <v>12511.2</v>
      </c>
      <c r="O247" s="636">
        <v>0</v>
      </c>
      <c r="P247" s="646">
        <v>100</v>
      </c>
    </row>
    <row r="248" spans="1:16" ht="15.75" customHeight="1">
      <c r="A248" s="628" t="s">
        <v>2083</v>
      </c>
      <c r="B248" s="629">
        <v>45035</v>
      </c>
      <c r="C248" s="618" t="s">
        <v>1597</v>
      </c>
      <c r="D248" s="618" t="s">
        <v>1598</v>
      </c>
      <c r="E248" s="630">
        <v>6</v>
      </c>
      <c r="F248" s="628" t="s">
        <v>1599</v>
      </c>
      <c r="G248" s="628" t="s">
        <v>1600</v>
      </c>
      <c r="H248" s="628" t="s">
        <v>1844</v>
      </c>
      <c r="I248" s="632">
        <v>5727</v>
      </c>
      <c r="J248" s="631" t="s">
        <v>1599</v>
      </c>
      <c r="K248" s="633">
        <v>2150</v>
      </c>
      <c r="L248" s="643">
        <f t="shared" si="7"/>
        <v>4401.95</v>
      </c>
      <c r="M248" s="901">
        <v>6551.95</v>
      </c>
      <c r="N248" s="912">
        <v>3377.16</v>
      </c>
      <c r="O248" s="618">
        <v>0</v>
      </c>
      <c r="P248" s="644">
        <v>100</v>
      </c>
    </row>
    <row r="249" spans="1:16" ht="15.75" customHeight="1">
      <c r="A249" s="634" t="s">
        <v>2084</v>
      </c>
      <c r="B249" s="635">
        <v>45038</v>
      </c>
      <c r="C249" s="636" t="s">
        <v>1597</v>
      </c>
      <c r="D249" s="636" t="s">
        <v>1598</v>
      </c>
      <c r="E249" s="637">
        <v>6.5</v>
      </c>
      <c r="F249" s="634" t="s">
        <v>1599</v>
      </c>
      <c r="G249" s="634" t="s">
        <v>1600</v>
      </c>
      <c r="H249" s="634" t="s">
        <v>1822</v>
      </c>
      <c r="I249" s="639">
        <v>13787</v>
      </c>
      <c r="J249" s="638" t="s">
        <v>1599</v>
      </c>
      <c r="K249" s="640">
        <v>3700</v>
      </c>
      <c r="L249" s="645">
        <f t="shared" si="7"/>
        <v>18768</v>
      </c>
      <c r="M249" s="902">
        <v>22468</v>
      </c>
      <c r="N249" s="911">
        <v>15270</v>
      </c>
      <c r="O249" s="636">
        <v>0</v>
      </c>
      <c r="P249" s="646">
        <v>100</v>
      </c>
    </row>
    <row r="250" spans="1:16" ht="15.75" customHeight="1">
      <c r="A250" s="628" t="s">
        <v>2085</v>
      </c>
      <c r="B250" s="629">
        <v>45048</v>
      </c>
      <c r="C250" s="618" t="s">
        <v>1597</v>
      </c>
      <c r="D250" s="618" t="s">
        <v>1598</v>
      </c>
      <c r="E250" s="630">
        <v>6.2</v>
      </c>
      <c r="F250" s="628" t="s">
        <v>1599</v>
      </c>
      <c r="G250" s="628" t="s">
        <v>1600</v>
      </c>
      <c r="H250" s="628" t="s">
        <v>1841</v>
      </c>
      <c r="I250" s="632">
        <v>9486</v>
      </c>
      <c r="J250" s="631" t="s">
        <v>1599</v>
      </c>
      <c r="K250" s="633">
        <v>3810</v>
      </c>
      <c r="L250" s="643">
        <v>20414.900000000001</v>
      </c>
      <c r="M250" s="901">
        <v>24224.9</v>
      </c>
      <c r="N250" s="912">
        <v>15325.4</v>
      </c>
      <c r="O250" s="618">
        <v>0</v>
      </c>
      <c r="P250" s="644">
        <v>100</v>
      </c>
    </row>
    <row r="251" spans="1:16" ht="15.75" customHeight="1">
      <c r="A251" s="634" t="s">
        <v>2086</v>
      </c>
      <c r="B251" s="635">
        <v>45048</v>
      </c>
      <c r="C251" s="636" t="s">
        <v>1597</v>
      </c>
      <c r="D251" s="636" t="s">
        <v>1598</v>
      </c>
      <c r="E251" s="637">
        <v>6.2</v>
      </c>
      <c r="F251" s="634" t="s">
        <v>1599</v>
      </c>
      <c r="G251" s="634" t="s">
        <v>1600</v>
      </c>
      <c r="H251" s="634" t="s">
        <v>1841</v>
      </c>
      <c r="I251" s="639">
        <v>9486</v>
      </c>
      <c r="J251" s="638" t="s">
        <v>1599</v>
      </c>
      <c r="K251" s="640">
        <v>3700</v>
      </c>
      <c r="L251" s="645">
        <v>20834.599999999999</v>
      </c>
      <c r="M251" s="902">
        <v>24534.6</v>
      </c>
      <c r="N251" s="911">
        <v>17383.099999999999</v>
      </c>
      <c r="O251" s="636">
        <v>0</v>
      </c>
      <c r="P251" s="646">
        <v>100</v>
      </c>
    </row>
    <row r="252" spans="1:16" ht="15.75" customHeight="1">
      <c r="A252" s="628" t="s">
        <v>2087</v>
      </c>
      <c r="B252" s="629">
        <v>45048</v>
      </c>
      <c r="C252" s="618" t="s">
        <v>1597</v>
      </c>
      <c r="D252" s="618" t="s">
        <v>1598</v>
      </c>
      <c r="E252" s="630">
        <v>6.2</v>
      </c>
      <c r="F252" s="628" t="s">
        <v>1599</v>
      </c>
      <c r="G252" s="628" t="s">
        <v>1600</v>
      </c>
      <c r="H252" s="628" t="s">
        <v>1841</v>
      </c>
      <c r="I252" s="632">
        <v>9486</v>
      </c>
      <c r="J252" s="631" t="s">
        <v>1599</v>
      </c>
      <c r="K252" s="633">
        <v>3700</v>
      </c>
      <c r="L252" s="643">
        <v>19709</v>
      </c>
      <c r="M252" s="901">
        <v>23409</v>
      </c>
      <c r="N252" s="912">
        <v>16584.5</v>
      </c>
      <c r="O252" s="618">
        <v>0</v>
      </c>
      <c r="P252" s="644">
        <v>100</v>
      </c>
    </row>
    <row r="253" spans="1:16" ht="15.75" customHeight="1">
      <c r="A253" s="634" t="s">
        <v>2088</v>
      </c>
      <c r="B253" s="635">
        <v>45043</v>
      </c>
      <c r="C253" s="636" t="s">
        <v>1597</v>
      </c>
      <c r="D253" s="636" t="s">
        <v>1598</v>
      </c>
      <c r="E253" s="637">
        <v>6.5</v>
      </c>
      <c r="F253" s="634" t="s">
        <v>1599</v>
      </c>
      <c r="G253" s="634" t="s">
        <v>1600</v>
      </c>
      <c r="H253" s="634" t="s">
        <v>2089</v>
      </c>
      <c r="I253" s="639">
        <v>8687</v>
      </c>
      <c r="J253" s="638" t="s">
        <v>1599</v>
      </c>
      <c r="K253" s="640">
        <v>4000</v>
      </c>
      <c r="L253" s="645">
        <f t="shared" ref="L253:L277" si="8">M253-K253</f>
        <v>13717.900000000001</v>
      </c>
      <c r="M253" s="902">
        <v>17717.900000000001</v>
      </c>
      <c r="N253" s="911">
        <v>11188.4</v>
      </c>
      <c r="O253" s="636">
        <v>0</v>
      </c>
      <c r="P253" s="646">
        <v>100</v>
      </c>
    </row>
    <row r="254" spans="1:16" ht="15.75" customHeight="1">
      <c r="A254" s="628" t="s">
        <v>2090</v>
      </c>
      <c r="B254" s="629">
        <v>45035</v>
      </c>
      <c r="C254" s="618" t="s">
        <v>1597</v>
      </c>
      <c r="D254" s="618" t="s">
        <v>1598</v>
      </c>
      <c r="E254" s="630">
        <v>6</v>
      </c>
      <c r="F254" s="628" t="s">
        <v>1599</v>
      </c>
      <c r="G254" s="628" t="s">
        <v>1600</v>
      </c>
      <c r="H254" s="628" t="s">
        <v>1798</v>
      </c>
      <c r="I254" s="632">
        <v>1931</v>
      </c>
      <c r="J254" s="631" t="s">
        <v>1599</v>
      </c>
      <c r="K254" s="633">
        <v>2220</v>
      </c>
      <c r="L254" s="643">
        <f t="shared" si="8"/>
        <v>6128</v>
      </c>
      <c r="M254" s="901">
        <v>8348</v>
      </c>
      <c r="N254" s="912">
        <v>5214</v>
      </c>
      <c r="O254" s="618">
        <v>0</v>
      </c>
      <c r="P254" s="644">
        <v>100</v>
      </c>
    </row>
    <row r="255" spans="1:16" ht="15.75" customHeight="1">
      <c r="A255" s="634" t="s">
        <v>2091</v>
      </c>
      <c r="B255" s="635">
        <v>45036</v>
      </c>
      <c r="C255" s="636" t="s">
        <v>1597</v>
      </c>
      <c r="D255" s="636" t="s">
        <v>1598</v>
      </c>
      <c r="E255" s="637">
        <v>6.2</v>
      </c>
      <c r="F255" s="634" t="s">
        <v>1599</v>
      </c>
      <c r="G255" s="634" t="s">
        <v>1600</v>
      </c>
      <c r="H255" s="634" t="s">
        <v>1815</v>
      </c>
      <c r="I255" s="639">
        <v>17387</v>
      </c>
      <c r="J255" s="638" t="s">
        <v>1599</v>
      </c>
      <c r="K255" s="640">
        <v>3840</v>
      </c>
      <c r="L255" s="645">
        <f t="shared" si="8"/>
        <v>18774.990000000002</v>
      </c>
      <c r="M255" s="902">
        <v>22614.99</v>
      </c>
      <c r="N255" s="911">
        <v>16468.87</v>
      </c>
      <c r="O255" s="636">
        <v>0</v>
      </c>
      <c r="P255" s="646">
        <v>100</v>
      </c>
    </row>
    <row r="256" spans="1:16" ht="15.75" customHeight="1">
      <c r="A256" s="628" t="s">
        <v>2092</v>
      </c>
      <c r="B256" s="629">
        <v>45036</v>
      </c>
      <c r="C256" s="618" t="s">
        <v>1597</v>
      </c>
      <c r="D256" s="618" t="s">
        <v>1598</v>
      </c>
      <c r="E256" s="630">
        <v>7.1</v>
      </c>
      <c r="F256" s="628" t="s">
        <v>1599</v>
      </c>
      <c r="G256" s="628" t="s">
        <v>1600</v>
      </c>
      <c r="H256" s="628" t="s">
        <v>1941</v>
      </c>
      <c r="I256" s="632">
        <v>1588</v>
      </c>
      <c r="J256" s="631" t="s">
        <v>1599</v>
      </c>
      <c r="K256" s="633">
        <v>3700</v>
      </c>
      <c r="L256" s="643">
        <f t="shared" si="8"/>
        <v>9574.6</v>
      </c>
      <c r="M256" s="901">
        <v>13274.6</v>
      </c>
      <c r="N256" s="912">
        <v>6697.4</v>
      </c>
      <c r="O256" s="618">
        <v>0</v>
      </c>
      <c r="P256" s="644">
        <v>100</v>
      </c>
    </row>
    <row r="257" spans="1:16" ht="15.75" customHeight="1">
      <c r="A257" s="634" t="s">
        <v>2093</v>
      </c>
      <c r="B257" s="635">
        <v>45041</v>
      </c>
      <c r="C257" s="636" t="s">
        <v>1597</v>
      </c>
      <c r="D257" s="636" t="s">
        <v>1598</v>
      </c>
      <c r="E257" s="637">
        <v>6.2</v>
      </c>
      <c r="F257" s="634" t="s">
        <v>1599</v>
      </c>
      <c r="G257" s="634" t="s">
        <v>1600</v>
      </c>
      <c r="H257" s="634" t="s">
        <v>1831</v>
      </c>
      <c r="I257" s="639">
        <v>7283</v>
      </c>
      <c r="J257" s="638" t="s">
        <v>1599</v>
      </c>
      <c r="K257" s="640">
        <v>3870</v>
      </c>
      <c r="L257" s="645">
        <f t="shared" si="8"/>
        <v>9957</v>
      </c>
      <c r="M257" s="902">
        <v>13827</v>
      </c>
      <c r="N257" s="911">
        <v>5262</v>
      </c>
      <c r="O257" s="636">
        <v>0</v>
      </c>
      <c r="P257" s="646">
        <v>100</v>
      </c>
    </row>
    <row r="258" spans="1:16" ht="15.75" customHeight="1">
      <c r="A258" s="628" t="s">
        <v>2094</v>
      </c>
      <c r="B258" s="629">
        <v>45041</v>
      </c>
      <c r="C258" s="618" t="s">
        <v>1597</v>
      </c>
      <c r="D258" s="618" t="s">
        <v>1598</v>
      </c>
      <c r="E258" s="630">
        <v>6.2</v>
      </c>
      <c r="F258" s="628" t="s">
        <v>1599</v>
      </c>
      <c r="G258" s="628" t="s">
        <v>1600</v>
      </c>
      <c r="H258" s="628" t="s">
        <v>1831</v>
      </c>
      <c r="I258" s="632">
        <v>7283</v>
      </c>
      <c r="J258" s="631" t="s">
        <v>1599</v>
      </c>
      <c r="K258" s="633">
        <v>2150</v>
      </c>
      <c r="L258" s="643">
        <f t="shared" si="8"/>
        <v>6252</v>
      </c>
      <c r="M258" s="901">
        <v>8402</v>
      </c>
      <c r="N258" s="912">
        <v>3454</v>
      </c>
      <c r="O258" s="618">
        <v>0</v>
      </c>
      <c r="P258" s="644">
        <v>100</v>
      </c>
    </row>
    <row r="259" spans="1:16" ht="15.75" customHeight="1">
      <c r="A259" s="634" t="s">
        <v>2095</v>
      </c>
      <c r="B259" s="635">
        <v>45043</v>
      </c>
      <c r="C259" s="636" t="s">
        <v>1597</v>
      </c>
      <c r="D259" s="636" t="s">
        <v>1598</v>
      </c>
      <c r="E259" s="637">
        <v>6.2</v>
      </c>
      <c r="F259" s="634" t="s">
        <v>1599</v>
      </c>
      <c r="G259" s="634" t="s">
        <v>1600</v>
      </c>
      <c r="H259" s="634" t="s">
        <v>1828</v>
      </c>
      <c r="I259" s="639">
        <v>7448</v>
      </c>
      <c r="J259" s="638" t="s">
        <v>1599</v>
      </c>
      <c r="K259" s="640">
        <v>3860</v>
      </c>
      <c r="L259" s="645">
        <f t="shared" si="8"/>
        <v>22077</v>
      </c>
      <c r="M259" s="902">
        <v>25937</v>
      </c>
      <c r="N259" s="911">
        <v>16007</v>
      </c>
      <c r="O259" s="636">
        <v>0</v>
      </c>
      <c r="P259" s="646">
        <v>100</v>
      </c>
    </row>
    <row r="260" spans="1:16" ht="15.75" customHeight="1">
      <c r="A260" s="628" t="s">
        <v>2096</v>
      </c>
      <c r="B260" s="629">
        <v>45036</v>
      </c>
      <c r="C260" s="618" t="s">
        <v>1597</v>
      </c>
      <c r="D260" s="618" t="s">
        <v>1598</v>
      </c>
      <c r="E260" s="630">
        <v>7.1</v>
      </c>
      <c r="F260" s="628" t="s">
        <v>1599</v>
      </c>
      <c r="G260" s="628" t="s">
        <v>1600</v>
      </c>
      <c r="H260" s="628" t="s">
        <v>1963</v>
      </c>
      <c r="I260" s="632">
        <v>14253</v>
      </c>
      <c r="J260" s="631" t="s">
        <v>1599</v>
      </c>
      <c r="K260" s="633">
        <v>3870</v>
      </c>
      <c r="L260" s="643">
        <f t="shared" si="8"/>
        <v>11547.38</v>
      </c>
      <c r="M260" s="901">
        <v>15417.38</v>
      </c>
      <c r="N260" s="912">
        <v>8841.42</v>
      </c>
      <c r="O260" s="618">
        <v>0</v>
      </c>
      <c r="P260" s="644">
        <v>100</v>
      </c>
    </row>
    <row r="261" spans="1:16" ht="15.75" customHeight="1">
      <c r="A261" s="634" t="s">
        <v>2097</v>
      </c>
      <c r="B261" s="635">
        <v>45035</v>
      </c>
      <c r="C261" s="636" t="s">
        <v>1597</v>
      </c>
      <c r="D261" s="636" t="s">
        <v>1598</v>
      </c>
      <c r="E261" s="637">
        <v>6.2</v>
      </c>
      <c r="F261" s="634" t="s">
        <v>1599</v>
      </c>
      <c r="G261" s="634" t="s">
        <v>1600</v>
      </c>
      <c r="H261" s="634" t="s">
        <v>1893</v>
      </c>
      <c r="I261" s="639">
        <v>2167</v>
      </c>
      <c r="J261" s="638" t="s">
        <v>1599</v>
      </c>
      <c r="K261" s="640">
        <v>2180</v>
      </c>
      <c r="L261" s="645">
        <f t="shared" si="8"/>
        <v>4587.3</v>
      </c>
      <c r="M261" s="902">
        <v>6767.3</v>
      </c>
      <c r="N261" s="911">
        <v>3450.2</v>
      </c>
      <c r="O261" s="636">
        <v>0</v>
      </c>
      <c r="P261" s="646">
        <v>100</v>
      </c>
    </row>
    <row r="262" spans="1:16" ht="15.75" customHeight="1">
      <c r="A262" s="628" t="s">
        <v>2098</v>
      </c>
      <c r="B262" s="629">
        <v>45043</v>
      </c>
      <c r="C262" s="618" t="s">
        <v>1597</v>
      </c>
      <c r="D262" s="618" t="s">
        <v>1598</v>
      </c>
      <c r="E262" s="630">
        <v>6.5</v>
      </c>
      <c r="F262" s="628" t="s">
        <v>1599</v>
      </c>
      <c r="G262" s="628" t="s">
        <v>1600</v>
      </c>
      <c r="H262" s="628" t="s">
        <v>1850</v>
      </c>
      <c r="I262" s="632">
        <v>9687</v>
      </c>
      <c r="J262" s="631" t="s">
        <v>1599</v>
      </c>
      <c r="K262" s="633">
        <v>3630</v>
      </c>
      <c r="L262" s="643">
        <f t="shared" si="8"/>
        <v>22836.240000000002</v>
      </c>
      <c r="M262" s="901">
        <v>26466.240000000002</v>
      </c>
      <c r="N262" s="912">
        <v>21241.24</v>
      </c>
      <c r="O262" s="618">
        <v>0</v>
      </c>
      <c r="P262" s="644">
        <v>100</v>
      </c>
    </row>
    <row r="263" spans="1:16" ht="15.75" customHeight="1">
      <c r="A263" s="634" t="s">
        <v>2099</v>
      </c>
      <c r="B263" s="635">
        <v>45043</v>
      </c>
      <c r="C263" s="636" t="s">
        <v>1597</v>
      </c>
      <c r="D263" s="636" t="s">
        <v>1598</v>
      </c>
      <c r="E263" s="637">
        <v>6.5</v>
      </c>
      <c r="F263" s="634" t="s">
        <v>1599</v>
      </c>
      <c r="G263" s="634" t="s">
        <v>1600</v>
      </c>
      <c r="H263" s="634" t="s">
        <v>1850</v>
      </c>
      <c r="I263" s="639">
        <v>9687</v>
      </c>
      <c r="J263" s="638" t="s">
        <v>1599</v>
      </c>
      <c r="K263" s="640">
        <v>3660</v>
      </c>
      <c r="L263" s="645">
        <f t="shared" si="8"/>
        <v>20434.7</v>
      </c>
      <c r="M263" s="902">
        <v>24094.7</v>
      </c>
      <c r="N263" s="911">
        <v>19052.7</v>
      </c>
      <c r="O263" s="636">
        <v>0</v>
      </c>
      <c r="P263" s="646">
        <v>100</v>
      </c>
    </row>
    <row r="264" spans="1:16" ht="15.75" customHeight="1">
      <c r="A264" s="628" t="s">
        <v>2100</v>
      </c>
      <c r="B264" s="629">
        <v>45040</v>
      </c>
      <c r="C264" s="618" t="s">
        <v>1597</v>
      </c>
      <c r="D264" s="618" t="s">
        <v>1598</v>
      </c>
      <c r="E264" s="630">
        <v>11.9</v>
      </c>
      <c r="F264" s="628" t="s">
        <v>1599</v>
      </c>
      <c r="G264" s="628" t="s">
        <v>1600</v>
      </c>
      <c r="H264" s="628" t="s">
        <v>1807</v>
      </c>
      <c r="I264" s="632">
        <v>1734</v>
      </c>
      <c r="J264" s="631" t="s">
        <v>1599</v>
      </c>
      <c r="K264" s="633">
        <v>3820</v>
      </c>
      <c r="L264" s="643">
        <f t="shared" si="8"/>
        <v>11641.8</v>
      </c>
      <c r="M264" s="901">
        <v>15461.8</v>
      </c>
      <c r="N264" s="912">
        <v>8899.7000000000007</v>
      </c>
      <c r="O264" s="618">
        <v>0</v>
      </c>
      <c r="P264" s="644">
        <v>100</v>
      </c>
    </row>
    <row r="265" spans="1:16" ht="15.75" customHeight="1">
      <c r="A265" s="634" t="s">
        <v>2101</v>
      </c>
      <c r="B265" s="635">
        <v>45043</v>
      </c>
      <c r="C265" s="636" t="s">
        <v>1597</v>
      </c>
      <c r="D265" s="636" t="s">
        <v>1598</v>
      </c>
      <c r="E265" s="637">
        <v>6</v>
      </c>
      <c r="F265" s="634" t="s">
        <v>1599</v>
      </c>
      <c r="G265" s="634" t="s">
        <v>1600</v>
      </c>
      <c r="H265" s="634" t="s">
        <v>1818</v>
      </c>
      <c r="I265" s="639">
        <v>14000</v>
      </c>
      <c r="J265" s="638" t="s">
        <v>1599</v>
      </c>
      <c r="K265" s="640">
        <v>3900</v>
      </c>
      <c r="L265" s="645">
        <f t="shared" si="8"/>
        <v>17345.25</v>
      </c>
      <c r="M265" s="902">
        <v>21245.25</v>
      </c>
      <c r="N265" s="911">
        <v>14853.81</v>
      </c>
      <c r="O265" s="636">
        <v>0</v>
      </c>
      <c r="P265" s="646">
        <v>100</v>
      </c>
    </row>
    <row r="266" spans="1:16" ht="15.75" customHeight="1">
      <c r="A266" s="628" t="s">
        <v>2102</v>
      </c>
      <c r="B266" s="629">
        <v>45044</v>
      </c>
      <c r="C266" s="618" t="s">
        <v>1597</v>
      </c>
      <c r="D266" s="618" t="s">
        <v>1598</v>
      </c>
      <c r="E266" s="630">
        <v>3.6</v>
      </c>
      <c r="F266" s="628" t="s">
        <v>1599</v>
      </c>
      <c r="G266" s="628" t="s">
        <v>1600</v>
      </c>
      <c r="H266" s="628" t="s">
        <v>1848</v>
      </c>
      <c r="I266" s="632">
        <v>3740</v>
      </c>
      <c r="J266" s="631" t="s">
        <v>1599</v>
      </c>
      <c r="K266" s="633">
        <v>3830</v>
      </c>
      <c r="L266" s="643">
        <f t="shared" si="8"/>
        <v>6367.7000000000007</v>
      </c>
      <c r="M266" s="901">
        <v>10197.700000000001</v>
      </c>
      <c r="N266" s="912">
        <v>4439.3999999999996</v>
      </c>
      <c r="O266" s="618">
        <v>0</v>
      </c>
      <c r="P266" s="644">
        <v>100</v>
      </c>
    </row>
    <row r="267" spans="1:16" ht="15.75" customHeight="1">
      <c r="A267" s="634" t="s">
        <v>2103</v>
      </c>
      <c r="B267" s="635">
        <v>45040</v>
      </c>
      <c r="C267" s="636" t="s">
        <v>1597</v>
      </c>
      <c r="D267" s="636" t="s">
        <v>1598</v>
      </c>
      <c r="E267" s="637">
        <v>5.3</v>
      </c>
      <c r="F267" s="634" t="s">
        <v>1599</v>
      </c>
      <c r="G267" s="634" t="s">
        <v>1600</v>
      </c>
      <c r="H267" s="634" t="s">
        <v>1873</v>
      </c>
      <c r="I267" s="639">
        <v>3824</v>
      </c>
      <c r="J267" s="638" t="s">
        <v>1599</v>
      </c>
      <c r="K267" s="640">
        <v>3700</v>
      </c>
      <c r="L267" s="645">
        <f t="shared" si="8"/>
        <v>10080.459999999999</v>
      </c>
      <c r="M267" s="902">
        <v>13780.46</v>
      </c>
      <c r="N267" s="911">
        <v>7403.4</v>
      </c>
      <c r="O267" s="636">
        <v>0</v>
      </c>
      <c r="P267" s="646">
        <v>100</v>
      </c>
    </row>
    <row r="268" spans="1:16" ht="15.75" customHeight="1">
      <c r="A268" s="628" t="s">
        <v>2104</v>
      </c>
      <c r="B268" s="629">
        <v>45040</v>
      </c>
      <c r="C268" s="618" t="s">
        <v>1597</v>
      </c>
      <c r="D268" s="618" t="s">
        <v>1598</v>
      </c>
      <c r="E268" s="630">
        <v>6.2</v>
      </c>
      <c r="F268" s="628" t="s">
        <v>1599</v>
      </c>
      <c r="G268" s="628" t="s">
        <v>1600</v>
      </c>
      <c r="H268" s="628" t="s">
        <v>1822</v>
      </c>
      <c r="I268" s="632">
        <v>13787</v>
      </c>
      <c r="J268" s="631" t="s">
        <v>1599</v>
      </c>
      <c r="K268" s="633">
        <v>3810</v>
      </c>
      <c r="L268" s="643">
        <f t="shared" si="8"/>
        <v>14628</v>
      </c>
      <c r="M268" s="901">
        <v>18438</v>
      </c>
      <c r="N268" s="912">
        <v>10952</v>
      </c>
      <c r="O268" s="618">
        <v>0</v>
      </c>
      <c r="P268" s="644">
        <v>100</v>
      </c>
    </row>
    <row r="269" spans="1:16" ht="15.75" customHeight="1">
      <c r="A269" s="634" t="s">
        <v>2105</v>
      </c>
      <c r="B269" s="635" t="s">
        <v>2106</v>
      </c>
      <c r="C269" s="636" t="s">
        <v>1597</v>
      </c>
      <c r="D269" s="636" t="s">
        <v>1598</v>
      </c>
      <c r="E269" s="637">
        <v>6.5</v>
      </c>
      <c r="F269" s="634" t="s">
        <v>1599</v>
      </c>
      <c r="G269" s="634" t="s">
        <v>1600</v>
      </c>
      <c r="H269" s="634" t="s">
        <v>1815</v>
      </c>
      <c r="I269" s="639">
        <v>17387</v>
      </c>
      <c r="J269" s="638" t="s">
        <v>1599</v>
      </c>
      <c r="K269" s="640">
        <v>3840</v>
      </c>
      <c r="L269" s="645">
        <f t="shared" si="8"/>
        <v>18455.66</v>
      </c>
      <c r="M269" s="902">
        <v>22295.66</v>
      </c>
      <c r="N269" s="911">
        <v>15983.28</v>
      </c>
      <c r="O269" s="636">
        <v>0</v>
      </c>
      <c r="P269" s="646">
        <v>100</v>
      </c>
    </row>
    <row r="270" spans="1:16" ht="15.75" customHeight="1">
      <c r="A270" s="628" t="s">
        <v>2107</v>
      </c>
      <c r="B270" s="629">
        <v>45042</v>
      </c>
      <c r="C270" s="618" t="s">
        <v>1597</v>
      </c>
      <c r="D270" s="618" t="s">
        <v>1598</v>
      </c>
      <c r="E270" s="630">
        <v>6.2</v>
      </c>
      <c r="F270" s="628" t="s">
        <v>1599</v>
      </c>
      <c r="G270" s="628" t="s">
        <v>1600</v>
      </c>
      <c r="H270" s="628" t="s">
        <v>1880</v>
      </c>
      <c r="I270" s="632">
        <v>13558</v>
      </c>
      <c r="J270" s="631" t="s">
        <v>1599</v>
      </c>
      <c r="K270" s="633">
        <v>3810</v>
      </c>
      <c r="L270" s="643">
        <f t="shared" si="8"/>
        <v>14963</v>
      </c>
      <c r="M270" s="901">
        <v>18773</v>
      </c>
      <c r="N270" s="912">
        <v>12158</v>
      </c>
      <c r="O270" s="618">
        <v>0</v>
      </c>
      <c r="P270" s="644">
        <v>100</v>
      </c>
    </row>
    <row r="271" spans="1:16" ht="15.75" customHeight="1">
      <c r="A271" s="634" t="s">
        <v>2108</v>
      </c>
      <c r="B271" s="635">
        <v>45042</v>
      </c>
      <c r="C271" s="636" t="s">
        <v>1597</v>
      </c>
      <c r="D271" s="636" t="s">
        <v>1598</v>
      </c>
      <c r="E271" s="637">
        <v>6.2</v>
      </c>
      <c r="F271" s="634" t="s">
        <v>1599</v>
      </c>
      <c r="G271" s="634" t="s">
        <v>1600</v>
      </c>
      <c r="H271" s="634" t="s">
        <v>1880</v>
      </c>
      <c r="I271" s="639">
        <v>13558</v>
      </c>
      <c r="J271" s="638" t="s">
        <v>1599</v>
      </c>
      <c r="K271" s="640">
        <v>3840</v>
      </c>
      <c r="L271" s="645">
        <f t="shared" si="8"/>
        <v>12907.5</v>
      </c>
      <c r="M271" s="902">
        <v>16747.5</v>
      </c>
      <c r="N271" s="911">
        <v>10159.5</v>
      </c>
      <c r="O271" s="636">
        <v>0</v>
      </c>
      <c r="P271" s="646">
        <v>100</v>
      </c>
    </row>
    <row r="272" spans="1:16" ht="15.75" customHeight="1">
      <c r="A272" s="628" t="s">
        <v>2109</v>
      </c>
      <c r="B272" s="629">
        <v>45043</v>
      </c>
      <c r="C272" s="618" t="s">
        <v>1597</v>
      </c>
      <c r="D272" s="618" t="s">
        <v>1598</v>
      </c>
      <c r="E272" s="630">
        <v>6.5</v>
      </c>
      <c r="F272" s="628" t="s">
        <v>1599</v>
      </c>
      <c r="G272" s="628" t="s">
        <v>1600</v>
      </c>
      <c r="H272" s="628" t="s">
        <v>1963</v>
      </c>
      <c r="I272" s="632">
        <v>14253</v>
      </c>
      <c r="J272" s="631" t="s">
        <v>1599</v>
      </c>
      <c r="K272" s="633">
        <v>3890</v>
      </c>
      <c r="L272" s="643">
        <f t="shared" si="8"/>
        <v>10602.8</v>
      </c>
      <c r="M272" s="901">
        <v>14492.8</v>
      </c>
      <c r="N272" s="912">
        <v>7899.29</v>
      </c>
      <c r="O272" s="618">
        <v>0</v>
      </c>
      <c r="P272" s="644">
        <v>100</v>
      </c>
    </row>
    <row r="273" spans="1:16" ht="15.75" customHeight="1">
      <c r="A273" s="634" t="s">
        <v>2110</v>
      </c>
      <c r="B273" s="635">
        <v>45043</v>
      </c>
      <c r="C273" s="636" t="s">
        <v>1597</v>
      </c>
      <c r="D273" s="636" t="s">
        <v>1598</v>
      </c>
      <c r="E273" s="637">
        <v>6</v>
      </c>
      <c r="F273" s="634" t="s">
        <v>1599</v>
      </c>
      <c r="G273" s="634" t="s">
        <v>1600</v>
      </c>
      <c r="H273" s="634" t="s">
        <v>2003</v>
      </c>
      <c r="I273" s="639">
        <v>9292</v>
      </c>
      <c r="J273" s="638" t="s">
        <v>1599</v>
      </c>
      <c r="K273" s="640">
        <v>3850</v>
      </c>
      <c r="L273" s="645">
        <f t="shared" si="8"/>
        <v>11418</v>
      </c>
      <c r="M273" s="902">
        <v>15268</v>
      </c>
      <c r="N273" s="911">
        <v>7386</v>
      </c>
      <c r="O273" s="636">
        <v>0</v>
      </c>
      <c r="P273" s="646">
        <v>100</v>
      </c>
    </row>
    <row r="274" spans="1:16" ht="15.75" customHeight="1">
      <c r="A274" s="628" t="s">
        <v>2111</v>
      </c>
      <c r="B274" s="629">
        <v>45043</v>
      </c>
      <c r="C274" s="618" t="s">
        <v>1597</v>
      </c>
      <c r="D274" s="618" t="s">
        <v>1598</v>
      </c>
      <c r="E274" s="630">
        <v>6</v>
      </c>
      <c r="F274" s="628" t="s">
        <v>1599</v>
      </c>
      <c r="G274" s="628" t="s">
        <v>1600</v>
      </c>
      <c r="H274" s="628" t="s">
        <v>2003</v>
      </c>
      <c r="I274" s="632">
        <v>9292</v>
      </c>
      <c r="J274" s="631" t="s">
        <v>1599</v>
      </c>
      <c r="K274" s="633">
        <v>3750</v>
      </c>
      <c r="L274" s="643">
        <f t="shared" si="8"/>
        <v>11418</v>
      </c>
      <c r="M274" s="901">
        <v>15168</v>
      </c>
      <c r="N274" s="912">
        <v>7386</v>
      </c>
      <c r="O274" s="618">
        <v>0</v>
      </c>
      <c r="P274" s="644">
        <v>100</v>
      </c>
    </row>
    <row r="275" spans="1:16" ht="15.75" customHeight="1">
      <c r="A275" s="634" t="s">
        <v>2112</v>
      </c>
      <c r="B275" s="635">
        <v>45044</v>
      </c>
      <c r="C275" s="636" t="s">
        <v>1597</v>
      </c>
      <c r="D275" s="636" t="s">
        <v>1598</v>
      </c>
      <c r="E275" s="637">
        <v>7.5</v>
      </c>
      <c r="F275" s="634" t="s">
        <v>1599</v>
      </c>
      <c r="G275" s="634" t="s">
        <v>1600</v>
      </c>
      <c r="H275" s="634" t="s">
        <v>1798</v>
      </c>
      <c r="I275" s="639">
        <v>1931</v>
      </c>
      <c r="J275" s="638" t="s">
        <v>1599</v>
      </c>
      <c r="K275" s="640">
        <v>5393.6</v>
      </c>
      <c r="L275" s="645">
        <f t="shared" si="8"/>
        <v>968</v>
      </c>
      <c r="M275" s="902">
        <v>6361.6</v>
      </c>
      <c r="N275" s="911">
        <v>5393.6</v>
      </c>
      <c r="O275" s="636">
        <v>0</v>
      </c>
      <c r="P275" s="646">
        <v>100</v>
      </c>
    </row>
    <row r="276" spans="1:16" ht="15.75" customHeight="1">
      <c r="A276" s="628" t="s">
        <v>2113</v>
      </c>
      <c r="B276" s="629">
        <v>45044</v>
      </c>
      <c r="C276" s="618" t="s">
        <v>1597</v>
      </c>
      <c r="D276" s="618" t="s">
        <v>1598</v>
      </c>
      <c r="E276" s="630">
        <v>7.1</v>
      </c>
      <c r="F276" s="628" t="s">
        <v>1599</v>
      </c>
      <c r="G276" s="628" t="s">
        <v>1600</v>
      </c>
      <c r="H276" s="628" t="s">
        <v>1886</v>
      </c>
      <c r="I276" s="632">
        <v>13877</v>
      </c>
      <c r="J276" s="631" t="s">
        <v>1599</v>
      </c>
      <c r="K276" s="633">
        <v>3840</v>
      </c>
      <c r="L276" s="643">
        <f t="shared" si="8"/>
        <v>10726</v>
      </c>
      <c r="M276" s="901">
        <v>14566</v>
      </c>
      <c r="N276" s="912">
        <v>8196.2000000000007</v>
      </c>
      <c r="O276" s="618">
        <v>0</v>
      </c>
      <c r="P276" s="644">
        <v>100</v>
      </c>
    </row>
    <row r="277" spans="1:16" ht="15.75" customHeight="1">
      <c r="A277" s="634" t="s">
        <v>2114</v>
      </c>
      <c r="B277" s="635">
        <v>45045</v>
      </c>
      <c r="C277" s="636" t="s">
        <v>1597</v>
      </c>
      <c r="D277" s="636" t="s">
        <v>1598</v>
      </c>
      <c r="E277" s="637">
        <v>7.1</v>
      </c>
      <c r="F277" s="634" t="s">
        <v>1599</v>
      </c>
      <c r="G277" s="634" t="s">
        <v>1600</v>
      </c>
      <c r="H277" s="634" t="s">
        <v>1886</v>
      </c>
      <c r="I277" s="639">
        <v>13877</v>
      </c>
      <c r="J277" s="638" t="s">
        <v>1599</v>
      </c>
      <c r="K277" s="640">
        <v>3700</v>
      </c>
      <c r="L277" s="645">
        <f t="shared" si="8"/>
        <v>10189.799999999999</v>
      </c>
      <c r="M277" s="902">
        <v>13889.8</v>
      </c>
      <c r="N277" s="911">
        <v>7660</v>
      </c>
      <c r="O277" s="636">
        <v>0</v>
      </c>
      <c r="P277" s="646">
        <v>100</v>
      </c>
    </row>
    <row r="278" spans="1:16" ht="15.75" customHeight="1">
      <c r="A278" s="628" t="s">
        <v>2115</v>
      </c>
      <c r="B278" s="629">
        <v>45048</v>
      </c>
      <c r="C278" s="618" t="s">
        <v>1597</v>
      </c>
      <c r="D278" s="618" t="s">
        <v>1598</v>
      </c>
      <c r="E278" s="630">
        <v>4.5</v>
      </c>
      <c r="F278" s="628" t="s">
        <v>1599</v>
      </c>
      <c r="G278" s="628" t="s">
        <v>1600</v>
      </c>
      <c r="H278" s="628" t="s">
        <v>1850</v>
      </c>
      <c r="I278" s="632">
        <v>9687</v>
      </c>
      <c r="J278" s="631" t="s">
        <v>1599</v>
      </c>
      <c r="K278" s="633">
        <v>2040</v>
      </c>
      <c r="L278" s="643">
        <f>M278-K278</f>
        <v>9517</v>
      </c>
      <c r="M278" s="901">
        <v>11557</v>
      </c>
      <c r="N278" s="912">
        <v>8877</v>
      </c>
      <c r="O278" s="618">
        <v>0</v>
      </c>
      <c r="P278" s="644">
        <v>100</v>
      </c>
    </row>
    <row r="279" spans="1:16" ht="15.75" customHeight="1">
      <c r="A279" s="651" t="s">
        <v>2116</v>
      </c>
      <c r="B279" s="635">
        <v>45071</v>
      </c>
      <c r="C279" s="636" t="s">
        <v>1597</v>
      </c>
      <c r="D279" s="636" t="s">
        <v>2117</v>
      </c>
      <c r="E279" s="637">
        <v>41.1</v>
      </c>
      <c r="F279" s="634" t="s">
        <v>1599</v>
      </c>
      <c r="G279" s="634" t="s">
        <v>1600</v>
      </c>
      <c r="H279" s="634" t="s">
        <v>1850</v>
      </c>
      <c r="I279" s="639">
        <v>9687</v>
      </c>
      <c r="J279" s="638" t="s">
        <v>1599</v>
      </c>
      <c r="K279" s="640">
        <v>0</v>
      </c>
      <c r="L279" s="645">
        <v>0</v>
      </c>
      <c r="M279" s="902">
        <v>0</v>
      </c>
      <c r="N279" s="911">
        <v>7468</v>
      </c>
      <c r="O279" s="636">
        <v>0</v>
      </c>
      <c r="P279" s="646">
        <v>100</v>
      </c>
    </row>
    <row r="280" spans="1:16" ht="15.75" customHeight="1">
      <c r="A280" s="628" t="s">
        <v>2118</v>
      </c>
      <c r="B280" s="629">
        <v>45048</v>
      </c>
      <c r="C280" s="618" t="s">
        <v>1597</v>
      </c>
      <c r="D280" s="618" t="s">
        <v>1598</v>
      </c>
      <c r="E280" s="630">
        <v>6.2</v>
      </c>
      <c r="F280" s="628" t="s">
        <v>1599</v>
      </c>
      <c r="G280" s="628" t="s">
        <v>1600</v>
      </c>
      <c r="H280" s="628" t="s">
        <v>1807</v>
      </c>
      <c r="I280" s="632">
        <v>1734</v>
      </c>
      <c r="J280" s="631" t="s">
        <v>1599</v>
      </c>
      <c r="K280" s="633">
        <v>3700</v>
      </c>
      <c r="L280" s="643">
        <f t="shared" ref="L280:L283" si="9">M280-K280</f>
        <v>11504.9</v>
      </c>
      <c r="M280" s="901">
        <v>15204.9</v>
      </c>
      <c r="N280" s="912">
        <v>9026</v>
      </c>
      <c r="O280" s="618">
        <v>0</v>
      </c>
      <c r="P280" s="644">
        <v>100</v>
      </c>
    </row>
    <row r="281" spans="1:16" ht="15.75" customHeight="1">
      <c r="A281" s="634" t="s">
        <v>2119</v>
      </c>
      <c r="B281" s="635">
        <v>45048</v>
      </c>
      <c r="C281" s="636" t="s">
        <v>1597</v>
      </c>
      <c r="D281" s="636" t="s">
        <v>1598</v>
      </c>
      <c r="E281" s="637">
        <v>6.2</v>
      </c>
      <c r="F281" s="634" t="s">
        <v>1599</v>
      </c>
      <c r="G281" s="634" t="s">
        <v>1600</v>
      </c>
      <c r="H281" s="634" t="s">
        <v>1807</v>
      </c>
      <c r="I281" s="639">
        <v>1734</v>
      </c>
      <c r="J281" s="638" t="s">
        <v>1599</v>
      </c>
      <c r="K281" s="640">
        <v>2150</v>
      </c>
      <c r="L281" s="645">
        <f t="shared" si="9"/>
        <v>5817.5</v>
      </c>
      <c r="M281" s="902">
        <v>7967.5</v>
      </c>
      <c r="N281" s="911">
        <v>4400.8</v>
      </c>
      <c r="O281" s="636">
        <v>0</v>
      </c>
      <c r="P281" s="646">
        <v>100</v>
      </c>
    </row>
    <row r="282" spans="1:16" ht="15.75" customHeight="1">
      <c r="A282" s="628" t="s">
        <v>2120</v>
      </c>
      <c r="B282" s="629">
        <v>45051</v>
      </c>
      <c r="C282" s="618" t="s">
        <v>1597</v>
      </c>
      <c r="D282" s="618" t="s">
        <v>1598</v>
      </c>
      <c r="E282" s="630">
        <v>6</v>
      </c>
      <c r="F282" s="628" t="s">
        <v>1599</v>
      </c>
      <c r="G282" s="628" t="s">
        <v>1600</v>
      </c>
      <c r="H282" s="628" t="s">
        <v>2121</v>
      </c>
      <c r="I282" s="632">
        <v>9007</v>
      </c>
      <c r="J282" s="631" t="s">
        <v>1599</v>
      </c>
      <c r="K282" s="633">
        <v>2185</v>
      </c>
      <c r="L282" s="643">
        <f t="shared" si="9"/>
        <v>5123</v>
      </c>
      <c r="M282" s="901">
        <v>7308</v>
      </c>
      <c r="N282" s="912">
        <v>3723.6</v>
      </c>
      <c r="O282" s="618">
        <v>0</v>
      </c>
      <c r="P282" s="644">
        <v>100</v>
      </c>
    </row>
    <row r="283" spans="1:16" ht="15.75" customHeight="1">
      <c r="A283" s="634" t="s">
        <v>2122</v>
      </c>
      <c r="B283" s="635">
        <v>45048</v>
      </c>
      <c r="C283" s="636" t="s">
        <v>1597</v>
      </c>
      <c r="D283" s="636" t="s">
        <v>1598</v>
      </c>
      <c r="E283" s="637">
        <v>6.2</v>
      </c>
      <c r="F283" s="634" t="s">
        <v>1599</v>
      </c>
      <c r="G283" s="634" t="s">
        <v>1600</v>
      </c>
      <c r="H283" s="634" t="s">
        <v>1884</v>
      </c>
      <c r="I283" s="639">
        <v>13413</v>
      </c>
      <c r="J283" s="638" t="s">
        <v>1599</v>
      </c>
      <c r="K283" s="640">
        <v>3700</v>
      </c>
      <c r="L283" s="645">
        <f t="shared" si="9"/>
        <v>14839</v>
      </c>
      <c r="M283" s="902">
        <v>18539</v>
      </c>
      <c r="N283" s="911">
        <v>12511.2</v>
      </c>
      <c r="O283" s="636">
        <v>0</v>
      </c>
      <c r="P283" s="646">
        <v>100</v>
      </c>
    </row>
    <row r="284" spans="1:16" ht="15.75" customHeight="1">
      <c r="A284" s="628" t="s">
        <v>2123</v>
      </c>
      <c r="B284" s="629">
        <v>45055</v>
      </c>
      <c r="C284" s="618" t="s">
        <v>1597</v>
      </c>
      <c r="D284" s="618"/>
      <c r="E284" s="630"/>
      <c r="F284" s="628"/>
      <c r="G284" s="628" t="s">
        <v>1600</v>
      </c>
      <c r="H284" s="628" t="s">
        <v>1798</v>
      </c>
      <c r="I284" s="632">
        <v>1931</v>
      </c>
      <c r="J284" s="631"/>
      <c r="K284" s="633">
        <v>3142.78</v>
      </c>
      <c r="L284" s="643">
        <v>1333.24</v>
      </c>
      <c r="M284" s="901">
        <v>4476.07</v>
      </c>
      <c r="N284" s="912">
        <v>3142.78</v>
      </c>
      <c r="O284" s="618">
        <v>0</v>
      </c>
      <c r="P284" s="644">
        <v>100</v>
      </c>
    </row>
    <row r="285" spans="1:16" ht="15.75" customHeight="1">
      <c r="A285" s="634" t="s">
        <v>2124</v>
      </c>
      <c r="B285" s="635">
        <v>45054</v>
      </c>
      <c r="C285" s="636" t="s">
        <v>1597</v>
      </c>
      <c r="D285" s="636" t="s">
        <v>1598</v>
      </c>
      <c r="E285" s="637">
        <v>6</v>
      </c>
      <c r="F285" s="634" t="s">
        <v>1599</v>
      </c>
      <c r="G285" s="634" t="s">
        <v>1600</v>
      </c>
      <c r="H285" s="634" t="s">
        <v>1850</v>
      </c>
      <c r="I285" s="639">
        <v>9687</v>
      </c>
      <c r="J285" s="638" t="s">
        <v>1599</v>
      </c>
      <c r="K285" s="640">
        <v>2230</v>
      </c>
      <c r="L285" s="645">
        <f t="shared" ref="L285:L348" si="10">M285-K285</f>
        <v>5777</v>
      </c>
      <c r="M285" s="902">
        <v>8007</v>
      </c>
      <c r="N285" s="911">
        <v>4550</v>
      </c>
      <c r="O285" s="636">
        <v>0</v>
      </c>
      <c r="P285" s="646">
        <v>100</v>
      </c>
    </row>
    <row r="286" spans="1:16" ht="15.75" customHeight="1">
      <c r="A286" s="628" t="s">
        <v>2125</v>
      </c>
      <c r="B286" s="629">
        <v>45054</v>
      </c>
      <c r="C286" s="618" t="s">
        <v>1597</v>
      </c>
      <c r="D286" s="618" t="s">
        <v>1598</v>
      </c>
      <c r="E286" s="630">
        <v>6.3</v>
      </c>
      <c r="F286" s="628" t="s">
        <v>1599</v>
      </c>
      <c r="G286" s="628" t="s">
        <v>1600</v>
      </c>
      <c r="H286" s="628" t="s">
        <v>1822</v>
      </c>
      <c r="I286" s="632">
        <v>13787</v>
      </c>
      <c r="J286" s="631" t="s">
        <v>1599</v>
      </c>
      <c r="K286" s="633">
        <v>3800</v>
      </c>
      <c r="L286" s="643">
        <f t="shared" si="10"/>
        <v>14839</v>
      </c>
      <c r="M286" s="901">
        <v>18639</v>
      </c>
      <c r="N286" s="912">
        <v>12511.2</v>
      </c>
      <c r="O286" s="618">
        <v>0</v>
      </c>
      <c r="P286" s="644">
        <v>100</v>
      </c>
    </row>
    <row r="287" spans="1:16" ht="15.75" customHeight="1">
      <c r="A287" s="634" t="s">
        <v>2126</v>
      </c>
      <c r="B287" s="635">
        <v>45051</v>
      </c>
      <c r="C287" s="636" t="s">
        <v>1597</v>
      </c>
      <c r="D287" s="636" t="s">
        <v>1598</v>
      </c>
      <c r="E287" s="637">
        <v>7.1</v>
      </c>
      <c r="F287" s="634" t="s">
        <v>1599</v>
      </c>
      <c r="G287" s="634" t="s">
        <v>1600</v>
      </c>
      <c r="H287" s="634" t="s">
        <v>1844</v>
      </c>
      <c r="I287" s="639">
        <v>5727</v>
      </c>
      <c r="J287" s="638" t="s">
        <v>1599</v>
      </c>
      <c r="K287" s="640">
        <v>2220</v>
      </c>
      <c r="L287" s="645">
        <f t="shared" si="10"/>
        <v>6041.7800000000007</v>
      </c>
      <c r="M287" s="902">
        <v>8261.7800000000007</v>
      </c>
      <c r="N287" s="911">
        <v>5083.78</v>
      </c>
      <c r="O287" s="636">
        <v>0</v>
      </c>
      <c r="P287" s="646">
        <v>100</v>
      </c>
    </row>
    <row r="288" spans="1:16" ht="15.75" customHeight="1">
      <c r="A288" s="628" t="s">
        <v>2127</v>
      </c>
      <c r="B288" s="629">
        <v>45051</v>
      </c>
      <c r="C288" s="618" t="s">
        <v>1597</v>
      </c>
      <c r="D288" s="618" t="s">
        <v>1598</v>
      </c>
      <c r="E288" s="630">
        <v>7.1</v>
      </c>
      <c r="F288" s="628" t="s">
        <v>1599</v>
      </c>
      <c r="G288" s="628" t="s">
        <v>1600</v>
      </c>
      <c r="H288" s="628" t="s">
        <v>1846</v>
      </c>
      <c r="I288" s="632">
        <v>5317</v>
      </c>
      <c r="J288" s="631" t="s">
        <v>1599</v>
      </c>
      <c r="K288" s="633">
        <v>2180</v>
      </c>
      <c r="L288" s="643">
        <f t="shared" si="10"/>
        <v>6459.15</v>
      </c>
      <c r="M288" s="901">
        <v>8639.15</v>
      </c>
      <c r="N288" s="912">
        <v>5232.0200000000004</v>
      </c>
      <c r="O288" s="618">
        <v>0</v>
      </c>
      <c r="P288" s="644">
        <v>100</v>
      </c>
    </row>
    <row r="289" spans="1:16" ht="15.75" customHeight="1">
      <c r="A289" s="634" t="s">
        <v>2128</v>
      </c>
      <c r="B289" s="635">
        <v>45051</v>
      </c>
      <c r="C289" s="636" t="s">
        <v>1597</v>
      </c>
      <c r="D289" s="636" t="s">
        <v>1598</v>
      </c>
      <c r="E289" s="637">
        <v>7.1</v>
      </c>
      <c r="F289" s="634" t="s">
        <v>1599</v>
      </c>
      <c r="G289" s="634" t="s">
        <v>1600</v>
      </c>
      <c r="H289" s="634" t="s">
        <v>1912</v>
      </c>
      <c r="I289" s="639">
        <v>4929</v>
      </c>
      <c r="J289" s="638" t="s">
        <v>1599</v>
      </c>
      <c r="K289" s="640">
        <v>3640</v>
      </c>
      <c r="L289" s="645">
        <f t="shared" si="10"/>
        <v>14991.64</v>
      </c>
      <c r="M289" s="902">
        <v>18631.64</v>
      </c>
      <c r="N289" s="911">
        <v>13057.23</v>
      </c>
      <c r="O289" s="636">
        <v>0</v>
      </c>
      <c r="P289" s="646">
        <v>100</v>
      </c>
    </row>
    <row r="290" spans="1:16" ht="15.75" customHeight="1">
      <c r="A290" s="628" t="s">
        <v>2129</v>
      </c>
      <c r="B290" s="629">
        <v>45054</v>
      </c>
      <c r="C290" s="618" t="s">
        <v>1597</v>
      </c>
      <c r="D290" s="618" t="s">
        <v>1598</v>
      </c>
      <c r="E290" s="630">
        <v>7.1</v>
      </c>
      <c r="F290" s="628" t="s">
        <v>1599</v>
      </c>
      <c r="G290" s="628" t="s">
        <v>1600</v>
      </c>
      <c r="H290" s="628" t="s">
        <v>1912</v>
      </c>
      <c r="I290" s="632">
        <v>4929</v>
      </c>
      <c r="J290" s="631" t="s">
        <v>1599</v>
      </c>
      <c r="K290" s="633">
        <v>3740</v>
      </c>
      <c r="L290" s="643">
        <f t="shared" si="10"/>
        <v>13200.099999999999</v>
      </c>
      <c r="M290" s="901">
        <v>16940.099999999999</v>
      </c>
      <c r="N290" s="912">
        <v>10567.3</v>
      </c>
      <c r="O290" s="618">
        <v>0</v>
      </c>
      <c r="P290" s="644">
        <v>100</v>
      </c>
    </row>
    <row r="291" spans="1:16" ht="15.75" customHeight="1">
      <c r="A291" s="634" t="s">
        <v>2130</v>
      </c>
      <c r="B291" s="635">
        <v>45056</v>
      </c>
      <c r="C291" s="636" t="s">
        <v>1597</v>
      </c>
      <c r="D291" s="636" t="s">
        <v>1598</v>
      </c>
      <c r="E291" s="637">
        <v>6.3</v>
      </c>
      <c r="F291" s="634" t="s">
        <v>1599</v>
      </c>
      <c r="G291" s="634" t="s">
        <v>1600</v>
      </c>
      <c r="H291" s="634" t="s">
        <v>1850</v>
      </c>
      <c r="I291" s="639">
        <v>9687</v>
      </c>
      <c r="J291" s="638" t="s">
        <v>1599</v>
      </c>
      <c r="K291" s="640">
        <v>3750</v>
      </c>
      <c r="L291" s="645">
        <f t="shared" si="10"/>
        <v>25027</v>
      </c>
      <c r="M291" s="902">
        <v>28777</v>
      </c>
      <c r="N291" s="911">
        <v>23842</v>
      </c>
      <c r="O291" s="636">
        <v>0</v>
      </c>
      <c r="P291" s="646">
        <v>100</v>
      </c>
    </row>
    <row r="292" spans="1:16" ht="15.75" customHeight="1">
      <c r="A292" s="628" t="s">
        <v>2131</v>
      </c>
      <c r="B292" s="629">
        <v>45054</v>
      </c>
      <c r="C292" s="618" t="s">
        <v>1597</v>
      </c>
      <c r="D292" s="618" t="s">
        <v>1598</v>
      </c>
      <c r="E292" s="630">
        <v>6</v>
      </c>
      <c r="F292" s="628" t="s">
        <v>1599</v>
      </c>
      <c r="G292" s="628" t="s">
        <v>1600</v>
      </c>
      <c r="H292" s="628" t="s">
        <v>1846</v>
      </c>
      <c r="I292" s="632">
        <v>5317</v>
      </c>
      <c r="J292" s="631" t="s">
        <v>1599</v>
      </c>
      <c r="K292" s="633">
        <v>2210</v>
      </c>
      <c r="L292" s="643">
        <f t="shared" si="10"/>
        <v>3770.6899999999996</v>
      </c>
      <c r="M292" s="901">
        <v>5980.69</v>
      </c>
      <c r="N292" s="912">
        <v>2729.97</v>
      </c>
      <c r="O292" s="618">
        <v>0</v>
      </c>
      <c r="P292" s="644">
        <v>100</v>
      </c>
    </row>
    <row r="293" spans="1:16" ht="15.75" customHeight="1">
      <c r="A293" s="634" t="s">
        <v>2132</v>
      </c>
      <c r="B293" s="635">
        <v>45061</v>
      </c>
      <c r="C293" s="636" t="s">
        <v>1597</v>
      </c>
      <c r="D293" s="636" t="s">
        <v>1598</v>
      </c>
      <c r="E293" s="637">
        <v>6.2</v>
      </c>
      <c r="F293" s="634" t="s">
        <v>1599</v>
      </c>
      <c r="G293" s="634" t="s">
        <v>1600</v>
      </c>
      <c r="H293" s="634" t="s">
        <v>1838</v>
      </c>
      <c r="I293" s="639">
        <v>4972</v>
      </c>
      <c r="J293" s="638" t="s">
        <v>1599</v>
      </c>
      <c r="K293" s="640">
        <v>3570</v>
      </c>
      <c r="L293" s="645">
        <f t="shared" si="10"/>
        <v>12352.75</v>
      </c>
      <c r="M293" s="902">
        <v>15922.75</v>
      </c>
      <c r="N293" s="911">
        <v>9530.7999999999993</v>
      </c>
      <c r="O293" s="636">
        <v>0</v>
      </c>
      <c r="P293" s="646">
        <v>100</v>
      </c>
    </row>
    <row r="294" spans="1:16" ht="15.75" customHeight="1">
      <c r="A294" s="628" t="s">
        <v>2133</v>
      </c>
      <c r="B294" s="629">
        <v>45072</v>
      </c>
      <c r="C294" s="618" t="s">
        <v>1597</v>
      </c>
      <c r="D294" s="618" t="s">
        <v>1598</v>
      </c>
      <c r="E294" s="630">
        <v>7.1</v>
      </c>
      <c r="F294" s="628" t="s">
        <v>1599</v>
      </c>
      <c r="G294" s="628" t="s">
        <v>1600</v>
      </c>
      <c r="H294" s="628" t="s">
        <v>1841</v>
      </c>
      <c r="I294" s="632">
        <v>9486</v>
      </c>
      <c r="J294" s="631" t="s">
        <v>1599</v>
      </c>
      <c r="K294" s="633">
        <v>3890</v>
      </c>
      <c r="L294" s="643">
        <f t="shared" si="10"/>
        <v>16826.900000000001</v>
      </c>
      <c r="M294" s="901">
        <v>20716.900000000001</v>
      </c>
      <c r="N294" s="912">
        <v>12903.9</v>
      </c>
      <c r="O294" s="618">
        <v>0</v>
      </c>
      <c r="P294" s="644">
        <v>100</v>
      </c>
    </row>
    <row r="295" spans="1:16" ht="15.75" customHeight="1">
      <c r="A295" s="634" t="s">
        <v>2134</v>
      </c>
      <c r="B295" s="635">
        <v>45062</v>
      </c>
      <c r="C295" s="636" t="s">
        <v>1597</v>
      </c>
      <c r="D295" s="636" t="s">
        <v>1598</v>
      </c>
      <c r="E295" s="637">
        <v>6.2</v>
      </c>
      <c r="F295" s="634" t="s">
        <v>1599</v>
      </c>
      <c r="G295" s="634" t="s">
        <v>1600</v>
      </c>
      <c r="H295" s="634" t="s">
        <v>1841</v>
      </c>
      <c r="I295" s="639">
        <v>9486</v>
      </c>
      <c r="J295" s="638" t="s">
        <v>1599</v>
      </c>
      <c r="K295" s="640">
        <v>3830</v>
      </c>
      <c r="L295" s="645">
        <f t="shared" si="10"/>
        <v>16861.349999999999</v>
      </c>
      <c r="M295" s="902">
        <v>20691.349999999999</v>
      </c>
      <c r="N295" s="911">
        <v>12792.45</v>
      </c>
      <c r="O295" s="636">
        <v>0</v>
      </c>
      <c r="P295" s="646">
        <v>100</v>
      </c>
    </row>
    <row r="296" spans="1:16" ht="15.75" customHeight="1">
      <c r="A296" s="628" t="s">
        <v>2135</v>
      </c>
      <c r="B296" s="629">
        <v>45062</v>
      </c>
      <c r="C296" s="618" t="s">
        <v>1597</v>
      </c>
      <c r="D296" s="618" t="s">
        <v>1598</v>
      </c>
      <c r="E296" s="630">
        <v>6.3</v>
      </c>
      <c r="F296" s="628" t="s">
        <v>1599</v>
      </c>
      <c r="G296" s="628" t="s">
        <v>1600</v>
      </c>
      <c r="H296" s="628" t="s">
        <v>1841</v>
      </c>
      <c r="I296" s="632">
        <v>9486</v>
      </c>
      <c r="J296" s="631" t="s">
        <v>1599</v>
      </c>
      <c r="K296" s="633">
        <v>3860</v>
      </c>
      <c r="L296" s="643">
        <f t="shared" si="10"/>
        <v>17401.05</v>
      </c>
      <c r="M296" s="901">
        <v>21261.05</v>
      </c>
      <c r="N296" s="912">
        <v>12365.65</v>
      </c>
      <c r="O296" s="618">
        <v>0</v>
      </c>
      <c r="P296" s="644">
        <v>100</v>
      </c>
    </row>
    <row r="297" spans="1:16" ht="15.75" customHeight="1">
      <c r="A297" s="385" t="s">
        <v>2136</v>
      </c>
      <c r="B297" s="652">
        <v>45056</v>
      </c>
      <c r="C297" s="636" t="s">
        <v>1597</v>
      </c>
      <c r="D297" s="636" t="s">
        <v>1598</v>
      </c>
      <c r="E297" s="637">
        <v>6.3</v>
      </c>
      <c r="F297" s="634" t="s">
        <v>1599</v>
      </c>
      <c r="G297" s="634" t="s">
        <v>1600</v>
      </c>
      <c r="H297" s="385" t="s">
        <v>1854</v>
      </c>
      <c r="I297" s="653">
        <v>8865</v>
      </c>
      <c r="J297" s="638" t="s">
        <v>1599</v>
      </c>
      <c r="K297" s="640">
        <v>3570</v>
      </c>
      <c r="L297" s="645">
        <f t="shared" si="10"/>
        <v>19773</v>
      </c>
      <c r="M297" s="902">
        <v>23343</v>
      </c>
      <c r="N297" s="912">
        <v>18255.400000000001</v>
      </c>
      <c r="O297" s="636">
        <v>0</v>
      </c>
      <c r="P297" s="646">
        <v>100</v>
      </c>
    </row>
    <row r="298" spans="1:16" ht="15.75" customHeight="1">
      <c r="A298" s="634" t="s">
        <v>2137</v>
      </c>
      <c r="B298" s="635">
        <v>45064</v>
      </c>
      <c r="C298" s="618" t="s">
        <v>1597</v>
      </c>
      <c r="D298" s="618" t="s">
        <v>1598</v>
      </c>
      <c r="E298" s="630">
        <v>6.2</v>
      </c>
      <c r="F298" s="628" t="s">
        <v>1599</v>
      </c>
      <c r="G298" s="628" t="s">
        <v>1600</v>
      </c>
      <c r="H298" s="634" t="s">
        <v>1801</v>
      </c>
      <c r="I298" s="639">
        <v>9292</v>
      </c>
      <c r="J298" s="631" t="s">
        <v>1599</v>
      </c>
      <c r="K298" s="633">
        <v>2180</v>
      </c>
      <c r="L298" s="643">
        <f t="shared" si="10"/>
        <v>14805</v>
      </c>
      <c r="M298" s="901">
        <v>16985</v>
      </c>
      <c r="N298" s="911">
        <v>14226.6</v>
      </c>
      <c r="O298" s="618">
        <v>0</v>
      </c>
      <c r="P298" s="644">
        <v>100</v>
      </c>
    </row>
    <row r="299" spans="1:16" ht="15.75" customHeight="1">
      <c r="A299" s="634" t="s">
        <v>2138</v>
      </c>
      <c r="B299" s="635">
        <v>45055</v>
      </c>
      <c r="C299" s="636" t="s">
        <v>1597</v>
      </c>
      <c r="D299" s="636" t="s">
        <v>1598</v>
      </c>
      <c r="E299" s="637">
        <v>6.2</v>
      </c>
      <c r="F299" s="634" t="s">
        <v>1599</v>
      </c>
      <c r="G299" s="634" t="s">
        <v>1600</v>
      </c>
      <c r="H299" s="634" t="s">
        <v>1880</v>
      </c>
      <c r="I299" s="639">
        <v>13558</v>
      </c>
      <c r="J299" s="638" t="s">
        <v>1599</v>
      </c>
      <c r="K299" s="640">
        <v>3830</v>
      </c>
      <c r="L299" s="645">
        <f t="shared" si="10"/>
        <v>17889.099999999999</v>
      </c>
      <c r="M299" s="902">
        <v>21719.1</v>
      </c>
      <c r="N299" s="911">
        <v>14665.2</v>
      </c>
      <c r="O299" s="636">
        <v>0</v>
      </c>
      <c r="P299" s="646">
        <v>100</v>
      </c>
    </row>
    <row r="300" spans="1:16" ht="15.75" customHeight="1">
      <c r="A300" s="628" t="s">
        <v>2139</v>
      </c>
      <c r="B300" s="629">
        <v>45056</v>
      </c>
      <c r="C300" s="618" t="s">
        <v>1597</v>
      </c>
      <c r="D300" s="618" t="s">
        <v>1598</v>
      </c>
      <c r="E300" s="630">
        <v>6.2</v>
      </c>
      <c r="F300" s="628" t="s">
        <v>1599</v>
      </c>
      <c r="G300" s="628" t="s">
        <v>1600</v>
      </c>
      <c r="H300" s="628" t="s">
        <v>1880</v>
      </c>
      <c r="I300" s="632">
        <v>13558</v>
      </c>
      <c r="J300" s="631" t="s">
        <v>1599</v>
      </c>
      <c r="K300" s="633">
        <v>3840</v>
      </c>
      <c r="L300" s="643">
        <f t="shared" si="10"/>
        <v>17889.099999999999</v>
      </c>
      <c r="M300" s="901">
        <v>21729.1</v>
      </c>
      <c r="N300" s="912">
        <v>14665.2</v>
      </c>
      <c r="O300" s="618">
        <v>0</v>
      </c>
      <c r="P300" s="644">
        <v>100</v>
      </c>
    </row>
    <row r="301" spans="1:16" ht="15.75" customHeight="1">
      <c r="A301" s="634" t="s">
        <v>2140</v>
      </c>
      <c r="B301" s="635">
        <v>45061</v>
      </c>
      <c r="C301" s="636" t="s">
        <v>1597</v>
      </c>
      <c r="D301" s="636" t="s">
        <v>1598</v>
      </c>
      <c r="E301" s="637">
        <v>11.9</v>
      </c>
      <c r="F301" s="634" t="s">
        <v>1599</v>
      </c>
      <c r="G301" s="634" t="s">
        <v>1600</v>
      </c>
      <c r="H301" s="634" t="s">
        <v>1836</v>
      </c>
      <c r="I301" s="639">
        <v>14544</v>
      </c>
      <c r="J301" s="638" t="s">
        <v>1599</v>
      </c>
      <c r="K301" s="640">
        <v>3700</v>
      </c>
      <c r="L301" s="645">
        <f t="shared" si="10"/>
        <v>17889.099999999999</v>
      </c>
      <c r="M301" s="902">
        <v>21589.1</v>
      </c>
      <c r="N301" s="911">
        <v>14665.2</v>
      </c>
      <c r="O301" s="636">
        <v>0</v>
      </c>
      <c r="P301" s="646">
        <v>100</v>
      </c>
    </row>
    <row r="302" spans="1:16" ht="15.75" customHeight="1">
      <c r="A302" s="628" t="s">
        <v>2141</v>
      </c>
      <c r="B302" s="629">
        <v>45062</v>
      </c>
      <c r="C302" s="618" t="s">
        <v>1597</v>
      </c>
      <c r="D302" s="618" t="s">
        <v>1598</v>
      </c>
      <c r="E302" s="630">
        <v>6.2</v>
      </c>
      <c r="F302" s="628" t="s">
        <v>1599</v>
      </c>
      <c r="G302" s="628" t="s">
        <v>1600</v>
      </c>
      <c r="H302" s="628" t="s">
        <v>1836</v>
      </c>
      <c r="I302" s="632">
        <v>14544</v>
      </c>
      <c r="J302" s="631" t="s">
        <v>1599</v>
      </c>
      <c r="K302" s="633">
        <v>3860</v>
      </c>
      <c r="L302" s="643">
        <f t="shared" si="10"/>
        <v>14839</v>
      </c>
      <c r="M302" s="901">
        <v>18699</v>
      </c>
      <c r="N302" s="912">
        <v>12511.2</v>
      </c>
      <c r="O302" s="618">
        <v>0</v>
      </c>
      <c r="P302" s="644">
        <v>100</v>
      </c>
    </row>
    <row r="303" spans="1:16" ht="15.75" customHeight="1">
      <c r="A303" s="634" t="s">
        <v>2142</v>
      </c>
      <c r="B303" s="635">
        <v>45072</v>
      </c>
      <c r="C303" s="636" t="s">
        <v>1597</v>
      </c>
      <c r="D303" s="636" t="s">
        <v>1598</v>
      </c>
      <c r="E303" s="637">
        <v>6.3</v>
      </c>
      <c r="F303" s="634" t="s">
        <v>1599</v>
      </c>
      <c r="G303" s="634" t="s">
        <v>1600</v>
      </c>
      <c r="H303" s="634" t="s">
        <v>1822</v>
      </c>
      <c r="I303" s="639">
        <v>13787</v>
      </c>
      <c r="J303" s="638" t="s">
        <v>1599</v>
      </c>
      <c r="K303" s="640">
        <v>3700</v>
      </c>
      <c r="L303" s="645">
        <f t="shared" si="10"/>
        <v>9602</v>
      </c>
      <c r="M303" s="902">
        <v>13302</v>
      </c>
      <c r="N303" s="911">
        <v>5376</v>
      </c>
      <c r="O303" s="636">
        <v>0</v>
      </c>
      <c r="P303" s="646">
        <v>100</v>
      </c>
    </row>
    <row r="304" spans="1:16" ht="15.75" customHeight="1">
      <c r="A304" s="628" t="s">
        <v>2143</v>
      </c>
      <c r="B304" s="629">
        <v>45057</v>
      </c>
      <c r="C304" s="618" t="s">
        <v>1597</v>
      </c>
      <c r="D304" s="618" t="s">
        <v>1598</v>
      </c>
      <c r="E304" s="630">
        <v>6.3</v>
      </c>
      <c r="F304" s="628" t="s">
        <v>1599</v>
      </c>
      <c r="G304" s="628" t="s">
        <v>1600</v>
      </c>
      <c r="H304" s="628" t="s">
        <v>1850</v>
      </c>
      <c r="I304" s="632">
        <v>9687</v>
      </c>
      <c r="J304" s="631" t="s">
        <v>1599</v>
      </c>
      <c r="K304" s="633">
        <v>3640</v>
      </c>
      <c r="L304" s="643">
        <f t="shared" si="10"/>
        <v>20330.099999999999</v>
      </c>
      <c r="M304" s="901">
        <v>23970.1</v>
      </c>
      <c r="N304" s="912">
        <v>19030.3</v>
      </c>
      <c r="O304" s="618">
        <v>0</v>
      </c>
      <c r="P304" s="644">
        <v>100</v>
      </c>
    </row>
    <row r="305" spans="1:16" ht="15.75" customHeight="1">
      <c r="A305" s="634" t="s">
        <v>2144</v>
      </c>
      <c r="B305" s="635">
        <v>45064</v>
      </c>
      <c r="C305" s="636" t="s">
        <v>1597</v>
      </c>
      <c r="D305" s="636" t="s">
        <v>1598</v>
      </c>
      <c r="E305" s="637">
        <v>6.2</v>
      </c>
      <c r="F305" s="634" t="s">
        <v>1599</v>
      </c>
      <c r="G305" s="634" t="s">
        <v>1600</v>
      </c>
      <c r="H305" s="634" t="s">
        <v>1880</v>
      </c>
      <c r="I305" s="639">
        <v>13558</v>
      </c>
      <c r="J305" s="638" t="s">
        <v>1599</v>
      </c>
      <c r="K305" s="640">
        <v>3870</v>
      </c>
      <c r="L305" s="645">
        <f t="shared" si="10"/>
        <v>19071.599999999999</v>
      </c>
      <c r="M305" s="902">
        <v>22941.599999999999</v>
      </c>
      <c r="N305" s="911">
        <v>15602.4</v>
      </c>
      <c r="O305" s="636">
        <v>0</v>
      </c>
      <c r="P305" s="646">
        <v>100</v>
      </c>
    </row>
    <row r="306" spans="1:16" ht="15.75" customHeight="1">
      <c r="A306" s="628" t="s">
        <v>2145</v>
      </c>
      <c r="B306" s="629">
        <v>45064</v>
      </c>
      <c r="C306" s="618" t="s">
        <v>1597</v>
      </c>
      <c r="D306" s="618" t="s">
        <v>1598</v>
      </c>
      <c r="E306" s="630">
        <v>6.2</v>
      </c>
      <c r="F306" s="628" t="s">
        <v>1599</v>
      </c>
      <c r="G306" s="628" t="s">
        <v>1600</v>
      </c>
      <c r="H306" s="628" t="s">
        <v>1809</v>
      </c>
      <c r="I306" s="632">
        <v>15168</v>
      </c>
      <c r="J306" s="631" t="s">
        <v>1599</v>
      </c>
      <c r="K306" s="633">
        <v>3830</v>
      </c>
      <c r="L306" s="643">
        <f t="shared" si="10"/>
        <v>20139.36</v>
      </c>
      <c r="M306" s="901">
        <v>23969.360000000001</v>
      </c>
      <c r="N306" s="912">
        <v>17014.080000000002</v>
      </c>
      <c r="O306" s="618">
        <v>0</v>
      </c>
      <c r="P306" s="644">
        <v>100</v>
      </c>
    </row>
    <row r="307" spans="1:16" ht="15.75" customHeight="1">
      <c r="A307" s="634" t="s">
        <v>2146</v>
      </c>
      <c r="B307" s="635">
        <v>45064</v>
      </c>
      <c r="C307" s="636" t="s">
        <v>1597</v>
      </c>
      <c r="D307" s="636" t="s">
        <v>1598</v>
      </c>
      <c r="E307" s="637">
        <v>6.2</v>
      </c>
      <c r="F307" s="634" t="s">
        <v>1599</v>
      </c>
      <c r="G307" s="634" t="s">
        <v>1600</v>
      </c>
      <c r="H307" s="634" t="s">
        <v>1809</v>
      </c>
      <c r="I307" s="639">
        <v>15168</v>
      </c>
      <c r="J307" s="638" t="s">
        <v>1599</v>
      </c>
      <c r="K307" s="640">
        <v>3900</v>
      </c>
      <c r="L307" s="645">
        <f t="shared" si="10"/>
        <v>20139.36</v>
      </c>
      <c r="M307" s="902">
        <v>24039.360000000001</v>
      </c>
      <c r="N307" s="911">
        <v>17014.080000000002</v>
      </c>
      <c r="O307" s="636">
        <v>0</v>
      </c>
      <c r="P307" s="646">
        <v>100</v>
      </c>
    </row>
    <row r="308" spans="1:16" ht="15.75" customHeight="1">
      <c r="A308" s="628" t="s">
        <v>2147</v>
      </c>
      <c r="B308" s="629">
        <v>45061</v>
      </c>
      <c r="C308" s="618" t="s">
        <v>1597</v>
      </c>
      <c r="D308" s="618" t="s">
        <v>1598</v>
      </c>
      <c r="E308" s="630">
        <v>11.9</v>
      </c>
      <c r="F308" s="628" t="s">
        <v>1599</v>
      </c>
      <c r="G308" s="628" t="s">
        <v>1600</v>
      </c>
      <c r="H308" s="628" t="s">
        <v>1866</v>
      </c>
      <c r="I308" s="632">
        <v>2597</v>
      </c>
      <c r="J308" s="631" t="s">
        <v>1599</v>
      </c>
      <c r="K308" s="633">
        <v>3820</v>
      </c>
      <c r="L308" s="643">
        <f t="shared" si="10"/>
        <v>14090</v>
      </c>
      <c r="M308" s="901">
        <v>17910</v>
      </c>
      <c r="N308" s="912">
        <v>11494</v>
      </c>
      <c r="O308" s="618">
        <v>0</v>
      </c>
      <c r="P308" s="644">
        <v>100</v>
      </c>
    </row>
    <row r="309" spans="1:16" ht="15.75" customHeight="1">
      <c r="A309" s="634" t="s">
        <v>2148</v>
      </c>
      <c r="B309" s="635">
        <v>45062</v>
      </c>
      <c r="C309" s="636" t="s">
        <v>1597</v>
      </c>
      <c r="D309" s="636" t="s">
        <v>1598</v>
      </c>
      <c r="E309" s="637">
        <v>6.3</v>
      </c>
      <c r="F309" s="634" t="s">
        <v>1599</v>
      </c>
      <c r="G309" s="634" t="s">
        <v>1600</v>
      </c>
      <c r="H309" s="634" t="s">
        <v>1963</v>
      </c>
      <c r="I309" s="639">
        <v>14253</v>
      </c>
      <c r="J309" s="638" t="s">
        <v>1599</v>
      </c>
      <c r="K309" s="640">
        <v>3830</v>
      </c>
      <c r="L309" s="645">
        <f t="shared" si="10"/>
        <v>11853.05</v>
      </c>
      <c r="M309" s="902">
        <v>15683.05</v>
      </c>
      <c r="N309" s="911">
        <v>8947.14</v>
      </c>
      <c r="O309" s="636">
        <v>0</v>
      </c>
      <c r="P309" s="646">
        <v>100</v>
      </c>
    </row>
    <row r="310" spans="1:16" ht="15.75" customHeight="1">
      <c r="A310" s="628" t="s">
        <v>2149</v>
      </c>
      <c r="B310" s="629">
        <v>45070</v>
      </c>
      <c r="C310" s="618" t="s">
        <v>1597</v>
      </c>
      <c r="D310" s="618" t="s">
        <v>1598</v>
      </c>
      <c r="E310" s="630">
        <v>7.1</v>
      </c>
      <c r="F310" s="628" t="s">
        <v>1599</v>
      </c>
      <c r="G310" s="628" t="s">
        <v>1600</v>
      </c>
      <c r="H310" s="628" t="s">
        <v>1828</v>
      </c>
      <c r="I310" s="632">
        <v>7448</v>
      </c>
      <c r="J310" s="631" t="s">
        <v>1599</v>
      </c>
      <c r="K310" s="633">
        <v>3700</v>
      </c>
      <c r="L310" s="643">
        <f t="shared" si="10"/>
        <v>24062</v>
      </c>
      <c r="M310" s="901">
        <v>27762</v>
      </c>
      <c r="N310" s="912">
        <v>19896.5</v>
      </c>
      <c r="O310" s="618">
        <v>0</v>
      </c>
      <c r="P310" s="644">
        <v>100</v>
      </c>
    </row>
    <row r="311" spans="1:16" ht="15.75" customHeight="1">
      <c r="A311" s="634" t="s">
        <v>2150</v>
      </c>
      <c r="B311" s="635">
        <v>45070</v>
      </c>
      <c r="C311" s="636" t="s">
        <v>1597</v>
      </c>
      <c r="D311" s="636" t="s">
        <v>1598</v>
      </c>
      <c r="E311" s="637">
        <v>7.1</v>
      </c>
      <c r="F311" s="634" t="s">
        <v>1599</v>
      </c>
      <c r="G311" s="634" t="s">
        <v>1600</v>
      </c>
      <c r="H311" s="634" t="s">
        <v>1828</v>
      </c>
      <c r="I311" s="639">
        <v>7448</v>
      </c>
      <c r="J311" s="638" t="s">
        <v>1599</v>
      </c>
      <c r="K311" s="640">
        <v>3800</v>
      </c>
      <c r="L311" s="645">
        <f t="shared" si="10"/>
        <v>20702</v>
      </c>
      <c r="M311" s="902">
        <v>24502</v>
      </c>
      <c r="N311" s="911">
        <v>16560</v>
      </c>
      <c r="O311" s="636">
        <v>0</v>
      </c>
      <c r="P311" s="646">
        <v>100</v>
      </c>
    </row>
    <row r="312" spans="1:16" ht="15.75" customHeight="1">
      <c r="A312" s="628" t="s">
        <v>2151</v>
      </c>
      <c r="B312" s="629">
        <v>45064</v>
      </c>
      <c r="C312" s="618" t="s">
        <v>1597</v>
      </c>
      <c r="D312" s="618" t="s">
        <v>1598</v>
      </c>
      <c r="E312" s="630">
        <v>6.2</v>
      </c>
      <c r="F312" s="628" t="s">
        <v>1599</v>
      </c>
      <c r="G312" s="628" t="s">
        <v>1600</v>
      </c>
      <c r="H312" s="628" t="s">
        <v>1850</v>
      </c>
      <c r="I312" s="632">
        <v>9687</v>
      </c>
      <c r="J312" s="631" t="s">
        <v>1599</v>
      </c>
      <c r="K312" s="633">
        <v>3640</v>
      </c>
      <c r="L312" s="643">
        <f t="shared" si="10"/>
        <v>19787.400000000001</v>
      </c>
      <c r="M312" s="901">
        <v>23427.4</v>
      </c>
      <c r="N312" s="912">
        <v>18829.400000000001</v>
      </c>
      <c r="O312" s="618">
        <v>0</v>
      </c>
      <c r="P312" s="644">
        <v>100</v>
      </c>
    </row>
    <row r="313" spans="1:16" ht="15.75" customHeight="1">
      <c r="A313" s="634" t="s">
        <v>2152</v>
      </c>
      <c r="B313" s="635">
        <v>45069</v>
      </c>
      <c r="C313" s="636" t="s">
        <v>1597</v>
      </c>
      <c r="D313" s="636" t="s">
        <v>1598</v>
      </c>
      <c r="E313" s="637">
        <v>11.9</v>
      </c>
      <c r="F313" s="634" t="s">
        <v>1599</v>
      </c>
      <c r="G313" s="634" t="s">
        <v>1600</v>
      </c>
      <c r="H313" s="634" t="s">
        <v>2153</v>
      </c>
      <c r="I313" s="639">
        <v>2686</v>
      </c>
      <c r="J313" s="638" t="s">
        <v>1599</v>
      </c>
      <c r="K313" s="640">
        <v>2180</v>
      </c>
      <c r="L313" s="645">
        <f t="shared" si="10"/>
        <v>5642.5</v>
      </c>
      <c r="M313" s="902">
        <v>7822.5</v>
      </c>
      <c r="N313" s="911">
        <v>4746.5</v>
      </c>
      <c r="O313" s="636">
        <v>0</v>
      </c>
      <c r="P313" s="646">
        <v>100</v>
      </c>
    </row>
    <row r="314" spans="1:16" ht="15.75" customHeight="1">
      <c r="A314" s="628" t="s">
        <v>2154</v>
      </c>
      <c r="B314" s="629">
        <v>45071</v>
      </c>
      <c r="C314" s="618" t="s">
        <v>1597</v>
      </c>
      <c r="D314" s="618" t="s">
        <v>1598</v>
      </c>
      <c r="E314" s="630">
        <v>5.3</v>
      </c>
      <c r="F314" s="628" t="s">
        <v>1599</v>
      </c>
      <c r="G314" s="628" t="s">
        <v>1600</v>
      </c>
      <c r="H314" s="628" t="s">
        <v>1807</v>
      </c>
      <c r="I314" s="632">
        <v>1734</v>
      </c>
      <c r="J314" s="631" t="s">
        <v>1599</v>
      </c>
      <c r="K314" s="633">
        <v>3650</v>
      </c>
      <c r="L314" s="643">
        <f t="shared" si="10"/>
        <v>12478.42</v>
      </c>
      <c r="M314" s="901">
        <v>16128.42</v>
      </c>
      <c r="N314" s="912">
        <v>9520.34</v>
      </c>
      <c r="O314" s="618">
        <v>0</v>
      </c>
      <c r="P314" s="644">
        <v>100</v>
      </c>
    </row>
    <row r="315" spans="1:16" ht="15.75" customHeight="1">
      <c r="A315" s="634" t="s">
        <v>2155</v>
      </c>
      <c r="B315" s="635">
        <v>45072</v>
      </c>
      <c r="C315" s="636" t="s">
        <v>1597</v>
      </c>
      <c r="D315" s="636" t="s">
        <v>1598</v>
      </c>
      <c r="E315" s="637">
        <v>6.2</v>
      </c>
      <c r="F315" s="634" t="s">
        <v>1599</v>
      </c>
      <c r="G315" s="634" t="s">
        <v>1600</v>
      </c>
      <c r="H315" s="634" t="s">
        <v>1886</v>
      </c>
      <c r="I315" s="639">
        <v>13877</v>
      </c>
      <c r="J315" s="638" t="s">
        <v>1599</v>
      </c>
      <c r="K315" s="640">
        <v>3840</v>
      </c>
      <c r="L315" s="645">
        <f t="shared" si="10"/>
        <v>19599.5</v>
      </c>
      <c r="M315" s="902">
        <v>23439.5</v>
      </c>
      <c r="N315" s="911">
        <v>15795</v>
      </c>
      <c r="O315" s="636">
        <v>0</v>
      </c>
      <c r="P315" s="646">
        <v>100</v>
      </c>
    </row>
    <row r="316" spans="1:16" ht="15.75" customHeight="1">
      <c r="A316" s="628" t="s">
        <v>2156</v>
      </c>
      <c r="B316" s="629">
        <v>45072</v>
      </c>
      <c r="C316" s="618" t="s">
        <v>1597</v>
      </c>
      <c r="D316" s="618" t="s">
        <v>1598</v>
      </c>
      <c r="E316" s="630">
        <v>7.1</v>
      </c>
      <c r="F316" s="628" t="s">
        <v>1599</v>
      </c>
      <c r="G316" s="628" t="s">
        <v>1600</v>
      </c>
      <c r="H316" s="628" t="s">
        <v>1886</v>
      </c>
      <c r="I316" s="632">
        <v>13877</v>
      </c>
      <c r="J316" s="631" t="s">
        <v>1599</v>
      </c>
      <c r="K316" s="633">
        <v>3840</v>
      </c>
      <c r="L316" s="643">
        <f t="shared" si="10"/>
        <v>10189.799999999999</v>
      </c>
      <c r="M316" s="901">
        <v>14029.8</v>
      </c>
      <c r="N316" s="912">
        <v>7660</v>
      </c>
      <c r="O316" s="618">
        <v>0</v>
      </c>
      <c r="P316" s="644">
        <v>100</v>
      </c>
    </row>
    <row r="317" spans="1:16" ht="15.75" customHeight="1">
      <c r="A317" s="634" t="s">
        <v>2157</v>
      </c>
      <c r="B317" s="635">
        <v>45069</v>
      </c>
      <c r="C317" s="636" t="s">
        <v>1597</v>
      </c>
      <c r="D317" s="636" t="s">
        <v>1598</v>
      </c>
      <c r="E317" s="637">
        <v>6.2</v>
      </c>
      <c r="F317" s="634" t="s">
        <v>1599</v>
      </c>
      <c r="G317" s="634" t="s">
        <v>1600</v>
      </c>
      <c r="H317" s="634" t="s">
        <v>1880</v>
      </c>
      <c r="I317" s="639">
        <v>13558</v>
      </c>
      <c r="J317" s="638" t="s">
        <v>1599</v>
      </c>
      <c r="K317" s="640">
        <v>3300</v>
      </c>
      <c r="L317" s="645">
        <f t="shared" si="10"/>
        <v>19071.599999999999</v>
      </c>
      <c r="M317" s="902">
        <v>22371.599999999999</v>
      </c>
      <c r="N317" s="911">
        <v>15602.4</v>
      </c>
      <c r="O317" s="636">
        <v>0</v>
      </c>
      <c r="P317" s="646">
        <v>100</v>
      </c>
    </row>
    <row r="318" spans="1:16" ht="15.75" customHeight="1">
      <c r="A318" s="628" t="s">
        <v>2158</v>
      </c>
      <c r="B318" s="629">
        <v>45070</v>
      </c>
      <c r="C318" s="618" t="s">
        <v>1597</v>
      </c>
      <c r="D318" s="618" t="s">
        <v>1598</v>
      </c>
      <c r="E318" s="630">
        <v>6.2</v>
      </c>
      <c r="F318" s="628" t="s">
        <v>1599</v>
      </c>
      <c r="G318" s="628" t="s">
        <v>1600</v>
      </c>
      <c r="H318" s="628" t="s">
        <v>1818</v>
      </c>
      <c r="I318" s="632">
        <v>14000</v>
      </c>
      <c r="J318" s="631" t="s">
        <v>1599</v>
      </c>
      <c r="K318" s="633">
        <v>3860</v>
      </c>
      <c r="L318" s="643">
        <f t="shared" si="10"/>
        <v>17889.43</v>
      </c>
      <c r="M318" s="901">
        <v>21749.43</v>
      </c>
      <c r="N318" s="912">
        <v>15414.09</v>
      </c>
      <c r="O318" s="618">
        <v>0</v>
      </c>
      <c r="P318" s="644">
        <v>100</v>
      </c>
    </row>
    <row r="319" spans="1:16" ht="15.75" customHeight="1">
      <c r="A319" s="634" t="s">
        <v>2159</v>
      </c>
      <c r="B319" s="635">
        <v>45071</v>
      </c>
      <c r="C319" s="636" t="s">
        <v>1597</v>
      </c>
      <c r="D319" s="636" t="s">
        <v>1598</v>
      </c>
      <c r="E319" s="637">
        <v>6.2</v>
      </c>
      <c r="F319" s="634" t="s">
        <v>1599</v>
      </c>
      <c r="G319" s="634" t="s">
        <v>1600</v>
      </c>
      <c r="H319" s="634" t="s">
        <v>1880</v>
      </c>
      <c r="I319" s="639">
        <v>13558</v>
      </c>
      <c r="J319" s="638" t="s">
        <v>1599</v>
      </c>
      <c r="K319" s="640">
        <v>3850</v>
      </c>
      <c r="L319" s="645">
        <f t="shared" si="10"/>
        <v>19071.599999999999</v>
      </c>
      <c r="M319" s="902">
        <v>22921.599999999999</v>
      </c>
      <c r="N319" s="911">
        <v>15602.4</v>
      </c>
      <c r="O319" s="636">
        <v>0</v>
      </c>
      <c r="P319" s="646">
        <v>100</v>
      </c>
    </row>
    <row r="320" spans="1:16" ht="15.75" customHeight="1">
      <c r="A320" s="628" t="s">
        <v>2160</v>
      </c>
      <c r="B320" s="629">
        <v>45071</v>
      </c>
      <c r="C320" s="618" t="s">
        <v>1597</v>
      </c>
      <c r="D320" s="618" t="s">
        <v>1598</v>
      </c>
      <c r="E320" s="630">
        <v>6.2</v>
      </c>
      <c r="F320" s="628" t="s">
        <v>1599</v>
      </c>
      <c r="G320" s="628" t="s">
        <v>1600</v>
      </c>
      <c r="H320" s="628" t="s">
        <v>1880</v>
      </c>
      <c r="I320" s="632">
        <v>13558</v>
      </c>
      <c r="J320" s="631" t="s">
        <v>1599</v>
      </c>
      <c r="K320" s="633">
        <v>3900</v>
      </c>
      <c r="L320" s="643">
        <f t="shared" si="10"/>
        <v>14921.75</v>
      </c>
      <c r="M320" s="901">
        <v>18821.75</v>
      </c>
      <c r="N320" s="912">
        <v>12519.75</v>
      </c>
      <c r="O320" s="618">
        <v>0</v>
      </c>
      <c r="P320" s="644">
        <v>100</v>
      </c>
    </row>
    <row r="321" spans="1:16" ht="15.75" customHeight="1">
      <c r="A321" s="634" t="s">
        <v>2161</v>
      </c>
      <c r="B321" s="635">
        <v>45069</v>
      </c>
      <c r="C321" s="636" t="s">
        <v>1597</v>
      </c>
      <c r="D321" s="636" t="s">
        <v>1598</v>
      </c>
      <c r="E321" s="637">
        <v>6.2</v>
      </c>
      <c r="F321" s="634" t="s">
        <v>1599</v>
      </c>
      <c r="G321" s="634" t="s">
        <v>1600</v>
      </c>
      <c r="H321" s="634" t="s">
        <v>1884</v>
      </c>
      <c r="I321" s="639">
        <v>13413</v>
      </c>
      <c r="J321" s="638" t="s">
        <v>1599</v>
      </c>
      <c r="K321" s="640">
        <v>3890</v>
      </c>
      <c r="L321" s="645">
        <f t="shared" si="10"/>
        <v>14839</v>
      </c>
      <c r="M321" s="902">
        <v>18729</v>
      </c>
      <c r="N321" s="911">
        <v>12511.2</v>
      </c>
      <c r="O321" s="636">
        <v>0</v>
      </c>
      <c r="P321" s="646">
        <v>100</v>
      </c>
    </row>
    <row r="322" spans="1:16" ht="15.75" customHeight="1">
      <c r="A322" s="628" t="s">
        <v>2162</v>
      </c>
      <c r="B322" s="629">
        <v>45073</v>
      </c>
      <c r="C322" s="618" t="s">
        <v>1597</v>
      </c>
      <c r="D322" s="618" t="s">
        <v>1598</v>
      </c>
      <c r="E322" s="630">
        <v>7.1</v>
      </c>
      <c r="F322" s="628" t="s">
        <v>1599</v>
      </c>
      <c r="G322" s="628" t="s">
        <v>1600</v>
      </c>
      <c r="H322" s="628" t="s">
        <v>1963</v>
      </c>
      <c r="I322" s="632">
        <v>14253</v>
      </c>
      <c r="J322" s="631" t="s">
        <v>1599</v>
      </c>
      <c r="K322" s="633">
        <v>3900</v>
      </c>
      <c r="L322" s="643">
        <f t="shared" si="10"/>
        <v>11143.27</v>
      </c>
      <c r="M322" s="901">
        <v>15043.27</v>
      </c>
      <c r="N322" s="912">
        <v>8297.7999999999993</v>
      </c>
      <c r="O322" s="618">
        <v>0</v>
      </c>
      <c r="P322" s="644">
        <v>100</v>
      </c>
    </row>
    <row r="323" spans="1:16" ht="15.75" customHeight="1">
      <c r="A323" s="634" t="s">
        <v>2163</v>
      </c>
      <c r="B323" s="635">
        <v>45071</v>
      </c>
      <c r="C323" s="636" t="s">
        <v>1597</v>
      </c>
      <c r="D323" s="636" t="s">
        <v>1598</v>
      </c>
      <c r="E323" s="637">
        <v>7.1</v>
      </c>
      <c r="F323" s="634" t="s">
        <v>1599</v>
      </c>
      <c r="G323" s="634" t="s">
        <v>1600</v>
      </c>
      <c r="H323" s="634" t="s">
        <v>1893</v>
      </c>
      <c r="I323" s="639">
        <v>2167</v>
      </c>
      <c r="J323" s="638" t="s">
        <v>1599</v>
      </c>
      <c r="K323" s="640">
        <v>2270</v>
      </c>
      <c r="L323" s="645">
        <f t="shared" si="10"/>
        <v>4419.2</v>
      </c>
      <c r="M323" s="902">
        <v>6689.2</v>
      </c>
      <c r="N323" s="911">
        <v>3305.6</v>
      </c>
      <c r="O323" s="636">
        <v>0</v>
      </c>
      <c r="P323" s="646">
        <v>100</v>
      </c>
    </row>
    <row r="324" spans="1:16" ht="15.75" customHeight="1">
      <c r="A324" s="628" t="s">
        <v>2164</v>
      </c>
      <c r="B324" s="629">
        <v>45076</v>
      </c>
      <c r="C324" s="618" t="s">
        <v>1597</v>
      </c>
      <c r="D324" s="618" t="s">
        <v>1598</v>
      </c>
      <c r="E324" s="630">
        <v>6.2</v>
      </c>
      <c r="F324" s="628" t="s">
        <v>1599</v>
      </c>
      <c r="G324" s="628" t="s">
        <v>1600</v>
      </c>
      <c r="H324" s="628" t="s">
        <v>1841</v>
      </c>
      <c r="I324" s="632">
        <v>9486</v>
      </c>
      <c r="J324" s="631" t="s">
        <v>1599</v>
      </c>
      <c r="K324" s="633">
        <v>3860</v>
      </c>
      <c r="L324" s="643">
        <f t="shared" si="10"/>
        <v>23433.7</v>
      </c>
      <c r="M324" s="901">
        <v>27293.7</v>
      </c>
      <c r="N324" s="912">
        <v>18985.5</v>
      </c>
      <c r="O324" s="618">
        <v>0</v>
      </c>
      <c r="P324" s="644">
        <v>100</v>
      </c>
    </row>
    <row r="325" spans="1:16" ht="15.75" customHeight="1">
      <c r="A325" s="634" t="s">
        <v>2165</v>
      </c>
      <c r="B325" s="635">
        <v>45073</v>
      </c>
      <c r="C325" s="636" t="s">
        <v>1597</v>
      </c>
      <c r="D325" s="636" t="s">
        <v>1598</v>
      </c>
      <c r="E325" s="637">
        <v>7.1</v>
      </c>
      <c r="F325" s="634" t="s">
        <v>1599</v>
      </c>
      <c r="G325" s="634" t="s">
        <v>1600</v>
      </c>
      <c r="H325" s="634" t="s">
        <v>1838</v>
      </c>
      <c r="I325" s="639">
        <v>4972</v>
      </c>
      <c r="J325" s="638" t="s">
        <v>1599</v>
      </c>
      <c r="K325" s="640">
        <v>3850</v>
      </c>
      <c r="L325" s="645">
        <f t="shared" si="10"/>
        <v>11425.39</v>
      </c>
      <c r="M325" s="902">
        <v>15275.39</v>
      </c>
      <c r="N325" s="911">
        <v>8611.83</v>
      </c>
      <c r="O325" s="636">
        <v>0</v>
      </c>
      <c r="P325" s="646">
        <v>100</v>
      </c>
    </row>
    <row r="326" spans="1:16" ht="15.75" customHeight="1">
      <c r="A326" s="628" t="s">
        <v>2166</v>
      </c>
      <c r="B326" s="629">
        <v>45070</v>
      </c>
      <c r="C326" s="618" t="s">
        <v>1597</v>
      </c>
      <c r="D326" s="618" t="s">
        <v>1598</v>
      </c>
      <c r="E326" s="630">
        <v>7.1</v>
      </c>
      <c r="F326" s="628" t="s">
        <v>1599</v>
      </c>
      <c r="G326" s="628" t="s">
        <v>1600</v>
      </c>
      <c r="H326" s="628" t="s">
        <v>1941</v>
      </c>
      <c r="I326" s="632">
        <v>1588</v>
      </c>
      <c r="J326" s="631" t="s">
        <v>1599</v>
      </c>
      <c r="K326" s="633">
        <v>2180</v>
      </c>
      <c r="L326" s="643">
        <f t="shared" si="10"/>
        <v>4242.1400000000003</v>
      </c>
      <c r="M326" s="901">
        <v>6422.14</v>
      </c>
      <c r="N326" s="912">
        <v>3092.48</v>
      </c>
      <c r="O326" s="618">
        <v>0</v>
      </c>
      <c r="P326" s="644">
        <v>100</v>
      </c>
    </row>
    <row r="327" spans="1:16" ht="15.75" customHeight="1">
      <c r="A327" s="634" t="s">
        <v>2167</v>
      </c>
      <c r="B327" s="635">
        <v>45075</v>
      </c>
      <c r="C327" s="636" t="s">
        <v>1597</v>
      </c>
      <c r="D327" s="636" t="s">
        <v>1598</v>
      </c>
      <c r="E327" s="637">
        <v>11.9</v>
      </c>
      <c r="F327" s="634" t="s">
        <v>1599</v>
      </c>
      <c r="G327" s="634" t="s">
        <v>1600</v>
      </c>
      <c r="H327" s="634" t="s">
        <v>1836</v>
      </c>
      <c r="I327" s="639">
        <v>14544</v>
      </c>
      <c r="J327" s="638" t="s">
        <v>1599</v>
      </c>
      <c r="K327" s="640">
        <v>3700</v>
      </c>
      <c r="L327" s="645">
        <f t="shared" si="10"/>
        <v>14290.25</v>
      </c>
      <c r="M327" s="902">
        <v>17990.25</v>
      </c>
      <c r="N327" s="911">
        <v>11468.5</v>
      </c>
      <c r="O327" s="636">
        <v>0</v>
      </c>
      <c r="P327" s="646">
        <v>100</v>
      </c>
    </row>
    <row r="328" spans="1:16" ht="15.75" customHeight="1">
      <c r="A328" s="628" t="s">
        <v>2168</v>
      </c>
      <c r="B328" s="629">
        <v>45071</v>
      </c>
      <c r="C328" s="618" t="s">
        <v>1597</v>
      </c>
      <c r="D328" s="618" t="s">
        <v>1598</v>
      </c>
      <c r="E328" s="630">
        <v>7.1</v>
      </c>
      <c r="F328" s="628" t="s">
        <v>1599</v>
      </c>
      <c r="G328" s="628" t="s">
        <v>1600</v>
      </c>
      <c r="H328" s="628" t="s">
        <v>1854</v>
      </c>
      <c r="I328" s="632">
        <v>8865</v>
      </c>
      <c r="J328" s="631" t="s">
        <v>1599</v>
      </c>
      <c r="K328" s="633">
        <v>2100</v>
      </c>
      <c r="L328" s="643">
        <f t="shared" si="10"/>
        <v>4317</v>
      </c>
      <c r="M328" s="901">
        <v>6417</v>
      </c>
      <c r="N328" s="912">
        <v>3115.5</v>
      </c>
      <c r="O328" s="618">
        <v>0</v>
      </c>
      <c r="P328" s="644">
        <v>100</v>
      </c>
    </row>
    <row r="329" spans="1:16" ht="15.75" customHeight="1">
      <c r="A329" s="634" t="s">
        <v>2169</v>
      </c>
      <c r="B329" s="635">
        <v>45070</v>
      </c>
      <c r="C329" s="636" t="s">
        <v>1597</v>
      </c>
      <c r="D329" s="636" t="s">
        <v>1598</v>
      </c>
      <c r="E329" s="637">
        <v>6</v>
      </c>
      <c r="F329" s="634" t="s">
        <v>1599</v>
      </c>
      <c r="G329" s="634" t="s">
        <v>1600</v>
      </c>
      <c r="H329" s="634" t="s">
        <v>1854</v>
      </c>
      <c r="I329" s="632">
        <v>8865</v>
      </c>
      <c r="J329" s="638" t="s">
        <v>1599</v>
      </c>
      <c r="K329" s="640">
        <v>3620</v>
      </c>
      <c r="L329" s="645">
        <f t="shared" si="10"/>
        <v>26500</v>
      </c>
      <c r="M329" s="902">
        <v>30120</v>
      </c>
      <c r="N329" s="911">
        <v>23240.6</v>
      </c>
      <c r="O329" s="636">
        <v>0</v>
      </c>
      <c r="P329" s="646">
        <v>100</v>
      </c>
    </row>
    <row r="330" spans="1:16" ht="15.75" customHeight="1">
      <c r="A330" s="628" t="s">
        <v>2170</v>
      </c>
      <c r="B330" s="629">
        <v>45071</v>
      </c>
      <c r="C330" s="618" t="s">
        <v>1597</v>
      </c>
      <c r="D330" s="618" t="s">
        <v>1598</v>
      </c>
      <c r="E330" s="630">
        <v>4.9000000000000004</v>
      </c>
      <c r="F330" s="628" t="s">
        <v>1599</v>
      </c>
      <c r="G330" s="628" t="s">
        <v>1600</v>
      </c>
      <c r="H330" s="628" t="s">
        <v>1854</v>
      </c>
      <c r="I330" s="632">
        <v>8865</v>
      </c>
      <c r="J330" s="631" t="s">
        <v>1599</v>
      </c>
      <c r="K330" s="633">
        <v>2330</v>
      </c>
      <c r="L330" s="643">
        <f t="shared" si="10"/>
        <v>12176</v>
      </c>
      <c r="M330" s="901">
        <v>14506</v>
      </c>
      <c r="N330" s="912">
        <v>11410.5</v>
      </c>
      <c r="O330" s="618">
        <v>0</v>
      </c>
      <c r="P330" s="644">
        <v>100</v>
      </c>
    </row>
    <row r="331" spans="1:16" ht="15.75" customHeight="1">
      <c r="A331" s="634" t="s">
        <v>2171</v>
      </c>
      <c r="B331" s="635">
        <v>45075</v>
      </c>
      <c r="C331" s="636" t="s">
        <v>1597</v>
      </c>
      <c r="D331" s="636" t="s">
        <v>1598</v>
      </c>
      <c r="E331" s="637">
        <v>7.1</v>
      </c>
      <c r="F331" s="634" t="s">
        <v>1599</v>
      </c>
      <c r="G331" s="634" t="s">
        <v>1600</v>
      </c>
      <c r="H331" s="634" t="s">
        <v>1828</v>
      </c>
      <c r="I331" s="639">
        <v>7448</v>
      </c>
      <c r="J331" s="638" t="s">
        <v>1599</v>
      </c>
      <c r="K331" s="640">
        <v>3640</v>
      </c>
      <c r="L331" s="645">
        <f t="shared" si="10"/>
        <v>24102</v>
      </c>
      <c r="M331" s="902">
        <v>27742</v>
      </c>
      <c r="N331" s="911">
        <v>21253</v>
      </c>
      <c r="O331" s="636">
        <v>0</v>
      </c>
      <c r="P331" s="646">
        <v>100</v>
      </c>
    </row>
    <row r="332" spans="1:16" ht="15.75" customHeight="1">
      <c r="A332" s="628" t="s">
        <v>2172</v>
      </c>
      <c r="B332" s="629">
        <v>45167</v>
      </c>
      <c r="C332" s="618" t="s">
        <v>1597</v>
      </c>
      <c r="D332" s="618" t="s">
        <v>1598</v>
      </c>
      <c r="E332" s="630">
        <v>7.1</v>
      </c>
      <c r="F332" s="628" t="s">
        <v>1599</v>
      </c>
      <c r="G332" s="628" t="s">
        <v>1600</v>
      </c>
      <c r="H332" s="628" t="s">
        <v>1828</v>
      </c>
      <c r="I332" s="632">
        <v>7448</v>
      </c>
      <c r="J332" s="631" t="s">
        <v>1599</v>
      </c>
      <c r="K332" s="633">
        <v>3910</v>
      </c>
      <c r="L332" s="643">
        <f t="shared" si="10"/>
        <v>11252</v>
      </c>
      <c r="M332" s="901">
        <v>15162</v>
      </c>
      <c r="N332" s="912">
        <v>6411</v>
      </c>
      <c r="O332" s="618">
        <v>0</v>
      </c>
      <c r="P332" s="644">
        <v>100</v>
      </c>
    </row>
    <row r="333" spans="1:16" ht="15.75" customHeight="1">
      <c r="A333" s="634" t="s">
        <v>2173</v>
      </c>
      <c r="B333" s="635">
        <v>45075</v>
      </c>
      <c r="C333" s="636" t="s">
        <v>1597</v>
      </c>
      <c r="D333" s="636" t="s">
        <v>1598</v>
      </c>
      <c r="E333" s="637">
        <v>7.1</v>
      </c>
      <c r="F333" s="634" t="s">
        <v>1599</v>
      </c>
      <c r="G333" s="634" t="s">
        <v>1600</v>
      </c>
      <c r="H333" s="634" t="s">
        <v>1828</v>
      </c>
      <c r="I333" s="639">
        <v>7448</v>
      </c>
      <c r="J333" s="638" t="s">
        <v>1599</v>
      </c>
      <c r="K333" s="640">
        <v>3700</v>
      </c>
      <c r="L333" s="645">
        <f t="shared" si="10"/>
        <v>17921</v>
      </c>
      <c r="M333" s="902">
        <v>21621</v>
      </c>
      <c r="N333" s="911">
        <v>11998.9</v>
      </c>
      <c r="O333" s="636">
        <v>0</v>
      </c>
      <c r="P333" s="646">
        <v>100</v>
      </c>
    </row>
    <row r="334" spans="1:16" ht="15.75" customHeight="1">
      <c r="A334" s="628" t="s">
        <v>2174</v>
      </c>
      <c r="B334" s="629">
        <v>45071</v>
      </c>
      <c r="C334" s="618" t="s">
        <v>1597</v>
      </c>
      <c r="D334" s="618" t="s">
        <v>1598</v>
      </c>
      <c r="E334" s="630">
        <v>7.1</v>
      </c>
      <c r="F334" s="628" t="s">
        <v>1599</v>
      </c>
      <c r="G334" s="628" t="s">
        <v>1600</v>
      </c>
      <c r="H334" s="628" t="s">
        <v>1844</v>
      </c>
      <c r="I334" s="632">
        <v>5727</v>
      </c>
      <c r="J334" s="631" t="s">
        <v>1599</v>
      </c>
      <c r="K334" s="633">
        <v>2250</v>
      </c>
      <c r="L334" s="643">
        <f t="shared" si="10"/>
        <v>6775.9699999999993</v>
      </c>
      <c r="M334" s="901">
        <v>9025.9699999999993</v>
      </c>
      <c r="N334" s="912">
        <v>5700.45</v>
      </c>
      <c r="O334" s="618">
        <v>0</v>
      </c>
      <c r="P334" s="644">
        <v>100</v>
      </c>
    </row>
    <row r="335" spans="1:16" ht="15.75" customHeight="1">
      <c r="A335" s="634" t="s">
        <v>2175</v>
      </c>
      <c r="B335" s="635">
        <v>45072</v>
      </c>
      <c r="C335" s="636" t="s">
        <v>1597</v>
      </c>
      <c r="D335" s="636" t="s">
        <v>1598</v>
      </c>
      <c r="E335" s="637">
        <v>7.1</v>
      </c>
      <c r="F335" s="634" t="s">
        <v>1599</v>
      </c>
      <c r="G335" s="634" t="s">
        <v>1600</v>
      </c>
      <c r="H335" s="634" t="s">
        <v>1846</v>
      </c>
      <c r="I335" s="639">
        <v>5317</v>
      </c>
      <c r="J335" s="638" t="s">
        <v>1599</v>
      </c>
      <c r="K335" s="640">
        <v>2180</v>
      </c>
      <c r="L335" s="645">
        <f t="shared" si="10"/>
        <v>6026.8600000000006</v>
      </c>
      <c r="M335" s="902">
        <v>8206.86</v>
      </c>
      <c r="N335" s="911">
        <v>4928.8599999999997</v>
      </c>
      <c r="O335" s="636">
        <v>0</v>
      </c>
      <c r="P335" s="646">
        <v>100</v>
      </c>
    </row>
    <row r="336" spans="1:16" ht="15.75" customHeight="1">
      <c r="A336" s="628" t="s">
        <v>2176</v>
      </c>
      <c r="B336" s="629">
        <v>45072</v>
      </c>
      <c r="C336" s="618" t="s">
        <v>1597</v>
      </c>
      <c r="D336" s="618" t="s">
        <v>1598</v>
      </c>
      <c r="E336" s="630">
        <v>7.1</v>
      </c>
      <c r="F336" s="628" t="s">
        <v>1599</v>
      </c>
      <c r="G336" s="628" t="s">
        <v>1600</v>
      </c>
      <c r="H336" s="628" t="s">
        <v>1846</v>
      </c>
      <c r="I336" s="632">
        <v>5317</v>
      </c>
      <c r="J336" s="631" t="s">
        <v>1599</v>
      </c>
      <c r="K336" s="633">
        <v>3540</v>
      </c>
      <c r="L336" s="643">
        <f t="shared" si="10"/>
        <v>14601.07</v>
      </c>
      <c r="M336" s="901">
        <v>18141.07</v>
      </c>
      <c r="N336" s="912">
        <v>12256.15</v>
      </c>
      <c r="O336" s="618">
        <v>0</v>
      </c>
      <c r="P336" s="644">
        <v>100</v>
      </c>
    </row>
    <row r="337" spans="1:16" ht="15.75" customHeight="1">
      <c r="A337" s="634" t="s">
        <v>2177</v>
      </c>
      <c r="B337" s="635">
        <v>45073</v>
      </c>
      <c r="C337" s="636" t="s">
        <v>1597</v>
      </c>
      <c r="D337" s="636" t="s">
        <v>1598</v>
      </c>
      <c r="E337" s="637">
        <v>7.1</v>
      </c>
      <c r="F337" s="634" t="s">
        <v>1599</v>
      </c>
      <c r="G337" s="634" t="s">
        <v>1600</v>
      </c>
      <c r="H337" s="634" t="s">
        <v>1912</v>
      </c>
      <c r="I337" s="639">
        <v>4929</v>
      </c>
      <c r="J337" s="638" t="s">
        <v>1599</v>
      </c>
      <c r="K337" s="640">
        <v>3540</v>
      </c>
      <c r="L337" s="645">
        <f t="shared" si="10"/>
        <v>15438.84</v>
      </c>
      <c r="M337" s="902">
        <v>18978.84</v>
      </c>
      <c r="N337" s="911">
        <v>13769.12</v>
      </c>
      <c r="O337" s="636">
        <v>0</v>
      </c>
      <c r="P337" s="646">
        <v>100</v>
      </c>
    </row>
    <row r="338" spans="1:16" ht="15.75" customHeight="1">
      <c r="A338" s="628" t="s">
        <v>2178</v>
      </c>
      <c r="B338" s="629">
        <v>45072</v>
      </c>
      <c r="C338" s="618" t="s">
        <v>1597</v>
      </c>
      <c r="D338" s="618" t="s">
        <v>1598</v>
      </c>
      <c r="E338" s="630">
        <v>7.1</v>
      </c>
      <c r="F338" s="628" t="s">
        <v>1599</v>
      </c>
      <c r="G338" s="628" t="s">
        <v>1600</v>
      </c>
      <c r="H338" s="628" t="s">
        <v>1912</v>
      </c>
      <c r="I338" s="632">
        <v>4929</v>
      </c>
      <c r="J338" s="631" t="s">
        <v>1599</v>
      </c>
      <c r="K338" s="633">
        <v>3640</v>
      </c>
      <c r="L338" s="643">
        <f t="shared" si="10"/>
        <v>12626.85</v>
      </c>
      <c r="M338" s="901">
        <v>16266.85</v>
      </c>
      <c r="N338" s="912">
        <v>10335.25</v>
      </c>
      <c r="O338" s="618">
        <v>0</v>
      </c>
      <c r="P338" s="644">
        <v>100</v>
      </c>
    </row>
    <row r="339" spans="1:16" ht="15.75" customHeight="1">
      <c r="A339" s="634" t="s">
        <v>2179</v>
      </c>
      <c r="B339" s="635">
        <v>45071</v>
      </c>
      <c r="C339" s="636" t="s">
        <v>1597</v>
      </c>
      <c r="D339" s="636" t="s">
        <v>1598</v>
      </c>
      <c r="E339" s="637">
        <v>6</v>
      </c>
      <c r="F339" s="634" t="s">
        <v>1599</v>
      </c>
      <c r="G339" s="634" t="s">
        <v>1600</v>
      </c>
      <c r="H339" s="634" t="s">
        <v>2003</v>
      </c>
      <c r="I339" s="639">
        <v>9292</v>
      </c>
      <c r="J339" s="638" t="s">
        <v>1599</v>
      </c>
      <c r="K339" s="640">
        <v>3700</v>
      </c>
      <c r="L339" s="645">
        <f t="shared" si="10"/>
        <v>11418</v>
      </c>
      <c r="M339" s="902">
        <v>15118</v>
      </c>
      <c r="N339" s="911">
        <v>7386</v>
      </c>
      <c r="O339" s="636">
        <v>0</v>
      </c>
      <c r="P339" s="646">
        <v>100</v>
      </c>
    </row>
    <row r="340" spans="1:16" ht="15.75" customHeight="1">
      <c r="A340" s="628" t="s">
        <v>2180</v>
      </c>
      <c r="B340" s="629">
        <v>45071</v>
      </c>
      <c r="C340" s="618" t="s">
        <v>1597</v>
      </c>
      <c r="D340" s="618" t="s">
        <v>1598</v>
      </c>
      <c r="E340" s="630">
        <v>6</v>
      </c>
      <c r="F340" s="628" t="s">
        <v>1599</v>
      </c>
      <c r="G340" s="628" t="s">
        <v>1600</v>
      </c>
      <c r="H340" s="628" t="s">
        <v>2003</v>
      </c>
      <c r="I340" s="632">
        <v>9292</v>
      </c>
      <c r="J340" s="631" t="s">
        <v>1599</v>
      </c>
      <c r="K340" s="633">
        <v>3700</v>
      </c>
      <c r="L340" s="643">
        <f t="shared" si="10"/>
        <v>11418</v>
      </c>
      <c r="M340" s="901">
        <v>15118</v>
      </c>
      <c r="N340" s="912">
        <v>7386</v>
      </c>
      <c r="O340" s="618">
        <v>0</v>
      </c>
      <c r="P340" s="644">
        <v>100</v>
      </c>
    </row>
    <row r="341" spans="1:16" ht="15.75" customHeight="1">
      <c r="A341" s="634" t="s">
        <v>2181</v>
      </c>
      <c r="B341" s="635">
        <v>45076</v>
      </c>
      <c r="C341" s="636" t="s">
        <v>1597</v>
      </c>
      <c r="D341" s="636" t="s">
        <v>1598</v>
      </c>
      <c r="E341" s="637">
        <v>6.2</v>
      </c>
      <c r="F341" s="634" t="s">
        <v>1599</v>
      </c>
      <c r="G341" s="634" t="s">
        <v>1600</v>
      </c>
      <c r="H341" s="634" t="s">
        <v>1815</v>
      </c>
      <c r="I341" s="639">
        <v>17387</v>
      </c>
      <c r="J341" s="638" t="s">
        <v>1599</v>
      </c>
      <c r="K341" s="640">
        <v>3900</v>
      </c>
      <c r="L341" s="645">
        <f t="shared" si="10"/>
        <v>17792.650000000001</v>
      </c>
      <c r="M341" s="902">
        <v>21692.65</v>
      </c>
      <c r="N341" s="911">
        <v>15577.53</v>
      </c>
      <c r="O341" s="636">
        <v>0</v>
      </c>
      <c r="P341" s="646">
        <v>100</v>
      </c>
    </row>
    <row r="342" spans="1:16" ht="15.75" customHeight="1">
      <c r="A342" s="628" t="s">
        <v>2182</v>
      </c>
      <c r="B342" s="629">
        <v>45076</v>
      </c>
      <c r="C342" s="618" t="s">
        <v>1597</v>
      </c>
      <c r="D342" s="618" t="s">
        <v>1598</v>
      </c>
      <c r="E342" s="630">
        <v>6.2</v>
      </c>
      <c r="F342" s="628" t="s">
        <v>1599</v>
      </c>
      <c r="G342" s="628" t="s">
        <v>1600</v>
      </c>
      <c r="H342" s="628" t="s">
        <v>1815</v>
      </c>
      <c r="I342" s="632">
        <v>17387</v>
      </c>
      <c r="J342" s="631" t="s">
        <v>1599</v>
      </c>
      <c r="K342" s="633">
        <v>3870</v>
      </c>
      <c r="L342" s="643">
        <f t="shared" si="10"/>
        <v>18054.47</v>
      </c>
      <c r="M342" s="901">
        <v>21924.47</v>
      </c>
      <c r="N342" s="913">
        <v>15372.93</v>
      </c>
      <c r="O342" s="618">
        <v>0</v>
      </c>
      <c r="P342" s="644">
        <v>100</v>
      </c>
    </row>
    <row r="343" spans="1:16" ht="15.75" customHeight="1">
      <c r="A343" s="634" t="s">
        <v>2183</v>
      </c>
      <c r="B343" s="635">
        <v>45077</v>
      </c>
      <c r="C343" s="636" t="s">
        <v>1597</v>
      </c>
      <c r="D343" s="636" t="s">
        <v>1598</v>
      </c>
      <c r="E343" s="637">
        <v>6.2</v>
      </c>
      <c r="F343" s="634" t="s">
        <v>1599</v>
      </c>
      <c r="G343" s="634" t="s">
        <v>1600</v>
      </c>
      <c r="H343" s="634" t="s">
        <v>1866</v>
      </c>
      <c r="I343" s="639">
        <v>2597</v>
      </c>
      <c r="J343" s="638" t="s">
        <v>1599</v>
      </c>
      <c r="K343" s="640">
        <v>2100</v>
      </c>
      <c r="L343" s="645">
        <f t="shared" si="10"/>
        <v>3554.1000000000004</v>
      </c>
      <c r="M343" s="902">
        <v>5654.1</v>
      </c>
      <c r="N343" s="914">
        <v>2424</v>
      </c>
      <c r="O343" s="636">
        <v>0</v>
      </c>
      <c r="P343" s="646">
        <v>100</v>
      </c>
    </row>
    <row r="344" spans="1:16" ht="15.75" customHeight="1">
      <c r="A344" s="628" t="s">
        <v>2184</v>
      </c>
      <c r="B344" s="629">
        <v>45077</v>
      </c>
      <c r="C344" s="618" t="s">
        <v>1597</v>
      </c>
      <c r="D344" s="618" t="s">
        <v>1598</v>
      </c>
      <c r="E344" s="630">
        <v>6.2</v>
      </c>
      <c r="F344" s="628" t="s">
        <v>1599</v>
      </c>
      <c r="G344" s="628" t="s">
        <v>1600</v>
      </c>
      <c r="H344" s="628" t="s">
        <v>1818</v>
      </c>
      <c r="I344" s="632">
        <v>14000</v>
      </c>
      <c r="J344" s="631" t="s">
        <v>1599</v>
      </c>
      <c r="K344" s="633">
        <v>3700</v>
      </c>
      <c r="L344" s="643">
        <f t="shared" si="10"/>
        <v>19535.23</v>
      </c>
      <c r="M344" s="901">
        <v>23235.23</v>
      </c>
      <c r="N344" s="913">
        <v>16760.77</v>
      </c>
      <c r="O344" s="618">
        <v>0</v>
      </c>
      <c r="P344" s="644">
        <v>100</v>
      </c>
    </row>
    <row r="345" spans="1:16" ht="15.75" customHeight="1">
      <c r="A345" s="634" t="s">
        <v>2185</v>
      </c>
      <c r="B345" s="635">
        <v>45075</v>
      </c>
      <c r="C345" s="636" t="s">
        <v>1597</v>
      </c>
      <c r="D345" s="636" t="s">
        <v>1598</v>
      </c>
      <c r="E345" s="637">
        <v>11.9</v>
      </c>
      <c r="F345" s="634" t="s">
        <v>1599</v>
      </c>
      <c r="G345" s="634" t="s">
        <v>1600</v>
      </c>
      <c r="H345" s="634" t="s">
        <v>1836</v>
      </c>
      <c r="I345" s="639">
        <v>14544</v>
      </c>
      <c r="J345" s="638" t="s">
        <v>1599</v>
      </c>
      <c r="K345" s="640">
        <v>3900</v>
      </c>
      <c r="L345" s="645">
        <f t="shared" si="10"/>
        <v>13464.5</v>
      </c>
      <c r="M345" s="902">
        <v>17364.5</v>
      </c>
      <c r="N345" s="911">
        <v>11047.5</v>
      </c>
      <c r="O345" s="636">
        <v>0</v>
      </c>
      <c r="P345" s="646">
        <v>100</v>
      </c>
    </row>
    <row r="346" spans="1:16" ht="15.75" customHeight="1">
      <c r="A346" s="628" t="s">
        <v>2186</v>
      </c>
      <c r="B346" s="629">
        <v>45077</v>
      </c>
      <c r="C346" s="618" t="s">
        <v>1597</v>
      </c>
      <c r="D346" s="618" t="s">
        <v>1598</v>
      </c>
      <c r="E346" s="630">
        <v>6.2</v>
      </c>
      <c r="F346" s="628" t="s">
        <v>1599</v>
      </c>
      <c r="G346" s="628" t="s">
        <v>1600</v>
      </c>
      <c r="H346" s="628" t="s">
        <v>1880</v>
      </c>
      <c r="I346" s="632">
        <v>13558</v>
      </c>
      <c r="J346" s="631" t="s">
        <v>1599</v>
      </c>
      <c r="K346" s="633">
        <v>3890</v>
      </c>
      <c r="L346" s="643">
        <f t="shared" si="10"/>
        <v>14035.5</v>
      </c>
      <c r="M346" s="901">
        <v>17925.5</v>
      </c>
      <c r="N346" s="913">
        <v>10580.5</v>
      </c>
      <c r="O346" s="618">
        <v>0</v>
      </c>
      <c r="P346" s="644">
        <v>100</v>
      </c>
    </row>
    <row r="347" spans="1:16" ht="15.75" customHeight="1">
      <c r="A347" s="634" t="s">
        <v>2187</v>
      </c>
      <c r="B347" s="635">
        <v>45077</v>
      </c>
      <c r="C347" s="636" t="s">
        <v>1597</v>
      </c>
      <c r="D347" s="636" t="s">
        <v>1598</v>
      </c>
      <c r="E347" s="637">
        <v>6.2</v>
      </c>
      <c r="F347" s="634" t="s">
        <v>1599</v>
      </c>
      <c r="G347" s="634" t="s">
        <v>1600</v>
      </c>
      <c r="H347" s="634" t="s">
        <v>1822</v>
      </c>
      <c r="I347" s="639">
        <v>13787</v>
      </c>
      <c r="J347" s="638" t="s">
        <v>1599</v>
      </c>
      <c r="K347" s="640">
        <v>3840</v>
      </c>
      <c r="L347" s="645">
        <f t="shared" si="10"/>
        <v>19071.599999999999</v>
      </c>
      <c r="M347" s="902">
        <v>22911.599999999999</v>
      </c>
      <c r="N347" s="914">
        <v>15602.4</v>
      </c>
      <c r="O347" s="636">
        <v>0</v>
      </c>
      <c r="P347" s="646">
        <v>100</v>
      </c>
    </row>
    <row r="348" spans="1:16" ht="15.75" customHeight="1">
      <c r="A348" s="628" t="s">
        <v>2188</v>
      </c>
      <c r="B348" s="629">
        <v>45083</v>
      </c>
      <c r="C348" s="618" t="s">
        <v>1597</v>
      </c>
      <c r="D348" s="618" t="s">
        <v>1598</v>
      </c>
      <c r="E348" s="630">
        <v>7.1</v>
      </c>
      <c r="F348" s="628" t="s">
        <v>1599</v>
      </c>
      <c r="G348" s="628" t="s">
        <v>1600</v>
      </c>
      <c r="H348" s="628" t="s">
        <v>1828</v>
      </c>
      <c r="I348" s="632">
        <v>7448</v>
      </c>
      <c r="J348" s="631" t="s">
        <v>1599</v>
      </c>
      <c r="K348" s="633">
        <v>3800</v>
      </c>
      <c r="L348" s="643">
        <f t="shared" si="10"/>
        <v>19377</v>
      </c>
      <c r="M348" s="901">
        <v>23177</v>
      </c>
      <c r="N348" s="912">
        <v>10732</v>
      </c>
      <c r="O348" s="618">
        <v>0</v>
      </c>
      <c r="P348" s="644">
        <v>100</v>
      </c>
    </row>
    <row r="349" spans="1:16" ht="15.75" customHeight="1">
      <c r="A349" s="634" t="s">
        <v>2189</v>
      </c>
      <c r="B349" s="635">
        <v>45083</v>
      </c>
      <c r="C349" s="636" t="s">
        <v>1597</v>
      </c>
      <c r="D349" s="636" t="s">
        <v>1598</v>
      </c>
      <c r="E349" s="637">
        <v>7.1</v>
      </c>
      <c r="F349" s="634" t="s">
        <v>1599</v>
      </c>
      <c r="G349" s="634" t="s">
        <v>1600</v>
      </c>
      <c r="H349" s="634" t="s">
        <v>1831</v>
      </c>
      <c r="I349" s="639">
        <v>7283</v>
      </c>
      <c r="J349" s="638" t="s">
        <v>1599</v>
      </c>
      <c r="K349" s="640">
        <v>3780</v>
      </c>
      <c r="L349" s="645">
        <f t="shared" ref="L349:L352" si="11">M349-K349</f>
        <v>24062</v>
      </c>
      <c r="M349" s="902">
        <v>27842</v>
      </c>
      <c r="N349" s="911">
        <v>20143</v>
      </c>
      <c r="O349" s="636">
        <v>0</v>
      </c>
      <c r="P349" s="646">
        <v>100</v>
      </c>
    </row>
    <row r="350" spans="1:16" ht="15.75" customHeight="1">
      <c r="A350" s="628" t="s">
        <v>2190</v>
      </c>
      <c r="B350" s="629">
        <v>45084</v>
      </c>
      <c r="C350" s="618" t="s">
        <v>1597</v>
      </c>
      <c r="D350" s="618" t="s">
        <v>1598</v>
      </c>
      <c r="E350" s="630">
        <v>7.1</v>
      </c>
      <c r="F350" s="628" t="s">
        <v>1599</v>
      </c>
      <c r="G350" s="628" t="s">
        <v>1600</v>
      </c>
      <c r="H350" s="628" t="s">
        <v>1831</v>
      </c>
      <c r="I350" s="632">
        <v>7283</v>
      </c>
      <c r="J350" s="631" t="s">
        <v>1599</v>
      </c>
      <c r="K350" s="633">
        <v>3590</v>
      </c>
      <c r="L350" s="643">
        <f t="shared" si="11"/>
        <v>24127</v>
      </c>
      <c r="M350" s="901">
        <v>27717</v>
      </c>
      <c r="N350" s="912">
        <v>17495</v>
      </c>
      <c r="O350" s="618">
        <v>0</v>
      </c>
      <c r="P350" s="644">
        <v>100</v>
      </c>
    </row>
    <row r="351" spans="1:16" ht="15.75" customHeight="1">
      <c r="A351" s="634" t="s">
        <v>2191</v>
      </c>
      <c r="B351" s="635">
        <v>45083</v>
      </c>
      <c r="C351" s="636" t="s">
        <v>1597</v>
      </c>
      <c r="D351" s="636" t="s">
        <v>1598</v>
      </c>
      <c r="E351" s="637">
        <v>7.1</v>
      </c>
      <c r="F351" s="634" t="s">
        <v>1599</v>
      </c>
      <c r="G351" s="634" t="s">
        <v>1600</v>
      </c>
      <c r="H351" s="634" t="s">
        <v>1831</v>
      </c>
      <c r="I351" s="639">
        <v>7283</v>
      </c>
      <c r="J351" s="638" t="s">
        <v>1599</v>
      </c>
      <c r="K351" s="640">
        <v>3640</v>
      </c>
      <c r="L351" s="645">
        <f t="shared" si="11"/>
        <v>24052</v>
      </c>
      <c r="M351" s="902">
        <v>27692</v>
      </c>
      <c r="N351" s="911">
        <v>21079</v>
      </c>
      <c r="O351" s="636">
        <v>0</v>
      </c>
      <c r="P351" s="646">
        <v>100</v>
      </c>
    </row>
    <row r="352" spans="1:16" ht="15.75" customHeight="1">
      <c r="A352" s="628" t="s">
        <v>2192</v>
      </c>
      <c r="B352" s="629">
        <v>45079</v>
      </c>
      <c r="C352" s="618" t="s">
        <v>1597</v>
      </c>
      <c r="D352" s="618" t="s">
        <v>1598</v>
      </c>
      <c r="E352" s="630">
        <v>6.5</v>
      </c>
      <c r="F352" s="618" t="s">
        <v>1599</v>
      </c>
      <c r="G352" s="618" t="s">
        <v>1600</v>
      </c>
      <c r="H352" s="628" t="s">
        <v>1822</v>
      </c>
      <c r="I352" s="632">
        <v>13787</v>
      </c>
      <c r="J352" s="654" t="s">
        <v>1599</v>
      </c>
      <c r="K352" s="633">
        <v>4100</v>
      </c>
      <c r="L352" s="643">
        <f t="shared" si="11"/>
        <v>16798.5</v>
      </c>
      <c r="M352" s="901">
        <v>20898.5</v>
      </c>
      <c r="N352" s="912">
        <v>13230</v>
      </c>
      <c r="O352" s="618">
        <v>0</v>
      </c>
      <c r="P352" s="644">
        <v>100</v>
      </c>
    </row>
    <row r="353" spans="1:16" ht="15.75" customHeight="1">
      <c r="A353" s="620" t="s">
        <v>2193</v>
      </c>
      <c r="B353" s="635">
        <v>45089</v>
      </c>
      <c r="C353" s="620" t="s">
        <v>1597</v>
      </c>
      <c r="D353" s="620" t="s">
        <v>1598</v>
      </c>
      <c r="E353" s="622">
        <v>7.1</v>
      </c>
      <c r="F353" s="620" t="s">
        <v>1599</v>
      </c>
      <c r="G353" s="620" t="s">
        <v>1600</v>
      </c>
      <c r="H353" s="634" t="s">
        <v>1798</v>
      </c>
      <c r="I353" s="639">
        <v>1931</v>
      </c>
      <c r="J353" s="625" t="s">
        <v>1599</v>
      </c>
      <c r="K353" s="626">
        <v>3132.45</v>
      </c>
      <c r="L353" s="647">
        <v>2333.8000000000002</v>
      </c>
      <c r="M353" s="900">
        <v>4466.25</v>
      </c>
      <c r="N353" s="911">
        <v>3132.45</v>
      </c>
      <c r="O353" s="636">
        <v>0</v>
      </c>
      <c r="P353" s="646">
        <v>100</v>
      </c>
    </row>
    <row r="354" spans="1:16" ht="15.75" customHeight="1">
      <c r="A354" s="628" t="s">
        <v>2194</v>
      </c>
      <c r="B354" s="629">
        <v>45086</v>
      </c>
      <c r="C354" s="618" t="s">
        <v>1597</v>
      </c>
      <c r="D354" s="618" t="s">
        <v>1598</v>
      </c>
      <c r="E354" s="630">
        <v>7.1</v>
      </c>
      <c r="F354" s="628" t="s">
        <v>1599</v>
      </c>
      <c r="G354" s="628" t="s">
        <v>1600</v>
      </c>
      <c r="H354" s="628" t="s">
        <v>1912</v>
      </c>
      <c r="I354" s="632">
        <v>4929</v>
      </c>
      <c r="J354" s="631" t="s">
        <v>1599</v>
      </c>
      <c r="K354" s="633">
        <v>2220</v>
      </c>
      <c r="L354" s="643">
        <f t="shared" ref="L354:L395" si="12">M354-K354</f>
        <v>6453.5</v>
      </c>
      <c r="M354" s="901">
        <v>8673.5</v>
      </c>
      <c r="N354" s="912">
        <v>5315.02</v>
      </c>
      <c r="O354" s="618">
        <v>0</v>
      </c>
      <c r="P354" s="644">
        <v>100</v>
      </c>
    </row>
    <row r="355" spans="1:16" ht="15.75" customHeight="1">
      <c r="A355" s="634" t="s">
        <v>2195</v>
      </c>
      <c r="B355" s="635">
        <v>45083</v>
      </c>
      <c r="C355" s="636" t="s">
        <v>1597</v>
      </c>
      <c r="D355" s="636" t="s">
        <v>1598</v>
      </c>
      <c r="E355" s="637">
        <v>7.1</v>
      </c>
      <c r="F355" s="634" t="s">
        <v>1599</v>
      </c>
      <c r="G355" s="634" t="s">
        <v>1600</v>
      </c>
      <c r="H355" s="634" t="s">
        <v>1873</v>
      </c>
      <c r="I355" s="639">
        <v>3824</v>
      </c>
      <c r="J355" s="638" t="s">
        <v>1599</v>
      </c>
      <c r="K355" s="640">
        <v>3700</v>
      </c>
      <c r="L355" s="645">
        <f t="shared" si="12"/>
        <v>11053.91</v>
      </c>
      <c r="M355" s="902">
        <v>14753.91</v>
      </c>
      <c r="N355" s="911">
        <v>8259.84</v>
      </c>
      <c r="O355" s="636">
        <v>0</v>
      </c>
      <c r="P355" s="646">
        <v>100</v>
      </c>
    </row>
    <row r="356" spans="1:16" ht="15.75" customHeight="1">
      <c r="A356" s="628" t="s">
        <v>2196</v>
      </c>
      <c r="B356" s="629">
        <v>45079</v>
      </c>
      <c r="C356" s="618" t="s">
        <v>1597</v>
      </c>
      <c r="D356" s="618" t="s">
        <v>1598</v>
      </c>
      <c r="E356" s="630">
        <v>7.1</v>
      </c>
      <c r="F356" s="628" t="s">
        <v>1599</v>
      </c>
      <c r="G356" s="628" t="s">
        <v>1600</v>
      </c>
      <c r="H356" s="628" t="s">
        <v>1850</v>
      </c>
      <c r="I356" s="632">
        <v>9687</v>
      </c>
      <c r="J356" s="631" t="s">
        <v>1599</v>
      </c>
      <c r="K356" s="633">
        <v>3570</v>
      </c>
      <c r="L356" s="643">
        <f t="shared" si="12"/>
        <v>19588.099999999999</v>
      </c>
      <c r="M356" s="901">
        <v>23158.1</v>
      </c>
      <c r="N356" s="912">
        <v>18254.7</v>
      </c>
      <c r="O356" s="618">
        <v>0</v>
      </c>
      <c r="P356" s="644">
        <v>100</v>
      </c>
    </row>
    <row r="357" spans="1:16" ht="15.75" customHeight="1">
      <c r="A357" s="634" t="s">
        <v>2197</v>
      </c>
      <c r="B357" s="635">
        <v>45083</v>
      </c>
      <c r="C357" s="636" t="s">
        <v>1597</v>
      </c>
      <c r="D357" s="636" t="s">
        <v>1598</v>
      </c>
      <c r="E357" s="637">
        <v>11.9</v>
      </c>
      <c r="F357" s="634" t="s">
        <v>1599</v>
      </c>
      <c r="G357" s="634" t="s">
        <v>1600</v>
      </c>
      <c r="H357" s="634" t="s">
        <v>1880</v>
      </c>
      <c r="I357" s="639">
        <v>13558</v>
      </c>
      <c r="J357" s="638" t="s">
        <v>1599</v>
      </c>
      <c r="K357" s="640">
        <v>3800</v>
      </c>
      <c r="L357" s="645">
        <f t="shared" si="12"/>
        <v>9602</v>
      </c>
      <c r="M357" s="902">
        <v>13402</v>
      </c>
      <c r="N357" s="911">
        <v>5376</v>
      </c>
      <c r="O357" s="636">
        <v>0</v>
      </c>
      <c r="P357" s="646">
        <v>100</v>
      </c>
    </row>
    <row r="358" spans="1:16" ht="15.75" customHeight="1">
      <c r="A358" s="628" t="s">
        <v>2198</v>
      </c>
      <c r="B358" s="629">
        <v>45083</v>
      </c>
      <c r="C358" s="618" t="s">
        <v>1597</v>
      </c>
      <c r="D358" s="618" t="s">
        <v>1598</v>
      </c>
      <c r="E358" s="630">
        <v>6.2</v>
      </c>
      <c r="F358" s="628" t="s">
        <v>1599</v>
      </c>
      <c r="G358" s="628" t="s">
        <v>1600</v>
      </c>
      <c r="H358" s="628" t="s">
        <v>1836</v>
      </c>
      <c r="I358" s="632">
        <v>14544</v>
      </c>
      <c r="J358" s="631" t="s">
        <v>1599</v>
      </c>
      <c r="K358" s="633">
        <v>3900</v>
      </c>
      <c r="L358" s="643">
        <f t="shared" si="12"/>
        <v>12560</v>
      </c>
      <c r="M358" s="901">
        <v>16460</v>
      </c>
      <c r="N358" s="912">
        <v>9747.4</v>
      </c>
      <c r="O358" s="618">
        <v>0</v>
      </c>
      <c r="P358" s="644">
        <v>100</v>
      </c>
    </row>
    <row r="359" spans="1:16" ht="15.75" customHeight="1">
      <c r="A359" s="634" t="s">
        <v>2199</v>
      </c>
      <c r="B359" s="635">
        <v>45083</v>
      </c>
      <c r="C359" s="636" t="s">
        <v>1597</v>
      </c>
      <c r="D359" s="636" t="s">
        <v>1598</v>
      </c>
      <c r="E359" s="637">
        <v>6.2</v>
      </c>
      <c r="F359" s="634" t="s">
        <v>1599</v>
      </c>
      <c r="G359" s="634" t="s">
        <v>1600</v>
      </c>
      <c r="H359" s="634" t="s">
        <v>1884</v>
      </c>
      <c r="I359" s="639">
        <v>13413</v>
      </c>
      <c r="J359" s="638" t="s">
        <v>1599</v>
      </c>
      <c r="K359" s="640">
        <v>3700</v>
      </c>
      <c r="L359" s="645">
        <f t="shared" si="12"/>
        <v>16609</v>
      </c>
      <c r="M359" s="902">
        <v>20309</v>
      </c>
      <c r="N359" s="911">
        <v>13542</v>
      </c>
      <c r="O359" s="636">
        <v>0</v>
      </c>
      <c r="P359" s="646">
        <v>100</v>
      </c>
    </row>
    <row r="360" spans="1:16" ht="15.75" customHeight="1">
      <c r="A360" s="628" t="s">
        <v>2200</v>
      </c>
      <c r="B360" s="629">
        <v>45083</v>
      </c>
      <c r="C360" s="618" t="s">
        <v>1597</v>
      </c>
      <c r="D360" s="618" t="s">
        <v>1598</v>
      </c>
      <c r="E360" s="630">
        <v>6.5</v>
      </c>
      <c r="F360" s="628" t="s">
        <v>1599</v>
      </c>
      <c r="G360" s="628" t="s">
        <v>1600</v>
      </c>
      <c r="H360" s="628" t="s">
        <v>1809</v>
      </c>
      <c r="I360" s="632">
        <v>15168</v>
      </c>
      <c r="J360" s="631" t="s">
        <v>1599</v>
      </c>
      <c r="K360" s="633">
        <v>3770</v>
      </c>
      <c r="L360" s="643">
        <f t="shared" si="12"/>
        <v>20530.080000000002</v>
      </c>
      <c r="M360" s="901">
        <v>24300.080000000002</v>
      </c>
      <c r="N360" s="912">
        <v>17404.8</v>
      </c>
      <c r="O360" s="618">
        <v>0</v>
      </c>
      <c r="P360" s="644">
        <v>100</v>
      </c>
    </row>
    <row r="361" spans="1:16" ht="15.75" customHeight="1">
      <c r="A361" s="634" t="s">
        <v>2201</v>
      </c>
      <c r="B361" s="635">
        <v>45084</v>
      </c>
      <c r="C361" s="636" t="s">
        <v>1597</v>
      </c>
      <c r="D361" s="636" t="s">
        <v>1598</v>
      </c>
      <c r="E361" s="637">
        <v>6</v>
      </c>
      <c r="F361" s="634" t="s">
        <v>1599</v>
      </c>
      <c r="G361" s="634" t="s">
        <v>1600</v>
      </c>
      <c r="H361" s="634" t="s">
        <v>1822</v>
      </c>
      <c r="I361" s="639">
        <v>13787</v>
      </c>
      <c r="J361" s="638" t="s">
        <v>1599</v>
      </c>
      <c r="K361" s="640">
        <v>3750</v>
      </c>
      <c r="L361" s="645">
        <f t="shared" si="12"/>
        <v>17889</v>
      </c>
      <c r="M361" s="902">
        <v>21639</v>
      </c>
      <c r="N361" s="911">
        <v>14665.2</v>
      </c>
      <c r="O361" s="636">
        <v>0</v>
      </c>
      <c r="P361" s="646">
        <v>100</v>
      </c>
    </row>
    <row r="362" spans="1:16" ht="15.75" customHeight="1">
      <c r="A362" s="628" t="s">
        <v>2202</v>
      </c>
      <c r="B362" s="629">
        <v>45082</v>
      </c>
      <c r="C362" s="618" t="s">
        <v>1597</v>
      </c>
      <c r="D362" s="618" t="s">
        <v>1598</v>
      </c>
      <c r="E362" s="630">
        <v>6</v>
      </c>
      <c r="F362" s="628" t="s">
        <v>1599</v>
      </c>
      <c r="G362" s="628" t="s">
        <v>1600</v>
      </c>
      <c r="H362" s="628" t="s">
        <v>1798</v>
      </c>
      <c r="I362" s="632">
        <v>1931</v>
      </c>
      <c r="J362" s="631" t="s">
        <v>1599</v>
      </c>
      <c r="K362" s="633">
        <v>5422.5</v>
      </c>
      <c r="L362" s="643">
        <f t="shared" si="12"/>
        <v>975</v>
      </c>
      <c r="M362" s="901">
        <v>6397.5</v>
      </c>
      <c r="N362" s="912">
        <v>5422.5</v>
      </c>
      <c r="O362" s="618">
        <v>0</v>
      </c>
      <c r="P362" s="644">
        <v>100</v>
      </c>
    </row>
    <row r="363" spans="1:16" ht="15.75" customHeight="1">
      <c r="A363" s="634" t="s">
        <v>2203</v>
      </c>
      <c r="B363" s="635">
        <v>45085</v>
      </c>
      <c r="C363" s="636" t="s">
        <v>1597</v>
      </c>
      <c r="D363" s="636" t="s">
        <v>1598</v>
      </c>
      <c r="E363" s="637">
        <v>5.3</v>
      </c>
      <c r="F363" s="634" t="s">
        <v>1599</v>
      </c>
      <c r="G363" s="634" t="s">
        <v>1600</v>
      </c>
      <c r="H363" s="634" t="s">
        <v>1807</v>
      </c>
      <c r="I363" s="639">
        <v>1734</v>
      </c>
      <c r="J363" s="638" t="s">
        <v>1599</v>
      </c>
      <c r="K363" s="640">
        <v>3590</v>
      </c>
      <c r="L363" s="645">
        <f t="shared" si="12"/>
        <v>11661.58</v>
      </c>
      <c r="M363" s="902">
        <v>15251.58</v>
      </c>
      <c r="N363" s="911">
        <v>8848.7199999999993</v>
      </c>
      <c r="O363" s="636">
        <v>0</v>
      </c>
      <c r="P363" s="646">
        <v>100</v>
      </c>
    </row>
    <row r="364" spans="1:16" ht="15.75" customHeight="1">
      <c r="A364" s="628" t="s">
        <v>2204</v>
      </c>
      <c r="B364" s="629">
        <v>45085</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 s="628" t="s">
        <v>1600</v>
      </c>
      <c r="H364" s="628" t="s">
        <v>1807</v>
      </c>
      <c r="I364" s="632">
        <v>1734</v>
      </c>
      <c r="J364" s="631" t="s">
        <v>1599</v>
      </c>
      <c r="K364" s="633">
        <v>3650</v>
      </c>
      <c r="L364" s="643">
        <f t="shared" si="12"/>
        <v>11308.2</v>
      </c>
      <c r="M364" s="901">
        <v>14958.2</v>
      </c>
      <c r="N364" s="912">
        <v>11306.2</v>
      </c>
      <c r="O364" s="618">
        <v>0</v>
      </c>
      <c r="P364" s="644">
        <v>100</v>
      </c>
    </row>
    <row r="365" spans="1:16" ht="15.75" customHeight="1">
      <c r="A365" s="634" t="s">
        <v>2205</v>
      </c>
      <c r="B365" s="635">
        <v>45091</v>
      </c>
      <c r="C365" s="636" t="s">
        <v>1597</v>
      </c>
      <c r="D365" s="636" t="s">
        <v>1598</v>
      </c>
      <c r="E365" s="637">
        <v>7.1</v>
      </c>
      <c r="F365" s="634" t="s">
        <v>1599</v>
      </c>
      <c r="G365" s="634" t="s">
        <v>1600</v>
      </c>
      <c r="H365" s="634" t="s">
        <v>1828</v>
      </c>
      <c r="I365" s="639">
        <v>7448</v>
      </c>
      <c r="J365" s="638" t="s">
        <v>1599</v>
      </c>
      <c r="K365" s="640">
        <v>3570</v>
      </c>
      <c r="L365" s="645">
        <f t="shared" si="12"/>
        <v>24158</v>
      </c>
      <c r="M365" s="902">
        <v>27728</v>
      </c>
      <c r="N365" s="911">
        <v>23716.799999999999</v>
      </c>
      <c r="O365" s="636">
        <v>0</v>
      </c>
      <c r="P365" s="646">
        <v>100</v>
      </c>
    </row>
    <row r="366" spans="1:16" ht="15.75" customHeight="1">
      <c r="A366" s="628" t="s">
        <v>2206</v>
      </c>
      <c r="B366" s="629">
        <v>45089</v>
      </c>
      <c r="C366" s="618" t="s">
        <v>1597</v>
      </c>
      <c r="D366" s="618" t="s">
        <v>1598</v>
      </c>
      <c r="E366" s="630">
        <v>7.1</v>
      </c>
      <c r="F366" s="628" t="s">
        <v>1599</v>
      </c>
      <c r="G366" s="628" t="s">
        <v>1600</v>
      </c>
      <c r="H366" s="628" t="s">
        <v>1828</v>
      </c>
      <c r="I366" s="632">
        <v>7448</v>
      </c>
      <c r="J366" s="631" t="s">
        <v>1599</v>
      </c>
      <c r="K366" s="633">
        <v>3800</v>
      </c>
      <c r="L366" s="643">
        <f t="shared" si="12"/>
        <v>23867.5</v>
      </c>
      <c r="M366" s="901">
        <v>27667.5</v>
      </c>
      <c r="N366" s="912">
        <v>19660.88</v>
      </c>
      <c r="O366" s="618">
        <v>0</v>
      </c>
      <c r="P366" s="644">
        <v>100</v>
      </c>
    </row>
    <row r="367" spans="1:16" ht="15.75" customHeight="1">
      <c r="A367" s="634" t="s">
        <v>2207</v>
      </c>
      <c r="B367" s="635">
        <v>45097</v>
      </c>
      <c r="C367" s="636" t="s">
        <v>1597</v>
      </c>
      <c r="D367" s="636" t="s">
        <v>1598</v>
      </c>
      <c r="E367" s="637">
        <v>7.1</v>
      </c>
      <c r="F367" s="634" t="s">
        <v>1599</v>
      </c>
      <c r="G367" s="634" t="s">
        <v>1600</v>
      </c>
      <c r="H367" s="634" t="s">
        <v>1841</v>
      </c>
      <c r="I367" s="639">
        <v>9486</v>
      </c>
      <c r="J367" s="638" t="s">
        <v>1599</v>
      </c>
      <c r="K367" s="640">
        <v>2185</v>
      </c>
      <c r="L367" s="645">
        <f t="shared" si="12"/>
        <v>15427</v>
      </c>
      <c r="M367" s="902">
        <v>17612</v>
      </c>
      <c r="N367" s="911">
        <v>13958</v>
      </c>
      <c r="O367" s="636">
        <v>0</v>
      </c>
      <c r="P367" s="646">
        <v>100</v>
      </c>
    </row>
    <row r="368" spans="1:16" ht="15.75" customHeight="1">
      <c r="A368" s="628" t="s">
        <v>2208</v>
      </c>
      <c r="B368" s="629">
        <v>45097</v>
      </c>
      <c r="C368" s="618" t="s">
        <v>1597</v>
      </c>
      <c r="D368" s="618" t="s">
        <v>1598</v>
      </c>
      <c r="E368" s="630">
        <v>7.1</v>
      </c>
      <c r="F368" s="628" t="s">
        <v>1599</v>
      </c>
      <c r="G368" s="628" t="s">
        <v>1600</v>
      </c>
      <c r="H368" s="628" t="s">
        <v>1841</v>
      </c>
      <c r="I368" s="632">
        <v>9486</v>
      </c>
      <c r="J368" s="631" t="s">
        <v>1599</v>
      </c>
      <c r="K368" s="633">
        <v>2280</v>
      </c>
      <c r="L368" s="643">
        <f t="shared" si="12"/>
        <v>9344.5</v>
      </c>
      <c r="M368" s="901">
        <v>11624.5</v>
      </c>
      <c r="N368" s="912">
        <v>7272.12</v>
      </c>
      <c r="O368" s="618">
        <v>0</v>
      </c>
      <c r="P368" s="644">
        <v>100</v>
      </c>
    </row>
    <row r="369" spans="1:16" ht="15.75" customHeight="1">
      <c r="A369" s="634" t="s">
        <v>2209</v>
      </c>
      <c r="B369" s="635">
        <v>45097</v>
      </c>
      <c r="C369" s="636" t="s">
        <v>1597</v>
      </c>
      <c r="D369" s="636" t="s">
        <v>1598</v>
      </c>
      <c r="E369" s="637">
        <v>7.1</v>
      </c>
      <c r="F369" s="634" t="s">
        <v>1599</v>
      </c>
      <c r="G369" s="634" t="s">
        <v>1600</v>
      </c>
      <c r="H369" s="634" t="s">
        <v>1841</v>
      </c>
      <c r="I369" s="639">
        <v>9486</v>
      </c>
      <c r="J369" s="638" t="s">
        <v>1599</v>
      </c>
      <c r="K369" s="640">
        <v>3700</v>
      </c>
      <c r="L369" s="645">
        <f t="shared" si="12"/>
        <v>19022.7</v>
      </c>
      <c r="M369" s="902">
        <v>22722.7</v>
      </c>
      <c r="N369" s="911">
        <v>15828.2</v>
      </c>
      <c r="O369" s="636">
        <v>0</v>
      </c>
      <c r="P369" s="646">
        <v>100</v>
      </c>
    </row>
    <row r="370" spans="1:16" ht="15.75" customHeight="1">
      <c r="A370" s="628" t="s">
        <v>2210</v>
      </c>
      <c r="B370" s="629">
        <v>45097</v>
      </c>
      <c r="C370" s="618" t="s">
        <v>1597</v>
      </c>
      <c r="D370" s="618" t="s">
        <v>1598</v>
      </c>
      <c r="E370" s="630">
        <v>7.1</v>
      </c>
      <c r="F370" s="628" t="s">
        <v>1599</v>
      </c>
      <c r="G370" s="628" t="s">
        <v>1600</v>
      </c>
      <c r="H370" s="628" t="s">
        <v>1841</v>
      </c>
      <c r="I370" s="632">
        <v>9486</v>
      </c>
      <c r="J370" s="631" t="s">
        <v>1599</v>
      </c>
      <c r="K370" s="633">
        <v>3670</v>
      </c>
      <c r="L370" s="643">
        <f t="shared" si="12"/>
        <v>16700.099999999999</v>
      </c>
      <c r="M370" s="901">
        <v>20370.099999999999</v>
      </c>
      <c r="N370" s="912">
        <v>11115.6</v>
      </c>
      <c r="O370" s="618">
        <v>0</v>
      </c>
      <c r="P370" s="644">
        <v>100</v>
      </c>
    </row>
    <row r="371" spans="1:16" ht="15.75" customHeight="1">
      <c r="A371" s="634" t="s">
        <v>2211</v>
      </c>
      <c r="B371" s="635">
        <v>45099</v>
      </c>
      <c r="C371" s="636" t="s">
        <v>1597</v>
      </c>
      <c r="D371" s="636" t="s">
        <v>1598</v>
      </c>
      <c r="E371" s="637">
        <v>11.9</v>
      </c>
      <c r="F371" s="634" t="s">
        <v>1599</v>
      </c>
      <c r="G371" s="634" t="s">
        <v>1600</v>
      </c>
      <c r="H371" s="634" t="s">
        <v>1807</v>
      </c>
      <c r="I371" s="639">
        <v>1734</v>
      </c>
      <c r="J371" s="638" t="s">
        <v>1599</v>
      </c>
      <c r="K371" s="640">
        <v>3650</v>
      </c>
      <c r="L371" s="645">
        <f t="shared" si="12"/>
        <v>10597.9</v>
      </c>
      <c r="M371" s="902">
        <v>14247.9</v>
      </c>
      <c r="N371" s="911">
        <v>7853.1</v>
      </c>
      <c r="O371" s="636">
        <v>0</v>
      </c>
      <c r="P371" s="646">
        <v>100</v>
      </c>
    </row>
    <row r="372" spans="1:16" ht="15.75" customHeight="1">
      <c r="A372" s="628" t="s">
        <v>2212</v>
      </c>
      <c r="B372" s="629">
        <v>45085</v>
      </c>
      <c r="C372" s="618" t="s">
        <v>1597</v>
      </c>
      <c r="D372" s="618" t="s">
        <v>1598</v>
      </c>
      <c r="E372" s="630">
        <v>7.1</v>
      </c>
      <c r="F372" s="628" t="s">
        <v>1599</v>
      </c>
      <c r="G372" s="628" t="s">
        <v>1600</v>
      </c>
      <c r="H372" s="628" t="s">
        <v>1893</v>
      </c>
      <c r="I372" s="632">
        <v>2167</v>
      </c>
      <c r="J372" s="631" t="s">
        <v>1599</v>
      </c>
      <c r="K372" s="633">
        <v>2180</v>
      </c>
      <c r="L372" s="643">
        <f t="shared" si="12"/>
        <v>4747.6000000000004</v>
      </c>
      <c r="M372" s="901">
        <v>6927.6</v>
      </c>
      <c r="N372" s="912">
        <v>3567.6</v>
      </c>
      <c r="O372" s="618">
        <v>0</v>
      </c>
      <c r="P372" s="644">
        <v>100</v>
      </c>
    </row>
    <row r="373" spans="1:16" ht="15.75" customHeight="1">
      <c r="A373" s="634" t="s">
        <v>2213</v>
      </c>
      <c r="B373" s="635">
        <v>45089</v>
      </c>
      <c r="C373" s="636" t="s">
        <v>1597</v>
      </c>
      <c r="D373" s="636" t="s">
        <v>1598</v>
      </c>
      <c r="E373" s="637">
        <v>6</v>
      </c>
      <c r="F373" s="634" t="s">
        <v>1599</v>
      </c>
      <c r="G373" s="634" t="s">
        <v>1600</v>
      </c>
      <c r="H373" s="634" t="s">
        <v>2214</v>
      </c>
      <c r="I373" s="639">
        <v>6975</v>
      </c>
      <c r="J373" s="638" t="s">
        <v>1599</v>
      </c>
      <c r="K373" s="640">
        <v>2200</v>
      </c>
      <c r="L373" s="645">
        <f t="shared" si="12"/>
        <v>3463.3100000000004</v>
      </c>
      <c r="M373" s="902">
        <v>5663.31</v>
      </c>
      <c r="N373" s="911">
        <v>2347.59</v>
      </c>
      <c r="O373" s="636">
        <v>0</v>
      </c>
      <c r="P373" s="646">
        <v>100</v>
      </c>
    </row>
    <row r="374" spans="1:16" ht="15.75" customHeight="1">
      <c r="A374" s="628" t="s">
        <v>2215</v>
      </c>
      <c r="B374" s="629">
        <v>45085</v>
      </c>
      <c r="C374" s="618" t="s">
        <v>1597</v>
      </c>
      <c r="D374" s="618" t="s">
        <v>1598</v>
      </c>
      <c r="E374" s="630">
        <v>5.3</v>
      </c>
      <c r="F374" s="628" t="s">
        <v>1599</v>
      </c>
      <c r="G374" s="628" t="s">
        <v>1600</v>
      </c>
      <c r="H374" s="628" t="s">
        <v>1866</v>
      </c>
      <c r="I374" s="632">
        <v>2597</v>
      </c>
      <c r="J374" s="631" t="s">
        <v>1599</v>
      </c>
      <c r="K374" s="633">
        <v>2140</v>
      </c>
      <c r="L374" s="643">
        <f t="shared" si="12"/>
        <v>5092</v>
      </c>
      <c r="M374" s="901">
        <v>7232</v>
      </c>
      <c r="N374" s="912">
        <v>3895.5</v>
      </c>
      <c r="O374" s="618">
        <v>0</v>
      </c>
      <c r="P374" s="644">
        <v>100</v>
      </c>
    </row>
    <row r="375" spans="1:16" ht="15.75" customHeight="1">
      <c r="A375" s="634" t="s">
        <v>2216</v>
      </c>
      <c r="B375" s="635">
        <v>45089</v>
      </c>
      <c r="C375" s="636" t="s">
        <v>1597</v>
      </c>
      <c r="D375" s="636" t="s">
        <v>1598</v>
      </c>
      <c r="E375" s="637">
        <v>7.1</v>
      </c>
      <c r="F375" s="634" t="s">
        <v>1599</v>
      </c>
      <c r="G375" s="634" t="s">
        <v>1600</v>
      </c>
      <c r="H375" s="634" t="s">
        <v>1809</v>
      </c>
      <c r="I375" s="639">
        <v>15168</v>
      </c>
      <c r="J375" s="638" t="s">
        <v>1599</v>
      </c>
      <c r="K375" s="640">
        <v>4010</v>
      </c>
      <c r="L375" s="645">
        <f t="shared" si="12"/>
        <v>20530.080000000002</v>
      </c>
      <c r="M375" s="902">
        <v>24540.080000000002</v>
      </c>
      <c r="N375" s="911">
        <v>17404.8</v>
      </c>
      <c r="O375" s="636">
        <v>0</v>
      </c>
      <c r="P375" s="646">
        <v>100</v>
      </c>
    </row>
    <row r="376" spans="1:16" ht="15.75" customHeight="1">
      <c r="A376" s="628" t="s">
        <v>2217</v>
      </c>
      <c r="B376" s="629">
        <v>45092</v>
      </c>
      <c r="C376" s="618" t="s">
        <v>1597</v>
      </c>
      <c r="D376" s="618" t="s">
        <v>1598</v>
      </c>
      <c r="E376" s="630">
        <v>6</v>
      </c>
      <c r="F376" s="628" t="s">
        <v>1599</v>
      </c>
      <c r="G376" s="628" t="s">
        <v>1600</v>
      </c>
      <c r="H376" s="628" t="s">
        <v>1908</v>
      </c>
      <c r="I376" s="632">
        <v>6579</v>
      </c>
      <c r="J376" s="631" t="s">
        <v>1599</v>
      </c>
      <c r="K376" s="633">
        <v>3820</v>
      </c>
      <c r="L376" s="643">
        <f t="shared" si="12"/>
        <v>10355</v>
      </c>
      <c r="M376" s="901">
        <v>14175</v>
      </c>
      <c r="N376" s="912">
        <v>8189.28</v>
      </c>
      <c r="O376" s="618">
        <v>0</v>
      </c>
      <c r="P376" s="644">
        <v>100</v>
      </c>
    </row>
    <row r="377" spans="1:16" ht="15.75" customHeight="1">
      <c r="A377" s="634" t="s">
        <v>2218</v>
      </c>
      <c r="B377" s="635">
        <v>45092</v>
      </c>
      <c r="C377" s="636" t="s">
        <v>1597</v>
      </c>
      <c r="D377" s="636" t="s">
        <v>1598</v>
      </c>
      <c r="E377" s="637">
        <v>6.5</v>
      </c>
      <c r="F377" s="634" t="s">
        <v>1599</v>
      </c>
      <c r="G377" s="634" t="s">
        <v>1600</v>
      </c>
      <c r="H377" s="634" t="s">
        <v>1803</v>
      </c>
      <c r="I377" s="639">
        <v>8839</v>
      </c>
      <c r="J377" s="638" t="s">
        <v>1599</v>
      </c>
      <c r="K377" s="640">
        <v>3660</v>
      </c>
      <c r="L377" s="645">
        <f t="shared" si="12"/>
        <v>10562</v>
      </c>
      <c r="M377" s="902">
        <v>14222</v>
      </c>
      <c r="N377" s="911">
        <v>7200</v>
      </c>
      <c r="O377" s="636">
        <v>0</v>
      </c>
      <c r="P377" s="646">
        <v>100</v>
      </c>
    </row>
    <row r="378" spans="1:16" ht="15.75" customHeight="1">
      <c r="A378" s="628" t="s">
        <v>2219</v>
      </c>
      <c r="B378" s="629">
        <v>45089</v>
      </c>
      <c r="C378" s="618" t="s">
        <v>1597</v>
      </c>
      <c r="D378" s="618" t="s">
        <v>1598</v>
      </c>
      <c r="E378" s="630">
        <v>7.1</v>
      </c>
      <c r="F378" s="628" t="s">
        <v>1599</v>
      </c>
      <c r="G378" s="628" t="s">
        <v>1600</v>
      </c>
      <c r="H378" s="628" t="s">
        <v>1809</v>
      </c>
      <c r="I378" s="632">
        <v>15168</v>
      </c>
      <c r="J378" s="631" t="s">
        <v>1599</v>
      </c>
      <c r="K378" s="633">
        <v>3970</v>
      </c>
      <c r="L378" s="643">
        <f t="shared" si="12"/>
        <v>20530.080000000002</v>
      </c>
      <c r="M378" s="901">
        <v>24500.080000000002</v>
      </c>
      <c r="N378" s="912">
        <v>17404.8</v>
      </c>
      <c r="O378" s="618">
        <v>0</v>
      </c>
      <c r="P378" s="644">
        <v>100</v>
      </c>
    </row>
    <row r="379" spans="1:16" ht="15.75" customHeight="1">
      <c r="A379" s="634" t="s">
        <v>2220</v>
      </c>
      <c r="B379" s="635">
        <v>45089</v>
      </c>
      <c r="C379" s="636" t="s">
        <v>1597</v>
      </c>
      <c r="D379" s="636" t="s">
        <v>1598</v>
      </c>
      <c r="E379" s="637">
        <v>7.1</v>
      </c>
      <c r="F379" s="634" t="s">
        <v>1599</v>
      </c>
      <c r="G379" s="634" t="s">
        <v>1600</v>
      </c>
      <c r="H379" s="634" t="s">
        <v>1809</v>
      </c>
      <c r="I379" s="639">
        <v>15168</v>
      </c>
      <c r="J379" s="638" t="s">
        <v>1599</v>
      </c>
      <c r="K379" s="640">
        <v>3770</v>
      </c>
      <c r="L379" s="645">
        <f t="shared" si="12"/>
        <v>20530.080000000002</v>
      </c>
      <c r="M379" s="902">
        <v>24300.080000000002</v>
      </c>
      <c r="N379" s="911">
        <v>17404.8</v>
      </c>
      <c r="O379" s="636">
        <v>0</v>
      </c>
      <c r="P379" s="646">
        <v>100</v>
      </c>
    </row>
    <row r="380" spans="1:16" ht="15.75" customHeight="1">
      <c r="A380" s="628" t="s">
        <v>2221</v>
      </c>
      <c r="B380" s="629">
        <v>45089</v>
      </c>
      <c r="C380" s="618" t="s">
        <v>1597</v>
      </c>
      <c r="D380" s="618" t="s">
        <v>1598</v>
      </c>
      <c r="E380" s="630">
        <v>7.1</v>
      </c>
      <c r="F380" s="628" t="s">
        <v>1599</v>
      </c>
      <c r="G380" s="628" t="s">
        <v>1600</v>
      </c>
      <c r="H380" s="628" t="s">
        <v>1809</v>
      </c>
      <c r="I380" s="632">
        <v>15168</v>
      </c>
      <c r="J380" s="631" t="s">
        <v>1599</v>
      </c>
      <c r="K380" s="633">
        <v>3880</v>
      </c>
      <c r="L380" s="643">
        <f t="shared" si="12"/>
        <v>20530.080000000002</v>
      </c>
      <c r="M380" s="901">
        <v>24410.080000000002</v>
      </c>
      <c r="N380" s="912">
        <v>17404.8</v>
      </c>
      <c r="O380" s="618">
        <v>0</v>
      </c>
      <c r="P380" s="644">
        <v>100</v>
      </c>
    </row>
    <row r="381" spans="1:16" ht="15.75" customHeight="1">
      <c r="A381" s="634" t="s">
        <v>2222</v>
      </c>
      <c r="B381" s="635">
        <v>45096</v>
      </c>
      <c r="C381" s="636" t="s">
        <v>1597</v>
      </c>
      <c r="D381" s="636" t="s">
        <v>1598</v>
      </c>
      <c r="E381" s="637">
        <v>4.0999999999999996</v>
      </c>
      <c r="F381" s="634" t="s">
        <v>1599</v>
      </c>
      <c r="G381" s="634" t="s">
        <v>1600</v>
      </c>
      <c r="H381" s="634" t="s">
        <v>1850</v>
      </c>
      <c r="I381" s="639">
        <v>9687</v>
      </c>
      <c r="J381" s="638" t="s">
        <v>1599</v>
      </c>
      <c r="K381" s="640">
        <v>2180</v>
      </c>
      <c r="L381" s="645">
        <f t="shared" si="12"/>
        <v>5777</v>
      </c>
      <c r="M381" s="902">
        <v>7957</v>
      </c>
      <c r="N381" s="911">
        <v>4550</v>
      </c>
      <c r="O381" s="636">
        <v>0</v>
      </c>
      <c r="P381" s="646">
        <v>100</v>
      </c>
    </row>
    <row r="382" spans="1:16" ht="15.75" customHeight="1">
      <c r="A382" s="628" t="s">
        <v>2223</v>
      </c>
      <c r="B382" s="629">
        <v>45089</v>
      </c>
      <c r="C382" s="618" t="s">
        <v>1597</v>
      </c>
      <c r="D382" s="618" t="s">
        <v>1598</v>
      </c>
      <c r="E382" s="630">
        <v>7.1</v>
      </c>
      <c r="F382" s="628" t="s">
        <v>1599</v>
      </c>
      <c r="G382" s="628" t="s">
        <v>1600</v>
      </c>
      <c r="H382" s="628" t="s">
        <v>1809</v>
      </c>
      <c r="I382" s="632">
        <v>15168</v>
      </c>
      <c r="J382" s="631" t="s">
        <v>1599</v>
      </c>
      <c r="K382" s="633">
        <v>3700</v>
      </c>
      <c r="L382" s="643">
        <f t="shared" si="12"/>
        <v>20530.080000000002</v>
      </c>
      <c r="M382" s="901">
        <v>24230.080000000002</v>
      </c>
      <c r="N382" s="912">
        <v>17404.8</v>
      </c>
      <c r="O382" s="618">
        <v>0</v>
      </c>
      <c r="P382" s="644">
        <v>100</v>
      </c>
    </row>
    <row r="383" spans="1:16" ht="15.75" customHeight="1">
      <c r="A383" s="634" t="s">
        <v>2224</v>
      </c>
      <c r="B383" s="635">
        <v>45090</v>
      </c>
      <c r="C383" s="636" t="s">
        <v>1597</v>
      </c>
      <c r="D383" s="636" t="s">
        <v>1598</v>
      </c>
      <c r="E383" s="637">
        <v>3.6</v>
      </c>
      <c r="F383" s="634" t="s">
        <v>1599</v>
      </c>
      <c r="G383" s="634" t="s">
        <v>1600</v>
      </c>
      <c r="H383" s="634" t="s">
        <v>1848</v>
      </c>
      <c r="I383" s="639">
        <v>3740</v>
      </c>
      <c r="J383" s="638" t="s">
        <v>1599</v>
      </c>
      <c r="K383" s="640">
        <v>3730</v>
      </c>
      <c r="L383" s="645">
        <f t="shared" si="12"/>
        <v>5216.08</v>
      </c>
      <c r="M383" s="902">
        <v>8946.08</v>
      </c>
      <c r="N383" s="911">
        <v>3404.12</v>
      </c>
      <c r="O383" s="636">
        <v>0</v>
      </c>
      <c r="P383" s="646">
        <v>100</v>
      </c>
    </row>
    <row r="384" spans="1:16" ht="15.75" customHeight="1">
      <c r="A384" s="628" t="s">
        <v>2225</v>
      </c>
      <c r="B384" s="629">
        <v>45090</v>
      </c>
      <c r="C384" s="618" t="s">
        <v>1597</v>
      </c>
      <c r="D384" s="618" t="s">
        <v>1598</v>
      </c>
      <c r="E384" s="630">
        <v>6.2</v>
      </c>
      <c r="F384" s="628" t="s">
        <v>1599</v>
      </c>
      <c r="G384" s="628" t="s">
        <v>1600</v>
      </c>
      <c r="H384" s="628" t="s">
        <v>1822</v>
      </c>
      <c r="I384" s="632">
        <v>13787</v>
      </c>
      <c r="J384" s="631" t="s">
        <v>1599</v>
      </c>
      <c r="K384" s="633">
        <v>3890</v>
      </c>
      <c r="L384" s="643">
        <f t="shared" si="12"/>
        <v>14839</v>
      </c>
      <c r="M384" s="901">
        <v>18729</v>
      </c>
      <c r="N384" s="912">
        <v>12511.2</v>
      </c>
      <c r="O384" s="618">
        <v>0</v>
      </c>
      <c r="P384" s="644">
        <v>100</v>
      </c>
    </row>
    <row r="385" spans="1:16" ht="15.75" customHeight="1">
      <c r="A385" s="634" t="s">
        <v>2226</v>
      </c>
      <c r="B385" s="635">
        <v>45092</v>
      </c>
      <c r="C385" s="636" t="s">
        <v>1597</v>
      </c>
      <c r="D385" s="636" t="s">
        <v>1598</v>
      </c>
      <c r="E385" s="637">
        <v>6.2</v>
      </c>
      <c r="F385" s="634" t="s">
        <v>1599</v>
      </c>
      <c r="G385" s="634" t="s">
        <v>1600</v>
      </c>
      <c r="H385" s="634" t="s">
        <v>1818</v>
      </c>
      <c r="I385" s="639">
        <v>14000</v>
      </c>
      <c r="J385" s="638" t="s">
        <v>1599</v>
      </c>
      <c r="K385" s="640">
        <v>3800</v>
      </c>
      <c r="L385" s="645">
        <f t="shared" si="12"/>
        <v>18594.59</v>
      </c>
      <c r="M385" s="902">
        <v>22394.59</v>
      </c>
      <c r="N385" s="911">
        <v>15925.65</v>
      </c>
      <c r="O385" s="636">
        <v>0</v>
      </c>
      <c r="P385" s="646">
        <v>100</v>
      </c>
    </row>
    <row r="386" spans="1:16" ht="15.75" customHeight="1">
      <c r="A386" s="628" t="s">
        <v>2227</v>
      </c>
      <c r="B386" s="629">
        <v>45093</v>
      </c>
      <c r="C386" s="618" t="s">
        <v>1597</v>
      </c>
      <c r="D386" s="618" t="s">
        <v>1598</v>
      </c>
      <c r="E386" s="630">
        <v>6.2</v>
      </c>
      <c r="F386" s="628" t="s">
        <v>1599</v>
      </c>
      <c r="G386" s="628" t="s">
        <v>1600</v>
      </c>
      <c r="H386" s="628" t="s">
        <v>1822</v>
      </c>
      <c r="I386" s="632">
        <v>13787</v>
      </c>
      <c r="J386" s="631" t="s">
        <v>1599</v>
      </c>
      <c r="K386" s="633">
        <v>3830</v>
      </c>
      <c r="L386" s="643">
        <f t="shared" si="12"/>
        <v>19071.599999999999</v>
      </c>
      <c r="M386" s="901">
        <v>22901.599999999999</v>
      </c>
      <c r="N386" s="912">
        <v>15302.4</v>
      </c>
      <c r="O386" s="618">
        <v>0</v>
      </c>
      <c r="P386" s="644">
        <v>100</v>
      </c>
    </row>
    <row r="387" spans="1:16" ht="15.75" customHeight="1">
      <c r="A387" s="634" t="s">
        <v>2228</v>
      </c>
      <c r="B387" s="635">
        <v>45091</v>
      </c>
      <c r="C387" s="636" t="s">
        <v>1597</v>
      </c>
      <c r="D387" s="636" t="s">
        <v>1598</v>
      </c>
      <c r="E387" s="637">
        <v>6</v>
      </c>
      <c r="F387" s="634" t="s">
        <v>1599</v>
      </c>
      <c r="G387" s="634" t="s">
        <v>1600</v>
      </c>
      <c r="H387" s="634" t="s">
        <v>1822</v>
      </c>
      <c r="I387" s="639">
        <v>13787</v>
      </c>
      <c r="J387" s="638" t="s">
        <v>1599</v>
      </c>
      <c r="K387" s="640">
        <v>3890</v>
      </c>
      <c r="L387" s="645">
        <f t="shared" si="12"/>
        <v>14839</v>
      </c>
      <c r="M387" s="902">
        <v>18729</v>
      </c>
      <c r="N387" s="911">
        <v>12511.2</v>
      </c>
      <c r="O387" s="636">
        <v>0</v>
      </c>
      <c r="P387" s="646">
        <v>100</v>
      </c>
    </row>
    <row r="388" spans="1:16" ht="15.75" customHeight="1">
      <c r="A388" s="628" t="s">
        <v>2229</v>
      </c>
      <c r="B388" s="629">
        <v>45092</v>
      </c>
      <c r="C388" s="618" t="s">
        <v>1597</v>
      </c>
      <c r="D388" s="618" t="s">
        <v>1598</v>
      </c>
      <c r="E388" s="630">
        <v>4.0999999999999996</v>
      </c>
      <c r="F388" s="628" t="s">
        <v>1599</v>
      </c>
      <c r="G388" s="628" t="s">
        <v>1600</v>
      </c>
      <c r="H388" s="628" t="s">
        <v>1965</v>
      </c>
      <c r="I388" s="632">
        <v>5092</v>
      </c>
      <c r="J388" s="631" t="s">
        <v>1599</v>
      </c>
      <c r="K388" s="633">
        <v>2240</v>
      </c>
      <c r="L388" s="643">
        <f t="shared" si="12"/>
        <v>4872.75</v>
      </c>
      <c r="M388" s="901">
        <v>7112.75</v>
      </c>
      <c r="N388" s="912">
        <v>3558.5</v>
      </c>
      <c r="O388" s="618">
        <v>0</v>
      </c>
      <c r="P388" s="644">
        <v>100</v>
      </c>
    </row>
    <row r="389" spans="1:16" ht="15.75" customHeight="1">
      <c r="A389" s="634" t="s">
        <v>2230</v>
      </c>
      <c r="B389" s="635">
        <v>45099</v>
      </c>
      <c r="C389" s="636" t="s">
        <v>1597</v>
      </c>
      <c r="D389" s="636" t="s">
        <v>1598</v>
      </c>
      <c r="E389" s="637">
        <v>6</v>
      </c>
      <c r="F389" s="634" t="s">
        <v>1599</v>
      </c>
      <c r="G389" s="634" t="s">
        <v>1600</v>
      </c>
      <c r="H389" s="634" t="s">
        <v>1822</v>
      </c>
      <c r="I389" s="639">
        <v>13787</v>
      </c>
      <c r="J389" s="638" t="s">
        <v>1599</v>
      </c>
      <c r="K389" s="640">
        <v>3670</v>
      </c>
      <c r="L389" s="645">
        <f t="shared" si="12"/>
        <v>9602</v>
      </c>
      <c r="M389" s="902">
        <v>13272</v>
      </c>
      <c r="N389" s="914">
        <v>5376</v>
      </c>
      <c r="O389" s="636">
        <v>0</v>
      </c>
      <c r="P389" s="646">
        <v>100</v>
      </c>
    </row>
    <row r="390" spans="1:16" ht="15.75" customHeight="1">
      <c r="A390" s="628" t="s">
        <v>2231</v>
      </c>
      <c r="B390" s="629">
        <v>45099</v>
      </c>
      <c r="C390" s="618" t="s">
        <v>1597</v>
      </c>
      <c r="D390" s="618" t="s">
        <v>1598</v>
      </c>
      <c r="E390" s="630">
        <v>6.5</v>
      </c>
      <c r="F390" s="628" t="s">
        <v>1599</v>
      </c>
      <c r="G390" s="628" t="s">
        <v>1600</v>
      </c>
      <c r="H390" s="628" t="s">
        <v>1822</v>
      </c>
      <c r="I390" s="632">
        <v>13787</v>
      </c>
      <c r="J390" s="631" t="s">
        <v>1599</v>
      </c>
      <c r="K390" s="633">
        <v>3700</v>
      </c>
      <c r="L390" s="643">
        <f t="shared" si="12"/>
        <v>14839</v>
      </c>
      <c r="M390" s="901">
        <v>18539</v>
      </c>
      <c r="N390" s="913">
        <v>14837</v>
      </c>
      <c r="O390" s="618">
        <v>0</v>
      </c>
      <c r="P390" s="644">
        <v>100</v>
      </c>
    </row>
    <row r="391" spans="1:16" ht="15.75" customHeight="1">
      <c r="A391" s="634" t="s">
        <v>2232</v>
      </c>
      <c r="B391" s="635">
        <v>45100</v>
      </c>
      <c r="C391" s="636" t="s">
        <v>1597</v>
      </c>
      <c r="D391" s="636" t="s">
        <v>1598</v>
      </c>
      <c r="E391" s="637">
        <v>5.3</v>
      </c>
      <c r="F391" s="634" t="s">
        <v>1599</v>
      </c>
      <c r="G391" s="634" t="s">
        <v>1600</v>
      </c>
      <c r="H391" s="634" t="s">
        <v>1848</v>
      </c>
      <c r="I391" s="639">
        <v>3740</v>
      </c>
      <c r="J391" s="638" t="s">
        <v>1599</v>
      </c>
      <c r="K391" s="640">
        <v>3700</v>
      </c>
      <c r="L391" s="645">
        <f t="shared" si="12"/>
        <v>5235.2800000000007</v>
      </c>
      <c r="M391" s="902">
        <v>8935.2800000000007</v>
      </c>
      <c r="N391" s="914">
        <v>3455.32</v>
      </c>
      <c r="O391" s="636">
        <v>0</v>
      </c>
      <c r="P391" s="646">
        <v>100</v>
      </c>
    </row>
    <row r="392" spans="1:16" ht="15.75" customHeight="1">
      <c r="A392" s="628" t="s">
        <v>2233</v>
      </c>
      <c r="B392" s="629">
        <v>45092</v>
      </c>
      <c r="C392" s="618" t="s">
        <v>1597</v>
      </c>
      <c r="D392" s="618" t="s">
        <v>1598</v>
      </c>
      <c r="E392" s="630">
        <v>7.1</v>
      </c>
      <c r="F392" s="628" t="s">
        <v>1599</v>
      </c>
      <c r="G392" s="628" t="s">
        <v>1600</v>
      </c>
      <c r="H392" s="628" t="s">
        <v>1886</v>
      </c>
      <c r="I392" s="632">
        <v>13877</v>
      </c>
      <c r="J392" s="631" t="s">
        <v>1599</v>
      </c>
      <c r="K392" s="633">
        <v>3700</v>
      </c>
      <c r="L392" s="643">
        <f t="shared" si="12"/>
        <v>19599.5</v>
      </c>
      <c r="M392" s="901">
        <v>23299.5</v>
      </c>
      <c r="N392" s="912">
        <v>15795</v>
      </c>
      <c r="O392" s="618">
        <v>0</v>
      </c>
      <c r="P392" s="644">
        <v>100</v>
      </c>
    </row>
    <row r="393" spans="1:16" ht="15.75" customHeight="1">
      <c r="A393" s="634" t="s">
        <v>2234</v>
      </c>
      <c r="B393" s="635">
        <v>45099</v>
      </c>
      <c r="C393" s="636" t="s">
        <v>1597</v>
      </c>
      <c r="D393" s="636" t="s">
        <v>1598</v>
      </c>
      <c r="E393" s="637">
        <v>6.2</v>
      </c>
      <c r="F393" s="634" t="s">
        <v>1599</v>
      </c>
      <c r="G393" s="634" t="s">
        <v>1600</v>
      </c>
      <c r="H393" s="634" t="s">
        <v>1815</v>
      </c>
      <c r="I393" s="639">
        <v>17387</v>
      </c>
      <c r="J393" s="638" t="s">
        <v>1599</v>
      </c>
      <c r="K393" s="640">
        <v>3870</v>
      </c>
      <c r="L393" s="645">
        <f t="shared" si="12"/>
        <v>18671.29</v>
      </c>
      <c r="M393" s="902">
        <v>22541.29</v>
      </c>
      <c r="N393" s="914">
        <v>16170.76</v>
      </c>
      <c r="O393" s="636">
        <v>0</v>
      </c>
      <c r="P393" s="646">
        <v>100</v>
      </c>
    </row>
    <row r="394" spans="1:16" ht="15.75" customHeight="1">
      <c r="A394" s="628" t="s">
        <v>2235</v>
      </c>
      <c r="B394" s="629">
        <v>45099</v>
      </c>
      <c r="C394" s="618" t="s">
        <v>1597</v>
      </c>
      <c r="D394" s="618" t="s">
        <v>1598</v>
      </c>
      <c r="E394" s="630">
        <v>6.2</v>
      </c>
      <c r="F394" s="628" t="s">
        <v>1599</v>
      </c>
      <c r="G394" s="628" t="s">
        <v>1600</v>
      </c>
      <c r="H394" s="628" t="s">
        <v>1815</v>
      </c>
      <c r="I394" s="632">
        <v>17387</v>
      </c>
      <c r="J394" s="631" t="s">
        <v>1599</v>
      </c>
      <c r="K394" s="633">
        <v>3840</v>
      </c>
      <c r="L394" s="643">
        <f t="shared" si="12"/>
        <v>18069.21</v>
      </c>
      <c r="M394" s="901">
        <v>21909.21</v>
      </c>
      <c r="N394" s="913">
        <v>15594.73</v>
      </c>
      <c r="O394" s="618">
        <v>0</v>
      </c>
      <c r="P394" s="644">
        <v>100</v>
      </c>
    </row>
    <row r="395" spans="1:16" ht="15.75" customHeight="1">
      <c r="A395" s="634" t="s">
        <v>2236</v>
      </c>
      <c r="B395" s="635">
        <v>45103</v>
      </c>
      <c r="C395" s="636" t="s">
        <v>1597</v>
      </c>
      <c r="D395" s="636" t="s">
        <v>1598</v>
      </c>
      <c r="E395" s="637">
        <v>6</v>
      </c>
      <c r="F395" s="634" t="s">
        <v>1599</v>
      </c>
      <c r="G395" s="634" t="s">
        <v>1600</v>
      </c>
      <c r="H395" s="634" t="s">
        <v>1838</v>
      </c>
      <c r="I395" s="639">
        <v>4972</v>
      </c>
      <c r="J395" s="638" t="s">
        <v>1599</v>
      </c>
      <c r="K395" s="637">
        <v>2210</v>
      </c>
      <c r="L395" s="645">
        <f t="shared" si="12"/>
        <v>5013.32</v>
      </c>
      <c r="M395" s="902">
        <v>7223.32</v>
      </c>
      <c r="N395" s="914">
        <v>3854.39</v>
      </c>
      <c r="O395" s="636">
        <v>0</v>
      </c>
      <c r="P395" s="646">
        <v>100</v>
      </c>
    </row>
    <row r="396" spans="1:16" ht="15.75" customHeight="1">
      <c r="A396" s="610" t="s">
        <v>2237</v>
      </c>
      <c r="B396" s="629">
        <v>45103</v>
      </c>
      <c r="C396" s="610" t="s">
        <v>1597</v>
      </c>
      <c r="D396" s="610" t="s">
        <v>1598</v>
      </c>
      <c r="E396" s="612">
        <v>5.3</v>
      </c>
      <c r="F396" s="610" t="s">
        <v>1599</v>
      </c>
      <c r="G396" s="610" t="s">
        <v>1600</v>
      </c>
      <c r="H396" s="628" t="s">
        <v>1844</v>
      </c>
      <c r="I396" s="632">
        <v>5727</v>
      </c>
      <c r="J396" s="615" t="s">
        <v>1599</v>
      </c>
      <c r="K396" s="616">
        <v>3850</v>
      </c>
      <c r="L396" s="648">
        <v>2535.25</v>
      </c>
      <c r="M396" s="899">
        <v>6385.25</v>
      </c>
      <c r="N396" s="912">
        <v>5187.33</v>
      </c>
      <c r="O396" s="618">
        <v>0</v>
      </c>
      <c r="P396" s="644">
        <v>100</v>
      </c>
    </row>
    <row r="397" spans="1:16" ht="15.75" customHeight="1">
      <c r="A397" s="634" t="s">
        <v>2238</v>
      </c>
      <c r="B397" s="635">
        <v>45098</v>
      </c>
      <c r="C397" s="636" t="s">
        <v>1597</v>
      </c>
      <c r="D397" s="636" t="s">
        <v>1598</v>
      </c>
      <c r="E397" s="637">
        <v>5.2</v>
      </c>
      <c r="F397" s="634" t="s">
        <v>1599</v>
      </c>
      <c r="G397" s="634" t="s">
        <v>1600</v>
      </c>
      <c r="H397" s="634" t="s">
        <v>1798</v>
      </c>
      <c r="I397" s="639">
        <v>1931</v>
      </c>
      <c r="J397" s="638" t="s">
        <v>1599</v>
      </c>
      <c r="K397" s="640">
        <v>5321.7</v>
      </c>
      <c r="L397" s="645">
        <f t="shared" ref="L397:L405" si="13">M397-K397</f>
        <v>988</v>
      </c>
      <c r="M397" s="902">
        <v>6309.7</v>
      </c>
      <c r="N397" s="911">
        <v>5321.7</v>
      </c>
      <c r="O397" s="636">
        <v>0</v>
      </c>
      <c r="P397" s="646">
        <v>100</v>
      </c>
    </row>
    <row r="398" spans="1:16" ht="15.75" customHeight="1">
      <c r="A398" s="628" t="s">
        <v>2239</v>
      </c>
      <c r="B398" s="629">
        <v>45096</v>
      </c>
      <c r="C398" s="618" t="s">
        <v>1597</v>
      </c>
      <c r="D398" s="618" t="s">
        <v>1598</v>
      </c>
      <c r="E398" s="630">
        <v>6.5</v>
      </c>
      <c r="F398" s="628" t="s">
        <v>1599</v>
      </c>
      <c r="G398" s="628" t="s">
        <v>1600</v>
      </c>
      <c r="H398" s="628" t="s">
        <v>1854</v>
      </c>
      <c r="I398" s="632">
        <v>8865</v>
      </c>
      <c r="J398" s="631" t="s">
        <v>1599</v>
      </c>
      <c r="K398" s="633">
        <v>3700</v>
      </c>
      <c r="L398" s="643">
        <f t="shared" si="13"/>
        <v>20860.5</v>
      </c>
      <c r="M398" s="901">
        <v>24560.5</v>
      </c>
      <c r="N398" s="912">
        <v>18066</v>
      </c>
      <c r="O398" s="618">
        <v>0</v>
      </c>
      <c r="P398" s="644">
        <v>100</v>
      </c>
    </row>
    <row r="399" spans="1:16" ht="15.75" customHeight="1">
      <c r="A399" s="634" t="s">
        <v>2240</v>
      </c>
      <c r="B399" s="635">
        <v>45098</v>
      </c>
      <c r="C399" s="636" t="s">
        <v>1597</v>
      </c>
      <c r="D399" s="636" t="s">
        <v>1598</v>
      </c>
      <c r="E399" s="637">
        <v>6.5</v>
      </c>
      <c r="F399" s="634" t="s">
        <v>1599</v>
      </c>
      <c r="G399" s="634" t="s">
        <v>1600</v>
      </c>
      <c r="H399" s="634" t="s">
        <v>1836</v>
      </c>
      <c r="I399" s="639">
        <v>14544</v>
      </c>
      <c r="J399" s="638" t="s">
        <v>1599</v>
      </c>
      <c r="K399" s="640">
        <v>3820</v>
      </c>
      <c r="L399" s="645">
        <f t="shared" si="13"/>
        <v>14839</v>
      </c>
      <c r="M399" s="902">
        <v>18659</v>
      </c>
      <c r="N399" s="911">
        <v>12511.2</v>
      </c>
      <c r="O399" s="636">
        <v>0</v>
      </c>
      <c r="P399" s="646">
        <v>100</v>
      </c>
    </row>
    <row r="400" spans="1:16" ht="15.75" customHeight="1">
      <c r="A400" s="628" t="s">
        <v>2241</v>
      </c>
      <c r="B400" s="629">
        <v>45099</v>
      </c>
      <c r="C400" s="618" t="s">
        <v>1597</v>
      </c>
      <c r="D400" s="618" t="s">
        <v>1598</v>
      </c>
      <c r="E400" s="630">
        <v>6.2</v>
      </c>
      <c r="F400" s="628" t="s">
        <v>1599</v>
      </c>
      <c r="G400" s="628" t="s">
        <v>1600</v>
      </c>
      <c r="H400" s="628" t="s">
        <v>1884</v>
      </c>
      <c r="I400" s="632">
        <v>13413</v>
      </c>
      <c r="J400" s="631" t="s">
        <v>1599</v>
      </c>
      <c r="K400" s="633">
        <v>3900</v>
      </c>
      <c r="L400" s="643">
        <f t="shared" si="13"/>
        <v>17889.099999999999</v>
      </c>
      <c r="M400" s="901">
        <v>21789.1</v>
      </c>
      <c r="N400" s="913">
        <v>14665.2</v>
      </c>
      <c r="O400" s="618">
        <v>0</v>
      </c>
      <c r="P400" s="644">
        <v>100</v>
      </c>
    </row>
    <row r="401" spans="1:16" ht="15.75" customHeight="1">
      <c r="A401" s="634" t="s">
        <v>2242</v>
      </c>
      <c r="B401" s="635">
        <v>45098</v>
      </c>
      <c r="C401" s="636" t="s">
        <v>1597</v>
      </c>
      <c r="D401" s="636" t="s">
        <v>1598</v>
      </c>
      <c r="E401" s="637">
        <v>6.5</v>
      </c>
      <c r="F401" s="634" t="s">
        <v>1599</v>
      </c>
      <c r="G401" s="634" t="s">
        <v>1600</v>
      </c>
      <c r="H401" s="634" t="s">
        <v>1963</v>
      </c>
      <c r="I401" s="639">
        <v>14253</v>
      </c>
      <c r="J401" s="638" t="s">
        <v>1599</v>
      </c>
      <c r="K401" s="640">
        <v>3900</v>
      </c>
      <c r="L401" s="645">
        <f t="shared" si="13"/>
        <v>10741.02</v>
      </c>
      <c r="M401" s="902">
        <v>14641.02</v>
      </c>
      <c r="N401" s="911">
        <v>7892.82</v>
      </c>
      <c r="O401" s="636">
        <v>0</v>
      </c>
      <c r="P401" s="646">
        <v>100</v>
      </c>
    </row>
    <row r="402" spans="1:16" ht="15.75" customHeight="1">
      <c r="A402" s="628" t="s">
        <v>2243</v>
      </c>
      <c r="B402" s="629">
        <v>45100</v>
      </c>
      <c r="C402" s="618" t="s">
        <v>1597</v>
      </c>
      <c r="D402" s="618" t="s">
        <v>1598</v>
      </c>
      <c r="E402" s="630">
        <v>6.5</v>
      </c>
      <c r="F402" s="628" t="s">
        <v>1599</v>
      </c>
      <c r="G402" s="628" t="s">
        <v>1600</v>
      </c>
      <c r="H402" s="628" t="s">
        <v>1963</v>
      </c>
      <c r="I402" s="632">
        <v>14253</v>
      </c>
      <c r="J402" s="631" t="s">
        <v>1599</v>
      </c>
      <c r="K402" s="630">
        <v>3900</v>
      </c>
      <c r="L402" s="643">
        <f t="shared" si="13"/>
        <v>11271.06</v>
      </c>
      <c r="M402" s="901">
        <v>15171.06</v>
      </c>
      <c r="N402" s="913">
        <v>8420.0400000000009</v>
      </c>
      <c r="O402" s="618">
        <v>0</v>
      </c>
      <c r="P402" s="644">
        <v>100</v>
      </c>
    </row>
    <row r="403" spans="1:16" ht="15.75" customHeight="1">
      <c r="A403" s="634" t="s">
        <v>2244</v>
      </c>
      <c r="B403" s="635">
        <v>45103</v>
      </c>
      <c r="C403" s="636" t="s">
        <v>1597</v>
      </c>
      <c r="D403" s="636" t="s">
        <v>1598</v>
      </c>
      <c r="E403" s="637">
        <v>5.2</v>
      </c>
      <c r="F403" s="634" t="s">
        <v>1599</v>
      </c>
      <c r="G403" s="634" t="s">
        <v>1600</v>
      </c>
      <c r="H403" s="634" t="s">
        <v>1893</v>
      </c>
      <c r="I403" s="639">
        <v>2167</v>
      </c>
      <c r="J403" s="638" t="s">
        <v>1599</v>
      </c>
      <c r="K403" s="637">
        <v>2230</v>
      </c>
      <c r="L403" s="645">
        <f t="shared" si="13"/>
        <v>4155.6000000000004</v>
      </c>
      <c r="M403" s="902">
        <v>6385.6</v>
      </c>
      <c r="N403" s="914">
        <v>2808.9</v>
      </c>
      <c r="O403" s="636">
        <v>0</v>
      </c>
      <c r="P403" s="646">
        <v>100</v>
      </c>
    </row>
    <row r="404" spans="1:16" ht="15.75" customHeight="1">
      <c r="A404" s="628" t="s">
        <v>2245</v>
      </c>
      <c r="B404" s="629">
        <v>45100</v>
      </c>
      <c r="C404" s="618" t="s">
        <v>1597</v>
      </c>
      <c r="D404" s="618" t="s">
        <v>1598</v>
      </c>
      <c r="E404" s="630">
        <v>7.1</v>
      </c>
      <c r="F404" s="628" t="s">
        <v>1599</v>
      </c>
      <c r="G404" s="628" t="s">
        <v>1600</v>
      </c>
      <c r="H404" s="628" t="s">
        <v>1798</v>
      </c>
      <c r="I404" s="632">
        <v>1931</v>
      </c>
      <c r="J404" s="631" t="s">
        <v>1599</v>
      </c>
      <c r="K404" s="633">
        <v>5271.2</v>
      </c>
      <c r="L404" s="643">
        <f t="shared" si="13"/>
        <v>954</v>
      </c>
      <c r="M404" s="901">
        <v>6225.2</v>
      </c>
      <c r="N404" s="913">
        <v>5271.2</v>
      </c>
      <c r="O404" s="618">
        <v>0</v>
      </c>
      <c r="P404" s="644">
        <v>100</v>
      </c>
    </row>
    <row r="405" spans="1:16" ht="15.75" customHeight="1">
      <c r="A405" s="634" t="s">
        <v>2246</v>
      </c>
      <c r="B405" s="635">
        <v>45103</v>
      </c>
      <c r="C405" s="636" t="s">
        <v>1597</v>
      </c>
      <c r="D405" s="636" t="s">
        <v>1598</v>
      </c>
      <c r="E405" s="637">
        <v>5.3</v>
      </c>
      <c r="F405" s="634" t="s">
        <v>1599</v>
      </c>
      <c r="G405" s="634" t="s">
        <v>1600</v>
      </c>
      <c r="H405" s="634" t="s">
        <v>1807</v>
      </c>
      <c r="I405" s="639">
        <v>1734</v>
      </c>
      <c r="J405" s="638" t="s">
        <v>1599</v>
      </c>
      <c r="K405" s="637">
        <v>3650</v>
      </c>
      <c r="L405" s="645">
        <f t="shared" si="13"/>
        <v>13227</v>
      </c>
      <c r="M405" s="902">
        <v>16877</v>
      </c>
      <c r="N405" s="914">
        <v>10554.2</v>
      </c>
      <c r="O405" s="636">
        <v>0</v>
      </c>
      <c r="P405" s="646">
        <v>100</v>
      </c>
    </row>
    <row r="406" spans="1:16" ht="15.75" customHeight="1">
      <c r="A406" s="628" t="s">
        <v>2247</v>
      </c>
      <c r="B406" s="629">
        <v>45474</v>
      </c>
      <c r="C406" s="618" t="s">
        <v>1597</v>
      </c>
      <c r="D406" s="618" t="s">
        <v>1598</v>
      </c>
      <c r="E406" s="630">
        <v>7.1</v>
      </c>
      <c r="F406" s="628" t="s">
        <v>1599</v>
      </c>
      <c r="G406" s="628" t="s">
        <v>1600</v>
      </c>
      <c r="H406" s="628" t="s">
        <v>1844</v>
      </c>
      <c r="I406" s="632">
        <v>5727</v>
      </c>
      <c r="J406" s="631" t="s">
        <v>1599</v>
      </c>
      <c r="K406" s="633">
        <v>2215</v>
      </c>
      <c r="L406" s="643">
        <v>6764.73</v>
      </c>
      <c r="M406" s="901">
        <v>8979.73</v>
      </c>
      <c r="N406" s="913">
        <v>5729.89</v>
      </c>
      <c r="O406" s="618">
        <v>0</v>
      </c>
      <c r="P406" s="644">
        <v>100</v>
      </c>
    </row>
    <row r="407" spans="1:16" ht="15.75" customHeight="1">
      <c r="A407" s="634" t="s">
        <v>2248</v>
      </c>
      <c r="B407" s="635">
        <v>45474</v>
      </c>
      <c r="C407" s="636" t="s">
        <v>1597</v>
      </c>
      <c r="D407" s="636" t="s">
        <v>1598</v>
      </c>
      <c r="E407" s="637">
        <v>7.1</v>
      </c>
      <c r="F407" s="634" t="s">
        <v>1599</v>
      </c>
      <c r="G407" s="634" t="s">
        <v>1600</v>
      </c>
      <c r="H407" s="634" t="s">
        <v>1846</v>
      </c>
      <c r="I407" s="639">
        <v>5317</v>
      </c>
      <c r="J407" s="638" t="s">
        <v>1599</v>
      </c>
      <c r="K407" s="640">
        <v>2220</v>
      </c>
      <c r="L407" s="645">
        <v>6689.2999999999993</v>
      </c>
      <c r="M407" s="902">
        <v>8909.2999999999993</v>
      </c>
      <c r="N407" s="914">
        <v>5473.02</v>
      </c>
      <c r="O407" s="636">
        <v>0</v>
      </c>
      <c r="P407" s="646">
        <v>100</v>
      </c>
    </row>
    <row r="408" spans="1:16" ht="15.75" customHeight="1">
      <c r="A408" s="628" t="s">
        <v>2249</v>
      </c>
      <c r="B408" s="629">
        <v>45474</v>
      </c>
      <c r="C408" s="618" t="s">
        <v>1597</v>
      </c>
      <c r="D408" s="618" t="s">
        <v>1598</v>
      </c>
      <c r="E408" s="630">
        <v>7.1</v>
      </c>
      <c r="F408" s="628" t="s">
        <v>1599</v>
      </c>
      <c r="G408" s="628" t="s">
        <v>1600</v>
      </c>
      <c r="H408" s="628" t="s">
        <v>1838</v>
      </c>
      <c r="I408" s="632">
        <v>4972</v>
      </c>
      <c r="J408" s="631" t="s">
        <v>1599</v>
      </c>
      <c r="K408" s="633">
        <v>2100</v>
      </c>
      <c r="L408" s="643">
        <v>6061.3</v>
      </c>
      <c r="M408" s="901">
        <v>8161.3</v>
      </c>
      <c r="N408" s="913">
        <v>4901.7</v>
      </c>
      <c r="O408" s="618">
        <v>0</v>
      </c>
      <c r="P408" s="644">
        <v>100</v>
      </c>
    </row>
    <row r="409" spans="1:16" ht="15.75" customHeight="1">
      <c r="A409" s="634" t="s">
        <v>2250</v>
      </c>
      <c r="B409" s="635">
        <v>45104</v>
      </c>
      <c r="C409" s="636" t="s">
        <v>1597</v>
      </c>
      <c r="D409" s="636" t="s">
        <v>1598</v>
      </c>
      <c r="E409" s="637">
        <v>6.2</v>
      </c>
      <c r="F409" s="634" t="s">
        <v>1599</v>
      </c>
      <c r="G409" s="634" t="s">
        <v>1600</v>
      </c>
      <c r="H409" s="634" t="s">
        <v>1828</v>
      </c>
      <c r="I409" s="639">
        <v>7448</v>
      </c>
      <c r="J409" s="638" t="s">
        <v>1599</v>
      </c>
      <c r="K409" s="637">
        <v>3870</v>
      </c>
      <c r="L409" s="645">
        <f t="shared" ref="L409:L419" si="14">M409-K409</f>
        <v>20702</v>
      </c>
      <c r="M409" s="902">
        <v>24572</v>
      </c>
      <c r="N409" s="914">
        <v>16560</v>
      </c>
      <c r="O409" s="636">
        <v>0</v>
      </c>
      <c r="P409" s="646">
        <v>100</v>
      </c>
    </row>
    <row r="410" spans="1:16" ht="15.75" customHeight="1">
      <c r="A410" s="628" t="s">
        <v>2251</v>
      </c>
      <c r="B410" s="629">
        <v>45104</v>
      </c>
      <c r="C410" s="618" t="s">
        <v>1597</v>
      </c>
      <c r="D410" s="618" t="s">
        <v>1598</v>
      </c>
      <c r="E410" s="630">
        <v>6.2</v>
      </c>
      <c r="F410" s="628" t="s">
        <v>1599</v>
      </c>
      <c r="G410" s="628" t="s">
        <v>1600</v>
      </c>
      <c r="H410" s="628" t="s">
        <v>1828</v>
      </c>
      <c r="I410" s="632">
        <v>7448</v>
      </c>
      <c r="J410" s="631" t="s">
        <v>1599</v>
      </c>
      <c r="K410" s="630">
        <v>3910</v>
      </c>
      <c r="L410" s="643">
        <f t="shared" si="14"/>
        <v>17952</v>
      </c>
      <c r="M410" s="901">
        <v>21862</v>
      </c>
      <c r="N410" s="913">
        <v>8572</v>
      </c>
      <c r="O410" s="618">
        <v>0</v>
      </c>
      <c r="P410" s="644">
        <v>100</v>
      </c>
    </row>
    <row r="411" spans="1:16" ht="15.75" customHeight="1">
      <c r="A411" s="634" t="s">
        <v>2252</v>
      </c>
      <c r="B411" s="635">
        <v>45104</v>
      </c>
      <c r="C411" s="636" t="s">
        <v>1597</v>
      </c>
      <c r="D411" s="636" t="s">
        <v>1598</v>
      </c>
      <c r="E411" s="637">
        <v>6.2</v>
      </c>
      <c r="F411" s="634" t="s">
        <v>1599</v>
      </c>
      <c r="G411" s="634" t="s">
        <v>1600</v>
      </c>
      <c r="H411" s="634" t="s">
        <v>1828</v>
      </c>
      <c r="I411" s="639">
        <v>7448</v>
      </c>
      <c r="J411" s="638" t="s">
        <v>1599</v>
      </c>
      <c r="K411" s="637">
        <v>3700</v>
      </c>
      <c r="L411" s="645">
        <f t="shared" si="14"/>
        <v>10057</v>
      </c>
      <c r="M411" s="902">
        <v>13757</v>
      </c>
      <c r="N411" s="914">
        <v>5400</v>
      </c>
      <c r="O411" s="636">
        <v>0</v>
      </c>
      <c r="P411" s="646">
        <v>100</v>
      </c>
    </row>
    <row r="412" spans="1:16" ht="15.75" customHeight="1">
      <c r="A412" s="628" t="s">
        <v>2253</v>
      </c>
      <c r="B412" s="629">
        <v>45104</v>
      </c>
      <c r="C412" s="618" t="s">
        <v>1597</v>
      </c>
      <c r="D412" s="618" t="s">
        <v>1598</v>
      </c>
      <c r="E412" s="630">
        <v>6.2</v>
      </c>
      <c r="F412" s="628" t="s">
        <v>1599</v>
      </c>
      <c r="G412" s="628" t="s">
        <v>1600</v>
      </c>
      <c r="H412" s="628" t="s">
        <v>1831</v>
      </c>
      <c r="I412" s="632">
        <v>7283</v>
      </c>
      <c r="J412" s="631" t="s">
        <v>1599</v>
      </c>
      <c r="K412" s="630">
        <v>3720</v>
      </c>
      <c r="L412" s="643">
        <f t="shared" si="14"/>
        <v>23917</v>
      </c>
      <c r="M412" s="901">
        <v>27637</v>
      </c>
      <c r="N412" s="913">
        <v>21103</v>
      </c>
      <c r="O412" s="618">
        <v>0</v>
      </c>
      <c r="P412" s="644">
        <v>100</v>
      </c>
    </row>
    <row r="413" spans="1:16" ht="15.75" customHeight="1">
      <c r="A413" s="634" t="s">
        <v>2254</v>
      </c>
      <c r="B413" s="635">
        <v>45104</v>
      </c>
      <c r="C413" s="636" t="s">
        <v>1597</v>
      </c>
      <c r="D413" s="636" t="s">
        <v>1598</v>
      </c>
      <c r="E413" s="637">
        <v>6.2</v>
      </c>
      <c r="F413" s="634" t="s">
        <v>1599</v>
      </c>
      <c r="G413" s="634" t="s">
        <v>1600</v>
      </c>
      <c r="H413" s="634" t="s">
        <v>1831</v>
      </c>
      <c r="I413" s="639">
        <v>7283</v>
      </c>
      <c r="J413" s="638" t="s">
        <v>1599</v>
      </c>
      <c r="K413" s="637">
        <v>3680</v>
      </c>
      <c r="L413" s="645">
        <f t="shared" si="14"/>
        <v>23952</v>
      </c>
      <c r="M413" s="902">
        <v>27632</v>
      </c>
      <c r="N413" s="914">
        <v>18541</v>
      </c>
      <c r="O413" s="636">
        <v>0</v>
      </c>
      <c r="P413" s="646">
        <v>100</v>
      </c>
    </row>
    <row r="414" spans="1:16" ht="15.75" customHeight="1">
      <c r="A414" s="628" t="s">
        <v>2255</v>
      </c>
      <c r="B414" s="629">
        <v>45104</v>
      </c>
      <c r="C414" s="618" t="s">
        <v>1597</v>
      </c>
      <c r="D414" s="618" t="s">
        <v>1598</v>
      </c>
      <c r="E414" s="630">
        <v>6.2</v>
      </c>
      <c r="F414" s="628" t="s">
        <v>1599</v>
      </c>
      <c r="G414" s="628" t="s">
        <v>1600</v>
      </c>
      <c r="H414" s="628" t="s">
        <v>1831</v>
      </c>
      <c r="I414" s="632">
        <v>7283</v>
      </c>
      <c r="J414" s="631" t="s">
        <v>1599</v>
      </c>
      <c r="K414" s="630">
        <v>3680</v>
      </c>
      <c r="L414" s="643">
        <f t="shared" si="14"/>
        <v>20777</v>
      </c>
      <c r="M414" s="901">
        <v>24457</v>
      </c>
      <c r="N414" s="913">
        <v>16411</v>
      </c>
      <c r="O414" s="618">
        <v>0</v>
      </c>
      <c r="P414" s="644">
        <v>100</v>
      </c>
    </row>
    <row r="415" spans="1:16" ht="15.75" customHeight="1">
      <c r="A415" s="634" t="s">
        <v>2256</v>
      </c>
      <c r="B415" s="635">
        <v>45103</v>
      </c>
      <c r="C415" s="636" t="s">
        <v>1597</v>
      </c>
      <c r="D415" s="636" t="s">
        <v>1598</v>
      </c>
      <c r="E415" s="637">
        <v>7.1</v>
      </c>
      <c r="F415" s="634" t="s">
        <v>1599</v>
      </c>
      <c r="G415" s="634" t="s">
        <v>1600</v>
      </c>
      <c r="H415" s="634" t="s">
        <v>1836</v>
      </c>
      <c r="I415" s="639">
        <v>14544</v>
      </c>
      <c r="J415" s="638" t="s">
        <v>1599</v>
      </c>
      <c r="K415" s="637">
        <v>3830</v>
      </c>
      <c r="L415" s="645">
        <f t="shared" si="14"/>
        <v>14839</v>
      </c>
      <c r="M415" s="902">
        <v>18669</v>
      </c>
      <c r="N415" s="914">
        <v>12511.2</v>
      </c>
      <c r="O415" s="636">
        <v>0</v>
      </c>
      <c r="P415" s="646">
        <v>100</v>
      </c>
    </row>
    <row r="416" spans="1:16" ht="15.75" customHeight="1">
      <c r="A416" s="628" t="s">
        <v>2257</v>
      </c>
      <c r="B416" s="629">
        <v>45103</v>
      </c>
      <c r="C416" s="618" t="s">
        <v>1597</v>
      </c>
      <c r="D416" s="618" t="s">
        <v>1598</v>
      </c>
      <c r="E416" s="630">
        <v>7.1</v>
      </c>
      <c r="F416" s="628" t="s">
        <v>1599</v>
      </c>
      <c r="G416" s="628" t="s">
        <v>1600</v>
      </c>
      <c r="H416" s="628" t="s">
        <v>1836</v>
      </c>
      <c r="I416" s="632">
        <v>14544</v>
      </c>
      <c r="J416" s="631" t="s">
        <v>1599</v>
      </c>
      <c r="K416" s="630">
        <v>3700</v>
      </c>
      <c r="L416" s="643">
        <f t="shared" si="14"/>
        <v>14839</v>
      </c>
      <c r="M416" s="901">
        <v>18539</v>
      </c>
      <c r="N416" s="913">
        <v>12511.2</v>
      </c>
      <c r="O416" s="618">
        <v>0</v>
      </c>
      <c r="P416" s="644">
        <v>100</v>
      </c>
    </row>
    <row r="417" spans="1:16" ht="15.75" customHeight="1">
      <c r="A417" s="634" t="s">
        <v>2258</v>
      </c>
      <c r="B417" s="635">
        <v>45106</v>
      </c>
      <c r="C417" s="636" t="s">
        <v>1597</v>
      </c>
      <c r="D417" s="636" t="s">
        <v>1598</v>
      </c>
      <c r="E417" s="637">
        <v>6</v>
      </c>
      <c r="F417" s="634" t="s">
        <v>1599</v>
      </c>
      <c r="G417" s="634" t="s">
        <v>1600</v>
      </c>
      <c r="H417" s="634" t="s">
        <v>1971</v>
      </c>
      <c r="I417" s="639">
        <v>4358</v>
      </c>
      <c r="J417" s="638" t="s">
        <v>1599</v>
      </c>
      <c r="K417" s="637">
        <v>3750</v>
      </c>
      <c r="L417" s="645">
        <f t="shared" si="14"/>
        <v>12033.86</v>
      </c>
      <c r="M417" s="902">
        <v>15783.86</v>
      </c>
      <c r="N417" s="914">
        <v>9977.44</v>
      </c>
      <c r="O417" s="636">
        <v>0</v>
      </c>
      <c r="P417" s="646">
        <v>100</v>
      </c>
    </row>
    <row r="418" spans="1:16" ht="15.75" customHeight="1">
      <c r="A418" s="628" t="s">
        <v>2259</v>
      </c>
      <c r="B418" s="629">
        <v>45105</v>
      </c>
      <c r="C418" s="618" t="s">
        <v>1597</v>
      </c>
      <c r="D418" s="618" t="s">
        <v>1598</v>
      </c>
      <c r="E418" s="630">
        <v>5.2</v>
      </c>
      <c r="F418" s="628" t="s">
        <v>1599</v>
      </c>
      <c r="G418" s="628" t="s">
        <v>1600</v>
      </c>
      <c r="H418" s="628" t="s">
        <v>1818</v>
      </c>
      <c r="I418" s="632">
        <v>14000</v>
      </c>
      <c r="J418" s="631" t="s">
        <v>1599</v>
      </c>
      <c r="K418" s="630">
        <v>3800</v>
      </c>
      <c r="L418" s="643">
        <f t="shared" si="14"/>
        <v>18419.189999999999</v>
      </c>
      <c r="M418" s="901">
        <v>22219.19</v>
      </c>
      <c r="N418" s="913">
        <v>16103.95</v>
      </c>
      <c r="O418" s="618">
        <v>0</v>
      </c>
      <c r="P418" s="644">
        <v>100</v>
      </c>
    </row>
    <row r="419" spans="1:16" ht="15.75" customHeight="1">
      <c r="A419" s="634" t="s">
        <v>2260</v>
      </c>
      <c r="B419" s="635">
        <v>45105</v>
      </c>
      <c r="C419" s="636" t="s">
        <v>1597</v>
      </c>
      <c r="D419" s="636" t="s">
        <v>1598</v>
      </c>
      <c r="E419" s="637">
        <v>5.2</v>
      </c>
      <c r="F419" s="634" t="s">
        <v>1599</v>
      </c>
      <c r="G419" s="634" t="s">
        <v>1600</v>
      </c>
      <c r="H419" s="634" t="s">
        <v>1818</v>
      </c>
      <c r="I419" s="639">
        <v>14000</v>
      </c>
      <c r="J419" s="638" t="s">
        <v>1599</v>
      </c>
      <c r="K419" s="637">
        <v>3700</v>
      </c>
      <c r="L419" s="645">
        <f t="shared" si="14"/>
        <v>15822.919999999998</v>
      </c>
      <c r="M419" s="902">
        <v>19522.919999999998</v>
      </c>
      <c r="N419" s="914">
        <v>13740.3</v>
      </c>
      <c r="O419" s="636">
        <v>0</v>
      </c>
      <c r="P419" s="646">
        <v>100</v>
      </c>
    </row>
    <row r="420" spans="1:16" ht="15.75" customHeight="1">
      <c r="A420" s="628" t="s">
        <v>2261</v>
      </c>
      <c r="B420" s="629">
        <v>45474</v>
      </c>
      <c r="C420" s="618" t="s">
        <v>1597</v>
      </c>
      <c r="D420" s="618" t="s">
        <v>1598</v>
      </c>
      <c r="E420" s="630">
        <v>7.1</v>
      </c>
      <c r="F420" s="628" t="s">
        <v>1599</v>
      </c>
      <c r="G420" s="628" t="s">
        <v>1600</v>
      </c>
      <c r="H420" s="628" t="s">
        <v>1912</v>
      </c>
      <c r="I420" s="632">
        <v>4929</v>
      </c>
      <c r="J420" s="631" t="s">
        <v>1599</v>
      </c>
      <c r="K420" s="633">
        <v>3640</v>
      </c>
      <c r="L420" s="643">
        <v>16270.419999999998</v>
      </c>
      <c r="M420" s="901">
        <v>19910.419999999998</v>
      </c>
      <c r="N420" s="913">
        <v>14643.43</v>
      </c>
      <c r="O420" s="618">
        <v>0</v>
      </c>
      <c r="P420" s="644">
        <v>100</v>
      </c>
    </row>
    <row r="421" spans="1:16" ht="15.75" customHeight="1">
      <c r="A421" s="634" t="s">
        <v>2262</v>
      </c>
      <c r="B421" s="635">
        <v>45474</v>
      </c>
      <c r="C421" s="636" t="s">
        <v>1597</v>
      </c>
      <c r="D421" s="636" t="s">
        <v>1598</v>
      </c>
      <c r="E421" s="637">
        <v>7.1</v>
      </c>
      <c r="F421" s="634" t="s">
        <v>1599</v>
      </c>
      <c r="G421" s="634" t="s">
        <v>1600</v>
      </c>
      <c r="H421" s="634" t="s">
        <v>1912</v>
      </c>
      <c r="I421" s="639">
        <v>4929</v>
      </c>
      <c r="J421" s="638" t="s">
        <v>1599</v>
      </c>
      <c r="K421" s="640">
        <v>3740</v>
      </c>
      <c r="L421" s="645">
        <v>13151.36</v>
      </c>
      <c r="M421" s="902">
        <v>16891.36</v>
      </c>
      <c r="N421" s="914">
        <v>10758.84</v>
      </c>
      <c r="O421" s="636">
        <v>0</v>
      </c>
      <c r="P421" s="646">
        <v>100</v>
      </c>
    </row>
    <row r="422" spans="1:16" ht="15.75" customHeight="1">
      <c r="A422" s="628" t="s">
        <v>2263</v>
      </c>
      <c r="B422" s="629">
        <v>45104</v>
      </c>
      <c r="C422" s="618" t="s">
        <v>1597</v>
      </c>
      <c r="D422" s="618" t="s">
        <v>1598</v>
      </c>
      <c r="E422" s="630">
        <v>7.1</v>
      </c>
      <c r="F422" s="628" t="s">
        <v>1599</v>
      </c>
      <c r="G422" s="628" t="s">
        <v>1600</v>
      </c>
      <c r="H422" s="628" t="s">
        <v>1893</v>
      </c>
      <c r="I422" s="632">
        <v>2167</v>
      </c>
      <c r="J422" s="631" t="s">
        <v>1599</v>
      </c>
      <c r="K422" s="630">
        <v>2180</v>
      </c>
      <c r="L422" s="643">
        <f t="shared" ref="L422:L438" si="15">M422-K422</f>
        <v>4483.8999999999996</v>
      </c>
      <c r="M422" s="901">
        <v>6663.9</v>
      </c>
      <c r="N422" s="913">
        <v>3363.45</v>
      </c>
      <c r="O422" s="618">
        <v>0</v>
      </c>
      <c r="P422" s="644">
        <v>100</v>
      </c>
    </row>
    <row r="423" spans="1:16" ht="15.75" customHeight="1">
      <c r="A423" s="634" t="s">
        <v>2264</v>
      </c>
      <c r="B423" s="635">
        <v>45104</v>
      </c>
      <c r="C423" s="636" t="s">
        <v>1597</v>
      </c>
      <c r="D423" s="636" t="s">
        <v>1598</v>
      </c>
      <c r="E423" s="637">
        <v>7.1</v>
      </c>
      <c r="F423" s="634" t="s">
        <v>1599</v>
      </c>
      <c r="G423" s="634" t="s">
        <v>1600</v>
      </c>
      <c r="H423" s="634" t="s">
        <v>1893</v>
      </c>
      <c r="I423" s="639">
        <v>2167</v>
      </c>
      <c r="J423" s="638" t="s">
        <v>1599</v>
      </c>
      <c r="K423" s="637">
        <v>2210</v>
      </c>
      <c r="L423" s="645">
        <f t="shared" si="15"/>
        <v>4483.8999999999996</v>
      </c>
      <c r="M423" s="902">
        <v>6693.9</v>
      </c>
      <c r="N423" s="914">
        <v>3363.45</v>
      </c>
      <c r="O423" s="636">
        <v>0</v>
      </c>
      <c r="P423" s="646">
        <v>100</v>
      </c>
    </row>
    <row r="424" spans="1:16" ht="15.75" customHeight="1">
      <c r="A424" s="628" t="s">
        <v>2265</v>
      </c>
      <c r="B424" s="629">
        <v>45106</v>
      </c>
      <c r="C424" s="618" t="s">
        <v>1597</v>
      </c>
      <c r="D424" s="618" t="s">
        <v>1598</v>
      </c>
      <c r="E424" s="630">
        <v>7.1</v>
      </c>
      <c r="F424" s="628" t="s">
        <v>1599</v>
      </c>
      <c r="G424" s="628" t="s">
        <v>1600</v>
      </c>
      <c r="H424" s="628" t="s">
        <v>1836</v>
      </c>
      <c r="I424" s="632">
        <v>14544</v>
      </c>
      <c r="J424" s="631" t="s">
        <v>1599</v>
      </c>
      <c r="K424" s="630">
        <v>3700</v>
      </c>
      <c r="L424" s="643">
        <f t="shared" si="15"/>
        <v>17889.099999999999</v>
      </c>
      <c r="M424" s="901">
        <v>21589.1</v>
      </c>
      <c r="N424" s="913">
        <v>14665.2</v>
      </c>
      <c r="O424" s="618">
        <v>0</v>
      </c>
      <c r="P424" s="644">
        <v>100</v>
      </c>
    </row>
    <row r="425" spans="1:16" ht="15.75" customHeight="1">
      <c r="A425" s="628" t="s">
        <v>2266</v>
      </c>
      <c r="B425" s="629">
        <v>45112</v>
      </c>
      <c r="C425" s="618" t="s">
        <v>1597</v>
      </c>
      <c r="D425" s="618" t="s">
        <v>1598</v>
      </c>
      <c r="E425" s="630">
        <v>4.5</v>
      </c>
      <c r="F425" s="628" t="s">
        <v>1599</v>
      </c>
      <c r="G425" s="628" t="s">
        <v>1600</v>
      </c>
      <c r="H425" s="628" t="s">
        <v>1828</v>
      </c>
      <c r="I425" s="632">
        <v>7448</v>
      </c>
      <c r="J425" s="631" t="s">
        <v>1599</v>
      </c>
      <c r="K425" s="633">
        <v>3840</v>
      </c>
      <c r="L425" s="643">
        <f t="shared" si="15"/>
        <v>22682</v>
      </c>
      <c r="M425" s="901">
        <v>26522</v>
      </c>
      <c r="N425" s="912">
        <v>18612</v>
      </c>
      <c r="O425" s="618">
        <v>0</v>
      </c>
      <c r="P425" s="644">
        <v>100</v>
      </c>
    </row>
    <row r="426" spans="1:16" ht="15.75" customHeight="1">
      <c r="A426" s="634" t="s">
        <v>2267</v>
      </c>
      <c r="B426" s="635">
        <v>45112</v>
      </c>
      <c r="C426" s="636" t="s">
        <v>1597</v>
      </c>
      <c r="D426" s="636" t="s">
        <v>1598</v>
      </c>
      <c r="E426" s="637">
        <v>4.5</v>
      </c>
      <c r="F426" s="634" t="s">
        <v>1599</v>
      </c>
      <c r="G426" s="634" t="s">
        <v>1600</v>
      </c>
      <c r="H426" s="634" t="s">
        <v>1828</v>
      </c>
      <c r="I426" s="639">
        <v>7448</v>
      </c>
      <c r="J426" s="638" t="s">
        <v>1599</v>
      </c>
      <c r="K426" s="640">
        <v>3640</v>
      </c>
      <c r="L426" s="645">
        <f t="shared" si="15"/>
        <v>23802</v>
      </c>
      <c r="M426" s="902">
        <v>27442</v>
      </c>
      <c r="N426" s="911">
        <v>20734</v>
      </c>
      <c r="O426" s="636">
        <v>0</v>
      </c>
      <c r="P426" s="646">
        <v>100</v>
      </c>
    </row>
    <row r="427" spans="1:16" ht="15.75" customHeight="1">
      <c r="A427" s="628" t="s">
        <v>2268</v>
      </c>
      <c r="B427" s="629">
        <v>45108</v>
      </c>
      <c r="C427" s="618" t="s">
        <v>1597</v>
      </c>
      <c r="D427" s="618" t="s">
        <v>1598</v>
      </c>
      <c r="E427" s="630">
        <v>2.8</v>
      </c>
      <c r="F427" s="628" t="s">
        <v>1599</v>
      </c>
      <c r="G427" s="628" t="s">
        <v>1600</v>
      </c>
      <c r="H427" s="628" t="s">
        <v>1836</v>
      </c>
      <c r="I427" s="628">
        <v>14544</v>
      </c>
      <c r="J427" s="631" t="s">
        <v>1599</v>
      </c>
      <c r="K427" s="633">
        <v>3820</v>
      </c>
      <c r="L427" s="643">
        <f t="shared" si="15"/>
        <v>14839</v>
      </c>
      <c r="M427" s="901">
        <v>18659</v>
      </c>
      <c r="N427" s="912">
        <v>12511.2</v>
      </c>
      <c r="O427" s="618">
        <v>0</v>
      </c>
      <c r="P427" s="644">
        <v>100</v>
      </c>
    </row>
    <row r="428" spans="1:16" ht="15.75" customHeight="1">
      <c r="A428" s="634" t="s">
        <v>2269</v>
      </c>
      <c r="B428" s="635">
        <v>45108</v>
      </c>
      <c r="C428" s="636" t="s">
        <v>1597</v>
      </c>
      <c r="D428" s="636" t="s">
        <v>1598</v>
      </c>
      <c r="E428" s="637">
        <v>2.8</v>
      </c>
      <c r="F428" s="634" t="s">
        <v>1599</v>
      </c>
      <c r="G428" s="634" t="s">
        <v>1600</v>
      </c>
      <c r="H428" s="634" t="s">
        <v>1836</v>
      </c>
      <c r="I428" s="634">
        <v>14544</v>
      </c>
      <c r="J428" s="638" t="s">
        <v>1599</v>
      </c>
      <c r="K428" s="640">
        <v>3750</v>
      </c>
      <c r="L428" s="645">
        <f t="shared" si="15"/>
        <v>187867</v>
      </c>
      <c r="M428" s="902">
        <v>191617</v>
      </c>
      <c r="N428" s="911">
        <v>12090</v>
      </c>
      <c r="O428" s="636">
        <v>0</v>
      </c>
      <c r="P428" s="646">
        <v>100</v>
      </c>
    </row>
    <row r="429" spans="1:16" ht="15.75" customHeight="1">
      <c r="A429" s="628" t="s">
        <v>2270</v>
      </c>
      <c r="B429" s="629">
        <v>45112</v>
      </c>
      <c r="C429" s="618" t="s">
        <v>1597</v>
      </c>
      <c r="D429" s="618" t="s">
        <v>1598</v>
      </c>
      <c r="E429" s="630">
        <v>3.6</v>
      </c>
      <c r="F429" s="628" t="s">
        <v>1599</v>
      </c>
      <c r="G429" s="628" t="s">
        <v>1600</v>
      </c>
      <c r="H429" s="628" t="s">
        <v>1976</v>
      </c>
      <c r="I429" s="632">
        <v>4608</v>
      </c>
      <c r="J429" s="631" t="s">
        <v>1599</v>
      </c>
      <c r="K429" s="633">
        <v>2180</v>
      </c>
      <c r="L429" s="643">
        <f t="shared" si="15"/>
        <v>5500.1</v>
      </c>
      <c r="M429" s="901">
        <v>7680.1</v>
      </c>
      <c r="N429" s="912">
        <v>4312.4399999999996</v>
      </c>
      <c r="O429" s="618">
        <v>0</v>
      </c>
      <c r="P429" s="644">
        <v>100</v>
      </c>
    </row>
    <row r="430" spans="1:16" ht="15.75" customHeight="1">
      <c r="A430" s="634" t="s">
        <v>2271</v>
      </c>
      <c r="B430" s="635">
        <v>45108</v>
      </c>
      <c r="C430" s="636" t="s">
        <v>1597</v>
      </c>
      <c r="D430" s="636" t="s">
        <v>1598</v>
      </c>
      <c r="E430" s="637">
        <v>2.8</v>
      </c>
      <c r="F430" s="634" t="s">
        <v>1599</v>
      </c>
      <c r="G430" s="634" t="s">
        <v>1600</v>
      </c>
      <c r="H430" s="634" t="s">
        <v>1880</v>
      </c>
      <c r="I430" s="634">
        <v>13558</v>
      </c>
      <c r="J430" s="638" t="s">
        <v>1599</v>
      </c>
      <c r="K430" s="640">
        <v>3670</v>
      </c>
      <c r="L430" s="645">
        <f t="shared" si="15"/>
        <v>9586.5</v>
      </c>
      <c r="M430" s="902">
        <v>13256.5</v>
      </c>
      <c r="N430" s="911">
        <v>6403.5</v>
      </c>
      <c r="O430" s="636">
        <v>0</v>
      </c>
      <c r="P430" s="646">
        <v>100</v>
      </c>
    </row>
    <row r="431" spans="1:16" ht="15.75" customHeight="1">
      <c r="A431" s="628" t="s">
        <v>2272</v>
      </c>
      <c r="B431" s="629">
        <v>45110</v>
      </c>
      <c r="C431" s="618" t="s">
        <v>1597</v>
      </c>
      <c r="D431" s="618" t="s">
        <v>1598</v>
      </c>
      <c r="E431" s="630">
        <v>6.2</v>
      </c>
      <c r="F431" s="628" t="s">
        <v>1599</v>
      </c>
      <c r="G431" s="628" t="s">
        <v>1600</v>
      </c>
      <c r="H431" s="628" t="s">
        <v>1836</v>
      </c>
      <c r="I431" s="628">
        <v>14544</v>
      </c>
      <c r="J431" s="631" t="s">
        <v>1599</v>
      </c>
      <c r="K431" s="633">
        <v>3750</v>
      </c>
      <c r="L431" s="643">
        <f t="shared" si="15"/>
        <v>19071.599999999999</v>
      </c>
      <c r="M431" s="901">
        <v>22821.599999999999</v>
      </c>
      <c r="N431" s="912">
        <v>15602.4</v>
      </c>
      <c r="O431" s="618">
        <v>0</v>
      </c>
      <c r="P431" s="644">
        <v>100</v>
      </c>
    </row>
    <row r="432" spans="1:16" ht="15.75" customHeight="1">
      <c r="A432" s="634" t="s">
        <v>2273</v>
      </c>
      <c r="B432" s="635">
        <v>45112</v>
      </c>
      <c r="C432" s="636" t="s">
        <v>1597</v>
      </c>
      <c r="D432" s="636" t="s">
        <v>1598</v>
      </c>
      <c r="E432" s="637">
        <v>6.2</v>
      </c>
      <c r="F432" s="634" t="s">
        <v>1599</v>
      </c>
      <c r="G432" s="634" t="s">
        <v>1600</v>
      </c>
      <c r="H432" s="634" t="s">
        <v>1818</v>
      </c>
      <c r="I432" s="639">
        <v>14000</v>
      </c>
      <c r="J432" s="638" t="s">
        <v>1599</v>
      </c>
      <c r="K432" s="640">
        <v>3700</v>
      </c>
      <c r="L432" s="645">
        <f t="shared" si="15"/>
        <v>17339.98</v>
      </c>
      <c r="M432" s="902">
        <v>21039.98</v>
      </c>
      <c r="N432" s="911">
        <v>15098.76</v>
      </c>
      <c r="O432" s="636">
        <v>0</v>
      </c>
      <c r="P432" s="646">
        <v>100</v>
      </c>
    </row>
    <row r="433" spans="1:16" ht="15.75" customHeight="1">
      <c r="A433" s="628" t="s">
        <v>2274</v>
      </c>
      <c r="B433" s="629">
        <v>45110</v>
      </c>
      <c r="C433" s="618" t="s">
        <v>1597</v>
      </c>
      <c r="D433" s="618" t="s">
        <v>1598</v>
      </c>
      <c r="E433" s="630">
        <v>7.1</v>
      </c>
      <c r="F433" s="628" t="s">
        <v>1599</v>
      </c>
      <c r="G433" s="628" t="s">
        <v>1600</v>
      </c>
      <c r="H433" s="628" t="s">
        <v>1825</v>
      </c>
      <c r="I433" s="632">
        <v>15486</v>
      </c>
      <c r="J433" s="631" t="s">
        <v>1599</v>
      </c>
      <c r="K433" s="633">
        <v>3800</v>
      </c>
      <c r="L433" s="643">
        <f t="shared" si="15"/>
        <v>10716.3</v>
      </c>
      <c r="M433" s="901">
        <v>14516.3</v>
      </c>
      <c r="N433" s="912">
        <v>8229.4</v>
      </c>
      <c r="O433" s="618">
        <v>0</v>
      </c>
      <c r="P433" s="644">
        <v>100</v>
      </c>
    </row>
    <row r="434" spans="1:16" ht="15.75" customHeight="1">
      <c r="A434" s="634" t="s">
        <v>2275</v>
      </c>
      <c r="B434" s="635">
        <v>45113</v>
      </c>
      <c r="C434" s="636" t="s">
        <v>1597</v>
      </c>
      <c r="D434" s="636" t="s">
        <v>1598</v>
      </c>
      <c r="E434" s="637">
        <v>6.2</v>
      </c>
      <c r="F434" s="634" t="s">
        <v>1599</v>
      </c>
      <c r="G434" s="634" t="s">
        <v>1600</v>
      </c>
      <c r="H434" s="634" t="s">
        <v>1815</v>
      </c>
      <c r="I434" s="639">
        <v>17387</v>
      </c>
      <c r="J434" s="638" t="s">
        <v>1599</v>
      </c>
      <c r="K434" s="640">
        <v>3860</v>
      </c>
      <c r="L434" s="645">
        <f t="shared" si="15"/>
        <v>18903.73</v>
      </c>
      <c r="M434" s="902">
        <v>22763.73</v>
      </c>
      <c r="N434" s="911">
        <v>16582.22</v>
      </c>
      <c r="O434" s="636">
        <v>0</v>
      </c>
      <c r="P434" s="646">
        <v>100</v>
      </c>
    </row>
    <row r="435" spans="1:16" ht="15.75" customHeight="1">
      <c r="A435" s="628" t="s">
        <v>2276</v>
      </c>
      <c r="B435" s="629">
        <v>45112</v>
      </c>
      <c r="C435" s="618" t="s">
        <v>1597</v>
      </c>
      <c r="D435" s="618" t="s">
        <v>1598</v>
      </c>
      <c r="E435" s="630">
        <v>6.2</v>
      </c>
      <c r="F435" s="628" t="s">
        <v>1599</v>
      </c>
      <c r="G435" s="628" t="s">
        <v>1600</v>
      </c>
      <c r="H435" s="628" t="s">
        <v>1880</v>
      </c>
      <c r="I435" s="628">
        <v>13558</v>
      </c>
      <c r="J435" s="631" t="s">
        <v>1599</v>
      </c>
      <c r="K435" s="633">
        <v>3890</v>
      </c>
      <c r="L435" s="643">
        <f t="shared" si="15"/>
        <v>13603</v>
      </c>
      <c r="M435" s="901">
        <v>17493</v>
      </c>
      <c r="N435" s="912">
        <v>10854.5</v>
      </c>
      <c r="O435" s="618">
        <v>0</v>
      </c>
      <c r="P435" s="644">
        <v>100</v>
      </c>
    </row>
    <row r="436" spans="1:16" ht="15.75" customHeight="1">
      <c r="A436" s="634" t="s">
        <v>2277</v>
      </c>
      <c r="B436" s="635">
        <v>45113</v>
      </c>
      <c r="C436" s="636" t="s">
        <v>1597</v>
      </c>
      <c r="D436" s="636" t="s">
        <v>1598</v>
      </c>
      <c r="E436" s="637">
        <v>6.2</v>
      </c>
      <c r="F436" s="634" t="s">
        <v>1599</v>
      </c>
      <c r="G436" s="634" t="s">
        <v>1600</v>
      </c>
      <c r="H436" s="634" t="s">
        <v>1880</v>
      </c>
      <c r="I436" s="634">
        <v>13558</v>
      </c>
      <c r="J436" s="638" t="s">
        <v>1599</v>
      </c>
      <c r="K436" s="640">
        <v>3900</v>
      </c>
      <c r="L436" s="645">
        <f t="shared" si="15"/>
        <v>9602</v>
      </c>
      <c r="M436" s="902">
        <v>13502</v>
      </c>
      <c r="N436" s="911">
        <v>5376</v>
      </c>
      <c r="O436" s="636">
        <v>0</v>
      </c>
      <c r="P436" s="646">
        <v>100</v>
      </c>
    </row>
    <row r="437" spans="1:16" ht="15.75" customHeight="1">
      <c r="A437" s="628" t="s">
        <v>2278</v>
      </c>
      <c r="B437" s="629">
        <v>45112</v>
      </c>
      <c r="C437" s="618" t="s">
        <v>1597</v>
      </c>
      <c r="D437" s="618" t="s">
        <v>1598</v>
      </c>
      <c r="E437" s="630">
        <v>6.2</v>
      </c>
      <c r="F437" s="628" t="s">
        <v>1599</v>
      </c>
      <c r="G437" s="628" t="s">
        <v>1600</v>
      </c>
      <c r="H437" s="628" t="s">
        <v>1836</v>
      </c>
      <c r="I437" s="628">
        <v>14544</v>
      </c>
      <c r="J437" s="631" t="s">
        <v>1599</v>
      </c>
      <c r="K437" s="633">
        <v>3700</v>
      </c>
      <c r="L437" s="643">
        <f t="shared" si="15"/>
        <v>10704</v>
      </c>
      <c r="M437" s="901">
        <v>14404</v>
      </c>
      <c r="N437" s="912">
        <v>7525.6</v>
      </c>
      <c r="O437" s="618">
        <v>0</v>
      </c>
      <c r="P437" s="644">
        <v>100</v>
      </c>
    </row>
    <row r="438" spans="1:16" ht="15.75" customHeight="1">
      <c r="A438" s="634" t="s">
        <v>2279</v>
      </c>
      <c r="B438" s="635">
        <v>45113</v>
      </c>
      <c r="C438" s="636" t="s">
        <v>1597</v>
      </c>
      <c r="D438" s="636" t="s">
        <v>1598</v>
      </c>
      <c r="E438" s="637">
        <v>6.2</v>
      </c>
      <c r="F438" s="634" t="s">
        <v>1599</v>
      </c>
      <c r="G438" s="634" t="s">
        <v>1600</v>
      </c>
      <c r="H438" s="634" t="s">
        <v>1850</v>
      </c>
      <c r="I438" s="639">
        <v>9687</v>
      </c>
      <c r="J438" s="638" t="s">
        <v>1599</v>
      </c>
      <c r="K438" s="640">
        <v>3570</v>
      </c>
      <c r="L438" s="645">
        <f t="shared" si="15"/>
        <v>19512.3</v>
      </c>
      <c r="M438" s="902">
        <v>23082.3</v>
      </c>
      <c r="N438" s="911">
        <v>18161.7</v>
      </c>
      <c r="O438" s="636">
        <v>0</v>
      </c>
      <c r="P438" s="646">
        <v>100</v>
      </c>
    </row>
    <row r="439" spans="1:16" ht="15.75" customHeight="1">
      <c r="A439" s="628" t="s">
        <v>2280</v>
      </c>
      <c r="B439" s="629">
        <v>45121</v>
      </c>
      <c r="C439" s="610" t="s">
        <v>1597</v>
      </c>
      <c r="D439" s="610" t="s">
        <v>1598</v>
      </c>
      <c r="E439" s="612">
        <v>6</v>
      </c>
      <c r="F439" s="610" t="s">
        <v>1599</v>
      </c>
      <c r="G439" s="610" t="s">
        <v>1600</v>
      </c>
      <c r="H439" s="628" t="s">
        <v>1798</v>
      </c>
      <c r="I439" s="632">
        <v>1931</v>
      </c>
      <c r="J439" s="615" t="s">
        <v>1599</v>
      </c>
      <c r="K439" s="616">
        <v>2343</v>
      </c>
      <c r="L439" s="648">
        <v>1183.8</v>
      </c>
      <c r="M439" s="899">
        <v>3526.8</v>
      </c>
      <c r="N439" s="912">
        <v>2343</v>
      </c>
      <c r="O439" s="618">
        <v>0</v>
      </c>
      <c r="P439" s="644">
        <v>100</v>
      </c>
    </row>
    <row r="440" spans="1:16" ht="15.75" customHeight="1">
      <c r="A440" s="634" t="s">
        <v>2281</v>
      </c>
      <c r="B440" s="635">
        <v>45117</v>
      </c>
      <c r="C440" s="636" t="s">
        <v>1597</v>
      </c>
      <c r="D440" s="636" t="s">
        <v>1598</v>
      </c>
      <c r="E440" s="637">
        <v>4.0999999999999996</v>
      </c>
      <c r="F440" s="634" t="s">
        <v>1599</v>
      </c>
      <c r="G440" s="634" t="s">
        <v>1600</v>
      </c>
      <c r="H440" s="634" t="s">
        <v>1850</v>
      </c>
      <c r="I440" s="639">
        <v>9687</v>
      </c>
      <c r="J440" s="638" t="s">
        <v>1599</v>
      </c>
      <c r="K440" s="640">
        <v>2210</v>
      </c>
      <c r="L440" s="645">
        <f t="shared" ref="L440:L503" si="16">M440-K440</f>
        <v>5777</v>
      </c>
      <c r="M440" s="902">
        <v>7987</v>
      </c>
      <c r="N440" s="911">
        <v>4550</v>
      </c>
      <c r="O440" s="636">
        <v>0</v>
      </c>
      <c r="P440" s="646">
        <v>100</v>
      </c>
    </row>
    <row r="441" spans="1:16" ht="15.75" customHeight="1">
      <c r="A441" s="628" t="s">
        <v>2282</v>
      </c>
      <c r="B441" s="629">
        <v>45113</v>
      </c>
      <c r="C441" s="618" t="s">
        <v>1597</v>
      </c>
      <c r="D441" s="618" t="s">
        <v>1598</v>
      </c>
      <c r="E441" s="630">
        <v>6.2</v>
      </c>
      <c r="F441" s="628" t="s">
        <v>1599</v>
      </c>
      <c r="G441" s="628" t="s">
        <v>1600</v>
      </c>
      <c r="H441" s="628" t="s">
        <v>1884</v>
      </c>
      <c r="I441" s="632">
        <v>13413</v>
      </c>
      <c r="J441" s="631" t="s">
        <v>1599</v>
      </c>
      <c r="K441" s="633">
        <v>3700</v>
      </c>
      <c r="L441" s="643">
        <f t="shared" si="16"/>
        <v>15261</v>
      </c>
      <c r="M441" s="901">
        <v>18961</v>
      </c>
      <c r="N441" s="912">
        <v>11366</v>
      </c>
      <c r="O441" s="618">
        <v>0</v>
      </c>
      <c r="P441" s="644">
        <v>100</v>
      </c>
    </row>
    <row r="442" spans="1:16" ht="15.75" customHeight="1">
      <c r="A442" s="634" t="s">
        <v>2283</v>
      </c>
      <c r="B442" s="635">
        <v>45121</v>
      </c>
      <c r="C442" s="636" t="s">
        <v>1597</v>
      </c>
      <c r="D442" s="636" t="s">
        <v>1598</v>
      </c>
      <c r="E442" s="637">
        <v>4.5</v>
      </c>
      <c r="F442" s="634" t="s">
        <v>1599</v>
      </c>
      <c r="G442" s="634" t="s">
        <v>1600</v>
      </c>
      <c r="H442" s="634" t="s">
        <v>1828</v>
      </c>
      <c r="I442" s="639">
        <v>7448</v>
      </c>
      <c r="J442" s="638" t="s">
        <v>1599</v>
      </c>
      <c r="K442" s="640">
        <v>3840</v>
      </c>
      <c r="L442" s="645">
        <f t="shared" si="16"/>
        <v>17802</v>
      </c>
      <c r="M442" s="902">
        <v>21642</v>
      </c>
      <c r="N442" s="911">
        <v>11393.25</v>
      </c>
      <c r="O442" s="636">
        <v>0</v>
      </c>
      <c r="P442" s="646">
        <v>100</v>
      </c>
    </row>
    <row r="443" spans="1:16" ht="15.75" customHeight="1">
      <c r="A443" s="628" t="s">
        <v>2284</v>
      </c>
      <c r="B443" s="629">
        <v>45121</v>
      </c>
      <c r="C443" s="618" t="s">
        <v>1597</v>
      </c>
      <c r="D443" s="618" t="s">
        <v>1598</v>
      </c>
      <c r="E443" s="630">
        <v>4.5</v>
      </c>
      <c r="F443" s="628" t="s">
        <v>1599</v>
      </c>
      <c r="G443" s="628" t="s">
        <v>1600</v>
      </c>
      <c r="H443" s="628" t="s">
        <v>1828</v>
      </c>
      <c r="I443" s="632">
        <v>7448</v>
      </c>
      <c r="J443" s="631" t="s">
        <v>1599</v>
      </c>
      <c r="K443" s="633">
        <v>3620</v>
      </c>
      <c r="L443" s="643">
        <f t="shared" si="16"/>
        <v>20702</v>
      </c>
      <c r="M443" s="901">
        <v>24322</v>
      </c>
      <c r="N443" s="912">
        <v>16560</v>
      </c>
      <c r="O443" s="618">
        <v>0</v>
      </c>
      <c r="P443" s="644">
        <v>100</v>
      </c>
    </row>
    <row r="444" spans="1:16" ht="15.75" customHeight="1">
      <c r="A444" s="634" t="s">
        <v>2285</v>
      </c>
      <c r="B444" s="635">
        <v>45121</v>
      </c>
      <c r="C444" s="636" t="s">
        <v>1597</v>
      </c>
      <c r="D444" s="636" t="s">
        <v>1598</v>
      </c>
      <c r="E444" s="637">
        <v>4.5</v>
      </c>
      <c r="F444" s="634" t="s">
        <v>1599</v>
      </c>
      <c r="G444" s="634" t="s">
        <v>1600</v>
      </c>
      <c r="H444" s="634" t="s">
        <v>1828</v>
      </c>
      <c r="I444" s="639">
        <v>7448</v>
      </c>
      <c r="J444" s="638" t="s">
        <v>1599</v>
      </c>
      <c r="K444" s="640">
        <v>3840</v>
      </c>
      <c r="L444" s="645">
        <f t="shared" si="16"/>
        <v>23952</v>
      </c>
      <c r="M444" s="902">
        <v>27792</v>
      </c>
      <c r="N444" s="911">
        <v>20048</v>
      </c>
      <c r="O444" s="636">
        <v>0</v>
      </c>
      <c r="P444" s="646">
        <v>100</v>
      </c>
    </row>
    <row r="445" spans="1:16" ht="15.75" customHeight="1">
      <c r="A445" s="628" t="s">
        <v>2286</v>
      </c>
      <c r="B445" s="629">
        <v>45121</v>
      </c>
      <c r="C445" s="618" t="s">
        <v>1597</v>
      </c>
      <c r="D445" s="618" t="s">
        <v>1598</v>
      </c>
      <c r="E445" s="630">
        <v>4.5</v>
      </c>
      <c r="F445" s="628" t="s">
        <v>1599</v>
      </c>
      <c r="G445" s="628" t="s">
        <v>1600</v>
      </c>
      <c r="H445" s="628" t="s">
        <v>1828</v>
      </c>
      <c r="I445" s="632">
        <v>7448</v>
      </c>
      <c r="J445" s="631" t="s">
        <v>1599</v>
      </c>
      <c r="K445" s="633">
        <v>3640</v>
      </c>
      <c r="L445" s="643">
        <f t="shared" si="16"/>
        <v>23952</v>
      </c>
      <c r="M445" s="901">
        <v>27592</v>
      </c>
      <c r="N445" s="912">
        <v>21261</v>
      </c>
      <c r="O445" s="618">
        <v>0</v>
      </c>
      <c r="P445" s="644">
        <v>100</v>
      </c>
    </row>
    <row r="446" spans="1:16" ht="15.75" customHeight="1">
      <c r="A446" s="634" t="s">
        <v>2287</v>
      </c>
      <c r="B446" s="635">
        <v>45121</v>
      </c>
      <c r="C446" s="636" t="s">
        <v>1597</v>
      </c>
      <c r="D446" s="636" t="s">
        <v>1598</v>
      </c>
      <c r="E446" s="637">
        <v>6.5</v>
      </c>
      <c r="F446" s="634" t="s">
        <v>1599</v>
      </c>
      <c r="G446" s="634" t="s">
        <v>1600</v>
      </c>
      <c r="H446" s="634" t="s">
        <v>1850</v>
      </c>
      <c r="I446" s="639">
        <v>9687</v>
      </c>
      <c r="J446" s="638" t="s">
        <v>1599</v>
      </c>
      <c r="K446" s="640">
        <v>2180</v>
      </c>
      <c r="L446" s="645">
        <f t="shared" si="16"/>
        <v>4152</v>
      </c>
      <c r="M446" s="902">
        <v>6332</v>
      </c>
      <c r="N446" s="911">
        <v>3280</v>
      </c>
      <c r="O446" s="636">
        <v>0</v>
      </c>
      <c r="P446" s="646">
        <v>100</v>
      </c>
    </row>
    <row r="447" spans="1:16" ht="15.75" customHeight="1">
      <c r="A447" s="628" t="s">
        <v>2288</v>
      </c>
      <c r="B447" s="629">
        <v>45117</v>
      </c>
      <c r="C447" s="618" t="s">
        <v>1597</v>
      </c>
      <c r="D447" s="618" t="s">
        <v>1598</v>
      </c>
      <c r="E447" s="630">
        <v>7.1</v>
      </c>
      <c r="F447" s="628" t="s">
        <v>1599</v>
      </c>
      <c r="G447" s="628" t="s">
        <v>1600</v>
      </c>
      <c r="H447" s="628" t="s">
        <v>1836</v>
      </c>
      <c r="I447" s="628">
        <v>14544</v>
      </c>
      <c r="J447" s="631" t="s">
        <v>1599</v>
      </c>
      <c r="K447" s="633">
        <v>3880</v>
      </c>
      <c r="L447" s="643">
        <f t="shared" si="16"/>
        <v>19071.599999999999</v>
      </c>
      <c r="M447" s="901">
        <v>22951.599999999999</v>
      </c>
      <c r="N447" s="912">
        <v>15602.4</v>
      </c>
      <c r="O447" s="618">
        <v>0</v>
      </c>
      <c r="P447" s="644">
        <v>100</v>
      </c>
    </row>
    <row r="448" spans="1:16" ht="15.75" customHeight="1">
      <c r="A448" s="634" t="s">
        <v>2289</v>
      </c>
      <c r="B448" s="635">
        <v>45115</v>
      </c>
      <c r="C448" s="636" t="s">
        <v>1597</v>
      </c>
      <c r="D448" s="636" t="s">
        <v>1598</v>
      </c>
      <c r="E448" s="637">
        <v>6.5</v>
      </c>
      <c r="F448" s="634" t="s">
        <v>1599</v>
      </c>
      <c r="G448" s="634" t="s">
        <v>1600</v>
      </c>
      <c r="H448" s="634" t="s">
        <v>1884</v>
      </c>
      <c r="I448" s="639">
        <v>13413</v>
      </c>
      <c r="J448" s="638" t="s">
        <v>1599</v>
      </c>
      <c r="K448" s="640">
        <v>3830</v>
      </c>
      <c r="L448" s="645">
        <f t="shared" si="16"/>
        <v>14839</v>
      </c>
      <c r="M448" s="902">
        <v>18669</v>
      </c>
      <c r="N448" s="911">
        <v>12511.2</v>
      </c>
      <c r="O448" s="636">
        <v>0</v>
      </c>
      <c r="P448" s="646">
        <v>100</v>
      </c>
    </row>
    <row r="449" spans="1:16" ht="15.75" customHeight="1">
      <c r="A449" s="628" t="s">
        <v>2290</v>
      </c>
      <c r="B449" s="629">
        <v>45115</v>
      </c>
      <c r="C449" s="618" t="s">
        <v>1597</v>
      </c>
      <c r="D449" s="618" t="s">
        <v>1598</v>
      </c>
      <c r="E449" s="630">
        <v>6</v>
      </c>
      <c r="F449" s="628" t="s">
        <v>1599</v>
      </c>
      <c r="G449" s="628" t="s">
        <v>1600</v>
      </c>
      <c r="H449" s="628" t="s">
        <v>1822</v>
      </c>
      <c r="I449" s="632">
        <v>13787</v>
      </c>
      <c r="J449" s="631" t="s">
        <v>1599</v>
      </c>
      <c r="K449" s="633">
        <v>3670</v>
      </c>
      <c r="L449" s="643">
        <f t="shared" si="16"/>
        <v>13274</v>
      </c>
      <c r="M449" s="901">
        <v>16944</v>
      </c>
      <c r="N449" s="912">
        <v>9196</v>
      </c>
      <c r="O449" s="618">
        <v>0</v>
      </c>
      <c r="P449" s="644">
        <v>100</v>
      </c>
    </row>
    <row r="450" spans="1:16" ht="15.75" customHeight="1">
      <c r="A450" s="634" t="s">
        <v>2291</v>
      </c>
      <c r="B450" s="635">
        <v>45117</v>
      </c>
      <c r="C450" s="636" t="s">
        <v>1597</v>
      </c>
      <c r="D450" s="636" t="s">
        <v>1598</v>
      </c>
      <c r="E450" s="637">
        <v>11.7</v>
      </c>
      <c r="F450" s="634" t="s">
        <v>1599</v>
      </c>
      <c r="G450" s="634" t="s">
        <v>1600</v>
      </c>
      <c r="H450" s="634" t="s">
        <v>1973</v>
      </c>
      <c r="I450" s="639">
        <v>4482</v>
      </c>
      <c r="J450" s="638" t="s">
        <v>1599</v>
      </c>
      <c r="K450" s="640">
        <v>3700</v>
      </c>
      <c r="L450" s="645">
        <f t="shared" si="16"/>
        <v>11846.8</v>
      </c>
      <c r="M450" s="902">
        <v>15546.8</v>
      </c>
      <c r="N450" s="911">
        <v>9826.34</v>
      </c>
      <c r="O450" s="636">
        <v>0</v>
      </c>
      <c r="P450" s="646">
        <v>100</v>
      </c>
    </row>
    <row r="451" spans="1:16" ht="15.75" customHeight="1">
      <c r="A451" s="628" t="s">
        <v>2292</v>
      </c>
      <c r="B451" s="629">
        <v>45118</v>
      </c>
      <c r="C451" s="618" t="s">
        <v>1597</v>
      </c>
      <c r="D451" s="618" t="s">
        <v>1598</v>
      </c>
      <c r="E451" s="630">
        <v>6.2</v>
      </c>
      <c r="F451" s="628" t="s">
        <v>1599</v>
      </c>
      <c r="G451" s="628" t="s">
        <v>1600</v>
      </c>
      <c r="H451" s="628" t="s">
        <v>1932</v>
      </c>
      <c r="I451" s="632">
        <v>4823</v>
      </c>
      <c r="J451" s="631" t="s">
        <v>1599</v>
      </c>
      <c r="K451" s="633">
        <v>3760</v>
      </c>
      <c r="L451" s="643">
        <f t="shared" si="16"/>
        <v>13721.68</v>
      </c>
      <c r="M451" s="901">
        <v>17481.68</v>
      </c>
      <c r="N451" s="912">
        <v>11706.8</v>
      </c>
      <c r="O451" s="618">
        <v>0</v>
      </c>
      <c r="P451" s="644">
        <v>100</v>
      </c>
    </row>
    <row r="452" spans="1:16" ht="15.75" customHeight="1">
      <c r="A452" s="634" t="s">
        <v>2293</v>
      </c>
      <c r="B452" s="635">
        <v>45119</v>
      </c>
      <c r="C452" s="636" t="s">
        <v>1597</v>
      </c>
      <c r="D452" s="636" t="s">
        <v>1598</v>
      </c>
      <c r="E452" s="637">
        <v>7.1</v>
      </c>
      <c r="F452" s="634" t="s">
        <v>1599</v>
      </c>
      <c r="G452" s="634" t="s">
        <v>1600</v>
      </c>
      <c r="H452" s="634" t="s">
        <v>1818</v>
      </c>
      <c r="I452" s="639">
        <v>14000</v>
      </c>
      <c r="J452" s="638" t="s">
        <v>1599</v>
      </c>
      <c r="K452" s="640">
        <v>3800</v>
      </c>
      <c r="L452" s="645">
        <f t="shared" si="16"/>
        <v>17694.580000000002</v>
      </c>
      <c r="M452" s="902">
        <v>21494.58</v>
      </c>
      <c r="N452" s="911">
        <v>15506.08</v>
      </c>
      <c r="O452" s="636">
        <v>0</v>
      </c>
      <c r="P452" s="646">
        <v>100</v>
      </c>
    </row>
    <row r="453" spans="1:16" ht="15.75" customHeight="1">
      <c r="A453" s="628" t="s">
        <v>2294</v>
      </c>
      <c r="B453" s="629">
        <v>45119</v>
      </c>
      <c r="C453" s="618" t="s">
        <v>1597</v>
      </c>
      <c r="D453" s="618" t="s">
        <v>1598</v>
      </c>
      <c r="E453" s="630">
        <v>6.2</v>
      </c>
      <c r="F453" s="628" t="s">
        <v>1599</v>
      </c>
      <c r="G453" s="628" t="s">
        <v>1600</v>
      </c>
      <c r="H453" s="628" t="s">
        <v>1815</v>
      </c>
      <c r="I453" s="632">
        <v>17387</v>
      </c>
      <c r="J453" s="631" t="s">
        <v>1599</v>
      </c>
      <c r="K453" s="633">
        <v>3860</v>
      </c>
      <c r="L453" s="643">
        <f t="shared" si="16"/>
        <v>19083.490000000002</v>
      </c>
      <c r="M453" s="901">
        <v>22943.49</v>
      </c>
      <c r="N453" s="912">
        <v>16416.8</v>
      </c>
      <c r="O453" s="618">
        <v>0</v>
      </c>
      <c r="P453" s="644">
        <v>100</v>
      </c>
    </row>
    <row r="454" spans="1:16" ht="15.75" customHeight="1">
      <c r="A454" s="634" t="s">
        <v>2295</v>
      </c>
      <c r="B454" s="635">
        <v>45119</v>
      </c>
      <c r="C454" s="636" t="s">
        <v>1597</v>
      </c>
      <c r="D454" s="636" t="s">
        <v>1598</v>
      </c>
      <c r="E454" s="637">
        <v>6.2</v>
      </c>
      <c r="F454" s="634" t="s">
        <v>1599</v>
      </c>
      <c r="G454" s="634" t="s">
        <v>1600</v>
      </c>
      <c r="H454" s="634" t="s">
        <v>1815</v>
      </c>
      <c r="I454" s="639">
        <v>17387</v>
      </c>
      <c r="J454" s="638" t="s">
        <v>1599</v>
      </c>
      <c r="K454" s="640">
        <v>3860</v>
      </c>
      <c r="L454" s="645">
        <f t="shared" si="16"/>
        <v>17271.259999999998</v>
      </c>
      <c r="M454" s="902">
        <v>21131.26</v>
      </c>
      <c r="N454" s="911">
        <v>14968.04</v>
      </c>
      <c r="O454" s="636">
        <v>0</v>
      </c>
      <c r="P454" s="646">
        <v>100</v>
      </c>
    </row>
    <row r="455" spans="1:16" ht="15.75" customHeight="1">
      <c r="A455" s="628" t="s">
        <v>2296</v>
      </c>
      <c r="B455" s="629">
        <v>45120</v>
      </c>
      <c r="C455" s="618" t="s">
        <v>1597</v>
      </c>
      <c r="D455" s="618" t="s">
        <v>1598</v>
      </c>
      <c r="E455" s="630">
        <v>7.1</v>
      </c>
      <c r="F455" s="628" t="s">
        <v>1599</v>
      </c>
      <c r="G455" s="628" t="s">
        <v>1600</v>
      </c>
      <c r="H455" s="628" t="s">
        <v>1846</v>
      </c>
      <c r="I455" s="632">
        <v>5317</v>
      </c>
      <c r="J455" s="631" t="s">
        <v>1599</v>
      </c>
      <c r="K455" s="633">
        <v>2260</v>
      </c>
      <c r="L455" s="643">
        <f t="shared" si="16"/>
        <v>3126.29</v>
      </c>
      <c r="M455" s="901">
        <v>5386.29</v>
      </c>
      <c r="N455" s="912">
        <v>2152.17</v>
      </c>
      <c r="O455" s="618">
        <v>0</v>
      </c>
      <c r="P455" s="644">
        <v>100</v>
      </c>
    </row>
    <row r="456" spans="1:16" ht="15.75" customHeight="1">
      <c r="A456" s="634" t="s">
        <v>2297</v>
      </c>
      <c r="B456" s="635">
        <v>45120</v>
      </c>
      <c r="C456" s="636" t="s">
        <v>1597</v>
      </c>
      <c r="D456" s="636" t="s">
        <v>1598</v>
      </c>
      <c r="E456" s="637">
        <v>6.2</v>
      </c>
      <c r="F456" s="634" t="s">
        <v>1599</v>
      </c>
      <c r="G456" s="634" t="s">
        <v>1600</v>
      </c>
      <c r="H456" s="634" t="s">
        <v>1880</v>
      </c>
      <c r="I456" s="634">
        <v>13558</v>
      </c>
      <c r="J456" s="638" t="s">
        <v>1599</v>
      </c>
      <c r="K456" s="640">
        <v>3860</v>
      </c>
      <c r="L456" s="645">
        <f t="shared" si="16"/>
        <v>14268.5</v>
      </c>
      <c r="M456" s="902">
        <v>18128.5</v>
      </c>
      <c r="N456" s="911">
        <v>11401.1</v>
      </c>
      <c r="O456" s="636">
        <v>0</v>
      </c>
      <c r="P456" s="646">
        <v>100</v>
      </c>
    </row>
    <row r="457" spans="1:16" ht="15.75" customHeight="1">
      <c r="A457" s="628" t="s">
        <v>2298</v>
      </c>
      <c r="B457" s="629">
        <v>45126</v>
      </c>
      <c r="C457" s="618" t="s">
        <v>1597</v>
      </c>
      <c r="D457" s="618" t="s">
        <v>1598</v>
      </c>
      <c r="E457" s="630">
        <v>6.2</v>
      </c>
      <c r="F457" s="628" t="s">
        <v>1599</v>
      </c>
      <c r="G457" s="628" t="s">
        <v>1600</v>
      </c>
      <c r="H457" s="628" t="s">
        <v>1880</v>
      </c>
      <c r="I457" s="628">
        <v>13558</v>
      </c>
      <c r="J457" s="631" t="s">
        <v>1599</v>
      </c>
      <c r="K457" s="633">
        <v>3620</v>
      </c>
      <c r="L457" s="643">
        <f t="shared" si="16"/>
        <v>12253.5</v>
      </c>
      <c r="M457" s="901">
        <v>15873.5</v>
      </c>
      <c r="N457" s="912">
        <v>9776.9</v>
      </c>
      <c r="O457" s="618">
        <v>0</v>
      </c>
      <c r="P457" s="644">
        <v>100</v>
      </c>
    </row>
    <row r="458" spans="1:16" ht="15.75" customHeight="1">
      <c r="A458" s="634" t="s">
        <v>2299</v>
      </c>
      <c r="B458" s="635">
        <v>45121</v>
      </c>
      <c r="C458" s="636" t="s">
        <v>1597</v>
      </c>
      <c r="D458" s="636" t="s">
        <v>1598</v>
      </c>
      <c r="E458" s="637">
        <v>6</v>
      </c>
      <c r="F458" s="634" t="s">
        <v>1599</v>
      </c>
      <c r="G458" s="634" t="s">
        <v>1600</v>
      </c>
      <c r="H458" s="634" t="s">
        <v>1822</v>
      </c>
      <c r="I458" s="639">
        <v>13787</v>
      </c>
      <c r="J458" s="638" t="s">
        <v>1599</v>
      </c>
      <c r="K458" s="640">
        <v>3860</v>
      </c>
      <c r="L458" s="645">
        <f t="shared" si="16"/>
        <v>14630</v>
      </c>
      <c r="M458" s="902">
        <v>18490</v>
      </c>
      <c r="N458" s="911">
        <v>11855.58</v>
      </c>
      <c r="O458" s="636">
        <v>0</v>
      </c>
      <c r="P458" s="646">
        <v>100</v>
      </c>
    </row>
    <row r="459" spans="1:16" ht="15.75" customHeight="1">
      <c r="A459" s="628" t="s">
        <v>2300</v>
      </c>
      <c r="B459" s="629">
        <v>45117</v>
      </c>
      <c r="C459" s="618" t="s">
        <v>1597</v>
      </c>
      <c r="D459" s="618" t="s">
        <v>1598</v>
      </c>
      <c r="E459" s="630">
        <v>7.1</v>
      </c>
      <c r="F459" s="628" t="s">
        <v>1599</v>
      </c>
      <c r="G459" s="628" t="s">
        <v>1600</v>
      </c>
      <c r="H459" s="628" t="s">
        <v>1886</v>
      </c>
      <c r="I459" s="632">
        <v>13877</v>
      </c>
      <c r="J459" s="631" t="s">
        <v>1599</v>
      </c>
      <c r="K459" s="633">
        <v>3770</v>
      </c>
      <c r="L459" s="643">
        <f t="shared" si="16"/>
        <v>10189.799999999999</v>
      </c>
      <c r="M459" s="901">
        <v>13959.8</v>
      </c>
      <c r="N459" s="912">
        <v>7660</v>
      </c>
      <c r="O459" s="618">
        <v>0</v>
      </c>
      <c r="P459" s="644">
        <v>100</v>
      </c>
    </row>
    <row r="460" spans="1:16" ht="15.75" customHeight="1">
      <c r="A460" s="634" t="s">
        <v>2301</v>
      </c>
      <c r="B460" s="635">
        <v>45117</v>
      </c>
      <c r="C460" s="636" t="s">
        <v>1597</v>
      </c>
      <c r="D460" s="636" t="s">
        <v>1598</v>
      </c>
      <c r="E460" s="637">
        <v>7.1</v>
      </c>
      <c r="F460" s="634" t="s">
        <v>1599</v>
      </c>
      <c r="G460" s="634" t="s">
        <v>1600</v>
      </c>
      <c r="H460" s="634" t="s">
        <v>1886</v>
      </c>
      <c r="I460" s="639">
        <v>13877</v>
      </c>
      <c r="J460" s="638" t="s">
        <v>1599</v>
      </c>
      <c r="K460" s="640">
        <v>3830</v>
      </c>
      <c r="L460" s="645">
        <f t="shared" si="16"/>
        <v>12014</v>
      </c>
      <c r="M460" s="902">
        <v>15844</v>
      </c>
      <c r="N460" s="911">
        <v>8988</v>
      </c>
      <c r="O460" s="636">
        <v>0</v>
      </c>
      <c r="P460" s="646">
        <v>100</v>
      </c>
    </row>
    <row r="461" spans="1:16" ht="15.75" customHeight="1">
      <c r="A461" s="628" t="s">
        <v>2302</v>
      </c>
      <c r="B461" s="629">
        <v>45117</v>
      </c>
      <c r="C461" s="618" t="s">
        <v>1597</v>
      </c>
      <c r="D461" s="618" t="s">
        <v>1598</v>
      </c>
      <c r="E461" s="630">
        <v>7.1</v>
      </c>
      <c r="F461" s="628" t="s">
        <v>1599</v>
      </c>
      <c r="G461" s="628" t="s">
        <v>1600</v>
      </c>
      <c r="H461" s="628" t="s">
        <v>1886</v>
      </c>
      <c r="I461" s="632">
        <v>13877</v>
      </c>
      <c r="J461" s="631" t="s">
        <v>1599</v>
      </c>
      <c r="K461" s="633">
        <v>3840</v>
      </c>
      <c r="L461" s="643">
        <f t="shared" si="16"/>
        <v>10726</v>
      </c>
      <c r="M461" s="901">
        <v>14566</v>
      </c>
      <c r="N461" s="912">
        <v>8196.2000000000007</v>
      </c>
      <c r="O461" s="618">
        <v>0</v>
      </c>
      <c r="P461" s="644">
        <v>100</v>
      </c>
    </row>
    <row r="462" spans="1:16" ht="15.75" customHeight="1">
      <c r="A462" s="634" t="s">
        <v>2303</v>
      </c>
      <c r="B462" s="635">
        <v>45117</v>
      </c>
      <c r="C462" s="636" t="s">
        <v>1597</v>
      </c>
      <c r="D462" s="636" t="s">
        <v>1598</v>
      </c>
      <c r="E462" s="637">
        <v>6.5</v>
      </c>
      <c r="F462" s="634" t="s">
        <v>1599</v>
      </c>
      <c r="G462" s="634" t="s">
        <v>1600</v>
      </c>
      <c r="H462" s="634" t="s">
        <v>1809</v>
      </c>
      <c r="I462" s="639">
        <v>15168</v>
      </c>
      <c r="J462" s="638" t="s">
        <v>1599</v>
      </c>
      <c r="K462" s="640">
        <v>3700</v>
      </c>
      <c r="L462" s="645">
        <f t="shared" si="16"/>
        <v>19859.599999999999</v>
      </c>
      <c r="M462" s="902">
        <v>23559.599999999999</v>
      </c>
      <c r="N462" s="911">
        <v>16464</v>
      </c>
      <c r="O462" s="636">
        <v>0</v>
      </c>
      <c r="P462" s="646">
        <v>100</v>
      </c>
    </row>
    <row r="463" spans="1:16" ht="15.75" customHeight="1">
      <c r="A463" s="628" t="s">
        <v>2304</v>
      </c>
      <c r="B463" s="629">
        <v>45115</v>
      </c>
      <c r="C463" s="618" t="s">
        <v>1597</v>
      </c>
      <c r="D463" s="618" t="s">
        <v>1598</v>
      </c>
      <c r="E463" s="630">
        <v>6.5</v>
      </c>
      <c r="F463" s="628" t="s">
        <v>1599</v>
      </c>
      <c r="G463" s="628" t="s">
        <v>1600</v>
      </c>
      <c r="H463" s="628" t="s">
        <v>1809</v>
      </c>
      <c r="I463" s="632">
        <v>15168</v>
      </c>
      <c r="J463" s="631" t="s">
        <v>1599</v>
      </c>
      <c r="K463" s="633">
        <v>3840</v>
      </c>
      <c r="L463" s="643">
        <f t="shared" si="16"/>
        <v>19859</v>
      </c>
      <c r="M463" s="901">
        <v>23699</v>
      </c>
      <c r="N463" s="912">
        <v>16464</v>
      </c>
      <c r="O463" s="618">
        <v>0</v>
      </c>
      <c r="P463" s="644">
        <v>100</v>
      </c>
    </row>
    <row r="464" spans="1:16" ht="15.75" customHeight="1">
      <c r="A464" s="634" t="s">
        <v>2305</v>
      </c>
      <c r="B464" s="635">
        <v>45115</v>
      </c>
      <c r="C464" s="636" t="s">
        <v>1597</v>
      </c>
      <c r="D464" s="636" t="s">
        <v>1598</v>
      </c>
      <c r="E464" s="637">
        <v>6.5</v>
      </c>
      <c r="F464" s="634" t="s">
        <v>1599</v>
      </c>
      <c r="G464" s="634" t="s">
        <v>1600</v>
      </c>
      <c r="H464" s="634" t="s">
        <v>1809</v>
      </c>
      <c r="I464" s="639">
        <v>15168</v>
      </c>
      <c r="J464" s="638" t="s">
        <v>1599</v>
      </c>
      <c r="K464" s="640">
        <v>3700</v>
      </c>
      <c r="L464" s="645">
        <f t="shared" si="16"/>
        <v>19859.599999999999</v>
      </c>
      <c r="M464" s="902">
        <v>23559.599999999999</v>
      </c>
      <c r="N464" s="911">
        <v>16464</v>
      </c>
      <c r="O464" s="636">
        <v>0</v>
      </c>
      <c r="P464" s="646">
        <v>100</v>
      </c>
    </row>
    <row r="465" spans="1:16" ht="15.75" customHeight="1">
      <c r="A465" s="628" t="s">
        <v>2306</v>
      </c>
      <c r="B465" s="629">
        <v>45125</v>
      </c>
      <c r="C465" s="618" t="s">
        <v>1597</v>
      </c>
      <c r="D465" s="618" t="s">
        <v>1598</v>
      </c>
      <c r="E465" s="630">
        <v>4.5</v>
      </c>
      <c r="F465" s="628" t="s">
        <v>1599</v>
      </c>
      <c r="G465" s="628" t="s">
        <v>1600</v>
      </c>
      <c r="H465" s="628" t="s">
        <v>1828</v>
      </c>
      <c r="I465" s="632">
        <v>7448</v>
      </c>
      <c r="J465" s="631" t="s">
        <v>1599</v>
      </c>
      <c r="K465" s="633">
        <v>3740</v>
      </c>
      <c r="L465" s="643">
        <f t="shared" si="16"/>
        <v>23627</v>
      </c>
      <c r="M465" s="901">
        <v>27367</v>
      </c>
      <c r="N465" s="912">
        <v>21681</v>
      </c>
      <c r="O465" s="618">
        <v>0</v>
      </c>
      <c r="P465" s="644">
        <v>100</v>
      </c>
    </row>
    <row r="466" spans="1:16" ht="15.75" customHeight="1">
      <c r="A466" s="634" t="s">
        <v>2307</v>
      </c>
      <c r="B466" s="635">
        <v>45126</v>
      </c>
      <c r="C466" s="636" t="s">
        <v>1597</v>
      </c>
      <c r="D466" s="636" t="s">
        <v>1598</v>
      </c>
      <c r="E466" s="637">
        <v>4.5</v>
      </c>
      <c r="F466" s="634" t="s">
        <v>1599</v>
      </c>
      <c r="G466" s="634" t="s">
        <v>1600</v>
      </c>
      <c r="H466" s="634" t="s">
        <v>1828</v>
      </c>
      <c r="I466" s="639">
        <v>7448</v>
      </c>
      <c r="J466" s="638" t="s">
        <v>1599</v>
      </c>
      <c r="K466" s="640">
        <v>3830</v>
      </c>
      <c r="L466" s="645">
        <f t="shared" si="16"/>
        <v>23902</v>
      </c>
      <c r="M466" s="902">
        <v>27732</v>
      </c>
      <c r="N466" s="911">
        <v>17054</v>
      </c>
      <c r="O466" s="636">
        <v>0</v>
      </c>
      <c r="P466" s="646">
        <v>100</v>
      </c>
    </row>
    <row r="467" spans="1:16" ht="15.75" customHeight="1">
      <c r="A467" s="628" t="s">
        <v>2308</v>
      </c>
      <c r="B467" s="629">
        <v>45121</v>
      </c>
      <c r="C467" s="618" t="s">
        <v>1597</v>
      </c>
      <c r="D467" s="618" t="s">
        <v>1598</v>
      </c>
      <c r="E467" s="630">
        <v>6.5</v>
      </c>
      <c r="F467" s="628" t="s">
        <v>1599</v>
      </c>
      <c r="G467" s="628" t="s">
        <v>1600</v>
      </c>
      <c r="H467" s="628" t="s">
        <v>2309</v>
      </c>
      <c r="I467" s="632">
        <v>16332</v>
      </c>
      <c r="J467" s="631" t="s">
        <v>1599</v>
      </c>
      <c r="K467" s="633">
        <v>3700</v>
      </c>
      <c r="L467" s="643">
        <f t="shared" si="16"/>
        <v>10752.6</v>
      </c>
      <c r="M467" s="901">
        <v>14452.6</v>
      </c>
      <c r="N467" s="912">
        <v>8043.28</v>
      </c>
      <c r="O467" s="618">
        <v>0</v>
      </c>
      <c r="P467" s="644">
        <v>100</v>
      </c>
    </row>
    <row r="468" spans="1:16" ht="15.75" customHeight="1">
      <c r="A468" s="634" t="s">
        <v>2310</v>
      </c>
      <c r="B468" s="635">
        <v>45131</v>
      </c>
      <c r="C468" s="636" t="s">
        <v>1597</v>
      </c>
      <c r="D468" s="636" t="s">
        <v>1598</v>
      </c>
      <c r="E468" s="637">
        <v>6.5</v>
      </c>
      <c r="F468" s="634" t="s">
        <v>1599</v>
      </c>
      <c r="G468" s="634" t="s">
        <v>1600</v>
      </c>
      <c r="H468" s="634" t="s">
        <v>1805</v>
      </c>
      <c r="I468" s="639">
        <v>8894</v>
      </c>
      <c r="J468" s="638" t="s">
        <v>1599</v>
      </c>
      <c r="K468" s="640">
        <v>2360</v>
      </c>
      <c r="L468" s="645">
        <f t="shared" si="16"/>
        <v>13722.9</v>
      </c>
      <c r="M468" s="902">
        <v>16082.9</v>
      </c>
      <c r="N468" s="911">
        <v>13095.72</v>
      </c>
      <c r="O468" s="636">
        <v>0</v>
      </c>
      <c r="P468" s="646">
        <v>100</v>
      </c>
    </row>
    <row r="469" spans="1:16" ht="15.75" customHeight="1">
      <c r="A469" s="628" t="s">
        <v>2311</v>
      </c>
      <c r="B469" s="629">
        <v>45131</v>
      </c>
      <c r="C469" s="618" t="s">
        <v>1597</v>
      </c>
      <c r="D469" s="618" t="s">
        <v>1598</v>
      </c>
      <c r="E469" s="630">
        <v>6.5</v>
      </c>
      <c r="F469" s="628" t="s">
        <v>1599</v>
      </c>
      <c r="G469" s="628" t="s">
        <v>1600</v>
      </c>
      <c r="H469" s="628" t="s">
        <v>1801</v>
      </c>
      <c r="I469" s="632">
        <v>9292</v>
      </c>
      <c r="J469" s="631" t="s">
        <v>1599</v>
      </c>
      <c r="K469" s="633">
        <v>2250</v>
      </c>
      <c r="L469" s="643">
        <f t="shared" si="16"/>
        <v>14805</v>
      </c>
      <c r="M469" s="901">
        <v>17055</v>
      </c>
      <c r="N469" s="912">
        <v>14226.6</v>
      </c>
      <c r="O469" s="618">
        <v>0</v>
      </c>
      <c r="P469" s="644">
        <v>100</v>
      </c>
    </row>
    <row r="470" spans="1:16" ht="15.75" customHeight="1">
      <c r="A470" s="634" t="s">
        <v>2312</v>
      </c>
      <c r="B470" s="635">
        <v>45126</v>
      </c>
      <c r="C470" s="636" t="s">
        <v>1597</v>
      </c>
      <c r="D470" s="636" t="s">
        <v>1598</v>
      </c>
      <c r="E470" s="637">
        <v>6.2</v>
      </c>
      <c r="F470" s="634" t="s">
        <v>1599</v>
      </c>
      <c r="G470" s="634" t="s">
        <v>1600</v>
      </c>
      <c r="H470" s="634" t="s">
        <v>1818</v>
      </c>
      <c r="I470" s="639">
        <v>14000</v>
      </c>
      <c r="J470" s="638" t="s">
        <v>1599</v>
      </c>
      <c r="K470" s="640">
        <v>3700</v>
      </c>
      <c r="L470" s="645">
        <f t="shared" si="16"/>
        <v>18485.8</v>
      </c>
      <c r="M470" s="902">
        <v>22185.8</v>
      </c>
      <c r="N470" s="911">
        <v>15889.04</v>
      </c>
      <c r="O470" s="636">
        <v>0</v>
      </c>
      <c r="P470" s="646">
        <v>100</v>
      </c>
    </row>
    <row r="471" spans="1:16" ht="15.75" customHeight="1">
      <c r="A471" s="628" t="s">
        <v>2313</v>
      </c>
      <c r="B471" s="629">
        <v>45127</v>
      </c>
      <c r="C471" s="618" t="s">
        <v>1597</v>
      </c>
      <c r="D471" s="618" t="s">
        <v>1598</v>
      </c>
      <c r="E471" s="630">
        <v>6.5</v>
      </c>
      <c r="F471" s="628" t="s">
        <v>1599</v>
      </c>
      <c r="G471" s="628" t="s">
        <v>1600</v>
      </c>
      <c r="H471" s="628" t="s">
        <v>1854</v>
      </c>
      <c r="I471" s="628">
        <v>8865</v>
      </c>
      <c r="J471" s="631" t="s">
        <v>1599</v>
      </c>
      <c r="K471" s="633">
        <v>2220</v>
      </c>
      <c r="L471" s="643">
        <f t="shared" si="16"/>
        <v>10418</v>
      </c>
      <c r="M471" s="901">
        <v>12638</v>
      </c>
      <c r="N471" s="912">
        <v>10416</v>
      </c>
      <c r="O471" s="618">
        <v>0</v>
      </c>
      <c r="P471" s="644">
        <v>100</v>
      </c>
    </row>
    <row r="472" spans="1:16" ht="15.75" customHeight="1">
      <c r="A472" s="634" t="s">
        <v>2314</v>
      </c>
      <c r="B472" s="635">
        <v>45127</v>
      </c>
      <c r="C472" s="636" t="s">
        <v>1597</v>
      </c>
      <c r="D472" s="636" t="s">
        <v>1598</v>
      </c>
      <c r="E472" s="637">
        <v>3.6</v>
      </c>
      <c r="F472" s="634" t="s">
        <v>1599</v>
      </c>
      <c r="G472" s="634" t="s">
        <v>1600</v>
      </c>
      <c r="H472" s="634" t="s">
        <v>1965</v>
      </c>
      <c r="I472" s="639">
        <v>5092</v>
      </c>
      <c r="J472" s="638" t="s">
        <v>1599</v>
      </c>
      <c r="K472" s="640">
        <v>2200</v>
      </c>
      <c r="L472" s="645">
        <f t="shared" si="16"/>
        <v>6229.08</v>
      </c>
      <c r="M472" s="902">
        <v>8429.08</v>
      </c>
      <c r="N472" s="911">
        <v>5304.04</v>
      </c>
      <c r="O472" s="636">
        <v>0</v>
      </c>
      <c r="P472" s="646">
        <v>100</v>
      </c>
    </row>
    <row r="473" spans="1:16" ht="15.75" customHeight="1">
      <c r="A473" s="628" t="s">
        <v>2315</v>
      </c>
      <c r="B473" s="629">
        <v>45126</v>
      </c>
      <c r="C473" s="618" t="s">
        <v>1597</v>
      </c>
      <c r="D473" s="618" t="s">
        <v>1598</v>
      </c>
      <c r="E473" s="630">
        <v>7.1</v>
      </c>
      <c r="F473" s="628" t="s">
        <v>1599</v>
      </c>
      <c r="G473" s="628" t="s">
        <v>1600</v>
      </c>
      <c r="H473" s="628" t="s">
        <v>1941</v>
      </c>
      <c r="I473" s="632">
        <v>1588</v>
      </c>
      <c r="J473" s="631" t="s">
        <v>1599</v>
      </c>
      <c r="K473" s="633">
        <v>2180</v>
      </c>
      <c r="L473" s="643">
        <f t="shared" si="16"/>
        <v>4462.16</v>
      </c>
      <c r="M473" s="901">
        <v>6642.16</v>
      </c>
      <c r="N473" s="912">
        <v>3329.92</v>
      </c>
      <c r="O473" s="618">
        <v>0</v>
      </c>
      <c r="P473" s="644">
        <v>100</v>
      </c>
    </row>
    <row r="474" spans="1:16" ht="15.75" customHeight="1">
      <c r="A474" s="634" t="s">
        <v>2316</v>
      </c>
      <c r="B474" s="635">
        <v>45127</v>
      </c>
      <c r="C474" s="636" t="s">
        <v>1597</v>
      </c>
      <c r="D474" s="636" t="s">
        <v>1598</v>
      </c>
      <c r="E474" s="637">
        <v>6.2</v>
      </c>
      <c r="F474" s="634" t="s">
        <v>1599</v>
      </c>
      <c r="G474" s="634" t="s">
        <v>1600</v>
      </c>
      <c r="H474" s="634" t="s">
        <v>1809</v>
      </c>
      <c r="I474" s="639">
        <v>15168</v>
      </c>
      <c r="J474" s="638" t="s">
        <v>1599</v>
      </c>
      <c r="K474" s="640">
        <v>3700</v>
      </c>
      <c r="L474" s="645">
        <f t="shared" si="16"/>
        <v>19859.599999999999</v>
      </c>
      <c r="M474" s="902">
        <v>23559.599999999999</v>
      </c>
      <c r="N474" s="911">
        <v>16464</v>
      </c>
      <c r="O474" s="636">
        <v>0</v>
      </c>
      <c r="P474" s="646">
        <v>100</v>
      </c>
    </row>
    <row r="475" spans="1:16" ht="15.75" customHeight="1">
      <c r="A475" s="628" t="s">
        <v>2317</v>
      </c>
      <c r="B475" s="629">
        <v>45126</v>
      </c>
      <c r="C475" s="618" t="s">
        <v>1597</v>
      </c>
      <c r="D475" s="618" t="s">
        <v>1598</v>
      </c>
      <c r="E475" s="630">
        <v>7.1</v>
      </c>
      <c r="F475" s="628" t="s">
        <v>1599</v>
      </c>
      <c r="G475" s="628" t="s">
        <v>1600</v>
      </c>
      <c r="H475" s="628" t="s">
        <v>1866</v>
      </c>
      <c r="I475" s="632">
        <v>2597</v>
      </c>
      <c r="J475" s="631" t="s">
        <v>1599</v>
      </c>
      <c r="K475" s="633">
        <v>2220</v>
      </c>
      <c r="L475" s="643">
        <f t="shared" si="16"/>
        <v>5956</v>
      </c>
      <c r="M475" s="901">
        <v>8176</v>
      </c>
      <c r="N475" s="912">
        <v>4815</v>
      </c>
      <c r="O475" s="618">
        <v>0</v>
      </c>
      <c r="P475" s="644">
        <v>100</v>
      </c>
    </row>
    <row r="476" spans="1:16" ht="15.75" customHeight="1">
      <c r="A476" s="634" t="s">
        <v>2318</v>
      </c>
      <c r="B476" s="635">
        <v>45131</v>
      </c>
      <c r="C476" s="636" t="s">
        <v>1597</v>
      </c>
      <c r="D476" s="636" t="s">
        <v>1598</v>
      </c>
      <c r="E476" s="637">
        <v>5.3</v>
      </c>
      <c r="F476" s="634" t="s">
        <v>1599</v>
      </c>
      <c r="G476" s="634" t="s">
        <v>1600</v>
      </c>
      <c r="H476" s="634" t="s">
        <v>1807</v>
      </c>
      <c r="I476" s="639">
        <v>1734</v>
      </c>
      <c r="J476" s="638" t="s">
        <v>1599</v>
      </c>
      <c r="K476" s="640">
        <v>2160</v>
      </c>
      <c r="L476" s="645">
        <f t="shared" si="16"/>
        <v>6616.6</v>
      </c>
      <c r="M476" s="902">
        <v>8776.6</v>
      </c>
      <c r="N476" s="911">
        <v>5341.6</v>
      </c>
      <c r="O476" s="636">
        <v>0</v>
      </c>
      <c r="P476" s="646">
        <v>100</v>
      </c>
    </row>
    <row r="477" spans="1:16" ht="15.75" customHeight="1">
      <c r="A477" s="628" t="s">
        <v>2319</v>
      </c>
      <c r="B477" s="629">
        <v>45126</v>
      </c>
      <c r="C477" s="618" t="s">
        <v>1597</v>
      </c>
      <c r="D477" s="618" t="s">
        <v>1598</v>
      </c>
      <c r="E477" s="630">
        <v>7.1</v>
      </c>
      <c r="F477" s="628" t="s">
        <v>1599</v>
      </c>
      <c r="G477" s="628" t="s">
        <v>1600</v>
      </c>
      <c r="H477" s="628" t="s">
        <v>1886</v>
      </c>
      <c r="I477" s="632">
        <v>13877</v>
      </c>
      <c r="J477" s="631" t="s">
        <v>1599</v>
      </c>
      <c r="K477" s="633">
        <v>3700</v>
      </c>
      <c r="L477" s="643">
        <f t="shared" si="16"/>
        <v>10189.799999999999</v>
      </c>
      <c r="M477" s="901">
        <v>13889.8</v>
      </c>
      <c r="N477" s="912">
        <v>7660</v>
      </c>
      <c r="O477" s="618">
        <v>0</v>
      </c>
      <c r="P477" s="644">
        <v>100</v>
      </c>
    </row>
    <row r="478" spans="1:16" ht="15.75" customHeight="1">
      <c r="A478" s="634" t="s">
        <v>2320</v>
      </c>
      <c r="B478" s="635">
        <v>45127</v>
      </c>
      <c r="C478" s="636" t="s">
        <v>1597</v>
      </c>
      <c r="D478" s="636" t="s">
        <v>1598</v>
      </c>
      <c r="E478" s="637">
        <v>7.1</v>
      </c>
      <c r="F478" s="634" t="s">
        <v>1599</v>
      </c>
      <c r="G478" s="634" t="s">
        <v>1600</v>
      </c>
      <c r="H478" s="634" t="s">
        <v>1886</v>
      </c>
      <c r="I478" s="639">
        <v>13877</v>
      </c>
      <c r="J478" s="638" t="s">
        <v>1599</v>
      </c>
      <c r="K478" s="640">
        <v>3840</v>
      </c>
      <c r="L478" s="645">
        <f t="shared" si="16"/>
        <v>12014</v>
      </c>
      <c r="M478" s="902">
        <v>15854</v>
      </c>
      <c r="N478" s="911">
        <v>8988</v>
      </c>
      <c r="O478" s="636">
        <v>0</v>
      </c>
      <c r="P478" s="646">
        <v>100</v>
      </c>
    </row>
    <row r="479" spans="1:16" ht="15.75" customHeight="1">
      <c r="A479" s="628" t="s">
        <v>2321</v>
      </c>
      <c r="B479" s="629">
        <v>45128</v>
      </c>
      <c r="C479" s="618" t="s">
        <v>1597</v>
      </c>
      <c r="D479" s="618" t="s">
        <v>1598</v>
      </c>
      <c r="E479" s="630">
        <v>7.1</v>
      </c>
      <c r="F479" s="628" t="s">
        <v>1599</v>
      </c>
      <c r="G479" s="628" t="s">
        <v>1600</v>
      </c>
      <c r="H479" s="628" t="s">
        <v>1886</v>
      </c>
      <c r="I479" s="632">
        <v>13877</v>
      </c>
      <c r="J479" s="631" t="s">
        <v>1599</v>
      </c>
      <c r="K479" s="633">
        <v>3840</v>
      </c>
      <c r="L479" s="643">
        <f t="shared" si="16"/>
        <v>10726</v>
      </c>
      <c r="M479" s="901">
        <v>14566</v>
      </c>
      <c r="N479" s="912">
        <v>8196.2000000000007</v>
      </c>
      <c r="O479" s="618">
        <v>0</v>
      </c>
      <c r="P479" s="644">
        <v>100</v>
      </c>
    </row>
    <row r="480" spans="1:16" ht="15.75" customHeight="1">
      <c r="A480" s="634" t="s">
        <v>2322</v>
      </c>
      <c r="B480" s="635">
        <v>45134</v>
      </c>
      <c r="C480" s="636" t="s">
        <v>1597</v>
      </c>
      <c r="D480" s="636" t="s">
        <v>1598</v>
      </c>
      <c r="E480" s="637">
        <v>3.6</v>
      </c>
      <c r="F480" s="634" t="s">
        <v>1599</v>
      </c>
      <c r="G480" s="634" t="s">
        <v>1600</v>
      </c>
      <c r="H480" s="634" t="s">
        <v>1976</v>
      </c>
      <c r="I480" s="634">
        <v>4608</v>
      </c>
      <c r="J480" s="638" t="s">
        <v>1599</v>
      </c>
      <c r="K480" s="640">
        <v>2180</v>
      </c>
      <c r="L480" s="645">
        <f t="shared" si="16"/>
        <v>6176.66</v>
      </c>
      <c r="M480" s="902">
        <v>8356.66</v>
      </c>
      <c r="N480" s="911">
        <v>5257.23</v>
      </c>
      <c r="O480" s="636">
        <v>0</v>
      </c>
      <c r="P480" s="646">
        <v>100</v>
      </c>
    </row>
    <row r="481" spans="1:16" ht="15.75" customHeight="1">
      <c r="A481" s="628" t="s">
        <v>2323</v>
      </c>
      <c r="B481" s="629">
        <v>45134</v>
      </c>
      <c r="C481" s="618" t="s">
        <v>1597</v>
      </c>
      <c r="D481" s="618" t="s">
        <v>1598</v>
      </c>
      <c r="E481" s="630">
        <v>2.8</v>
      </c>
      <c r="F481" s="628" t="s">
        <v>1599</v>
      </c>
      <c r="G481" s="628" t="s">
        <v>1600</v>
      </c>
      <c r="H481" s="628" t="s">
        <v>1971</v>
      </c>
      <c r="I481" s="632">
        <v>4358</v>
      </c>
      <c r="J481" s="631" t="s">
        <v>1599</v>
      </c>
      <c r="K481" s="633">
        <v>3900</v>
      </c>
      <c r="L481" s="643">
        <f t="shared" si="16"/>
        <v>12086.41</v>
      </c>
      <c r="M481" s="901">
        <v>15986.41</v>
      </c>
      <c r="N481" s="912">
        <v>10096.49</v>
      </c>
      <c r="O481" s="618">
        <v>0</v>
      </c>
      <c r="P481" s="644">
        <v>100</v>
      </c>
    </row>
    <row r="482" spans="1:16" ht="15.75" customHeight="1">
      <c r="A482" s="634" t="s">
        <v>2324</v>
      </c>
      <c r="B482" s="635">
        <v>45138</v>
      </c>
      <c r="C482" s="636" t="s">
        <v>1597</v>
      </c>
      <c r="D482" s="636" t="s">
        <v>1598</v>
      </c>
      <c r="E482" s="637">
        <v>7.1</v>
      </c>
      <c r="F482" s="634" t="s">
        <v>1599</v>
      </c>
      <c r="G482" s="634" t="s">
        <v>1600</v>
      </c>
      <c r="H482" s="634" t="s">
        <v>1807</v>
      </c>
      <c r="I482" s="639">
        <v>1734</v>
      </c>
      <c r="J482" s="638" t="s">
        <v>1599</v>
      </c>
      <c r="K482" s="637">
        <v>2100</v>
      </c>
      <c r="L482" s="645">
        <f t="shared" si="16"/>
        <v>6022</v>
      </c>
      <c r="M482" s="902">
        <v>8122</v>
      </c>
      <c r="N482" s="914">
        <v>4800</v>
      </c>
      <c r="O482" s="636">
        <v>0</v>
      </c>
      <c r="P482" s="646">
        <v>100</v>
      </c>
    </row>
    <row r="483" spans="1:16" ht="15.75" customHeight="1">
      <c r="A483" s="628" t="s">
        <v>2325</v>
      </c>
      <c r="B483" s="629">
        <v>45138</v>
      </c>
      <c r="C483" s="618" t="s">
        <v>1597</v>
      </c>
      <c r="D483" s="618" t="s">
        <v>1598</v>
      </c>
      <c r="E483" s="630">
        <v>7.1</v>
      </c>
      <c r="F483" s="628" t="s">
        <v>1599</v>
      </c>
      <c r="G483" s="628" t="s">
        <v>1600</v>
      </c>
      <c r="H483" s="628" t="s">
        <v>1807</v>
      </c>
      <c r="I483" s="632">
        <v>1734</v>
      </c>
      <c r="J483" s="631" t="s">
        <v>1599</v>
      </c>
      <c r="K483" s="630">
        <v>3700</v>
      </c>
      <c r="L483" s="643">
        <f t="shared" si="16"/>
        <v>10995.5</v>
      </c>
      <c r="M483" s="901">
        <v>14695.5</v>
      </c>
      <c r="N483" s="913">
        <v>8161.5</v>
      </c>
      <c r="O483" s="618">
        <v>0</v>
      </c>
      <c r="P483" s="644">
        <v>100</v>
      </c>
    </row>
    <row r="484" spans="1:16" ht="15.75" customHeight="1">
      <c r="A484" s="634" t="s">
        <v>2326</v>
      </c>
      <c r="B484" s="635">
        <v>45133</v>
      </c>
      <c r="C484" s="636" t="s">
        <v>1597</v>
      </c>
      <c r="D484" s="636" t="s">
        <v>1598</v>
      </c>
      <c r="E484" s="637">
        <v>7.1</v>
      </c>
      <c r="F484" s="634" t="s">
        <v>1599</v>
      </c>
      <c r="G484" s="634" t="s">
        <v>1600</v>
      </c>
      <c r="H484" s="634" t="s">
        <v>1828</v>
      </c>
      <c r="I484" s="639">
        <v>7448</v>
      </c>
      <c r="J484" s="638" t="s">
        <v>1599</v>
      </c>
      <c r="K484" s="640">
        <v>3840</v>
      </c>
      <c r="L484" s="645">
        <f t="shared" si="16"/>
        <v>20802</v>
      </c>
      <c r="M484" s="902">
        <v>24642</v>
      </c>
      <c r="N484" s="911">
        <v>16608</v>
      </c>
      <c r="O484" s="636">
        <v>0</v>
      </c>
      <c r="P484" s="646">
        <v>100</v>
      </c>
    </row>
    <row r="485" spans="1:16" ht="15.75" customHeight="1">
      <c r="A485" s="628" t="s">
        <v>2327</v>
      </c>
      <c r="B485" s="629">
        <v>45134</v>
      </c>
      <c r="C485" s="618" t="s">
        <v>1597</v>
      </c>
      <c r="D485" s="618" t="s">
        <v>1598</v>
      </c>
      <c r="E485" s="630">
        <v>3.6</v>
      </c>
      <c r="F485" s="628" t="s">
        <v>1599</v>
      </c>
      <c r="G485" s="628" t="s">
        <v>1600</v>
      </c>
      <c r="H485" s="628" t="s">
        <v>2043</v>
      </c>
      <c r="I485" s="632">
        <v>4220</v>
      </c>
      <c r="J485" s="631" t="s">
        <v>1599</v>
      </c>
      <c r="K485" s="633">
        <v>3830</v>
      </c>
      <c r="L485" s="643">
        <f t="shared" si="16"/>
        <v>11691.31</v>
      </c>
      <c r="M485" s="901">
        <v>15521.31</v>
      </c>
      <c r="N485" s="912">
        <v>953.32</v>
      </c>
      <c r="O485" s="618">
        <v>0</v>
      </c>
      <c r="P485" s="644">
        <v>100</v>
      </c>
    </row>
    <row r="486" spans="1:16" ht="15.75" customHeight="1">
      <c r="A486" s="634" t="s">
        <v>2328</v>
      </c>
      <c r="B486" s="635">
        <v>45132</v>
      </c>
      <c r="C486" s="636" t="s">
        <v>1597</v>
      </c>
      <c r="D486" s="636" t="s">
        <v>1598</v>
      </c>
      <c r="E486" s="637">
        <v>7.1</v>
      </c>
      <c r="F486" s="634" t="s">
        <v>1599</v>
      </c>
      <c r="G486" s="634" t="s">
        <v>1600</v>
      </c>
      <c r="H486" s="634" t="s">
        <v>1809</v>
      </c>
      <c r="I486" s="639">
        <v>15168</v>
      </c>
      <c r="J486" s="638" t="s">
        <v>1599</v>
      </c>
      <c r="K486" s="640">
        <v>3880</v>
      </c>
      <c r="L486" s="645">
        <f t="shared" si="16"/>
        <v>19859.599999999999</v>
      </c>
      <c r="M486" s="902">
        <v>23739.599999999999</v>
      </c>
      <c r="N486" s="911">
        <v>16464</v>
      </c>
      <c r="O486" s="636">
        <v>0</v>
      </c>
      <c r="P486" s="646">
        <v>100</v>
      </c>
    </row>
    <row r="487" spans="1:16" ht="15.75" customHeight="1">
      <c r="A487" s="628" t="s">
        <v>2329</v>
      </c>
      <c r="B487" s="629">
        <v>45138</v>
      </c>
      <c r="C487" s="618" t="s">
        <v>1597</v>
      </c>
      <c r="D487" s="618" t="s">
        <v>1598</v>
      </c>
      <c r="E487" s="630">
        <v>7.1</v>
      </c>
      <c r="F487" s="628" t="s">
        <v>1599</v>
      </c>
      <c r="G487" s="628" t="s">
        <v>1600</v>
      </c>
      <c r="H487" s="628" t="s">
        <v>1809</v>
      </c>
      <c r="I487" s="632">
        <v>15168</v>
      </c>
      <c r="J487" s="631" t="s">
        <v>1599</v>
      </c>
      <c r="K487" s="630">
        <v>3840</v>
      </c>
      <c r="L487" s="643">
        <f t="shared" si="16"/>
        <v>19859.599999999999</v>
      </c>
      <c r="M487" s="901">
        <v>23699.599999999999</v>
      </c>
      <c r="N487" s="913">
        <v>16464</v>
      </c>
      <c r="O487" s="618">
        <v>0</v>
      </c>
      <c r="P487" s="644">
        <v>100</v>
      </c>
    </row>
    <row r="488" spans="1:16" ht="15.75" customHeight="1">
      <c r="A488" s="634" t="s">
        <v>2330</v>
      </c>
      <c r="B488" s="635">
        <v>45134</v>
      </c>
      <c r="C488" s="636" t="s">
        <v>1597</v>
      </c>
      <c r="D488" s="636" t="s">
        <v>1598</v>
      </c>
      <c r="E488" s="637">
        <v>7.1</v>
      </c>
      <c r="F488" s="634" t="s">
        <v>1599</v>
      </c>
      <c r="G488" s="634" t="s">
        <v>1600</v>
      </c>
      <c r="H488" s="634" t="s">
        <v>1809</v>
      </c>
      <c r="I488" s="639">
        <v>15168</v>
      </c>
      <c r="J488" s="638" t="s">
        <v>1599</v>
      </c>
      <c r="K488" s="640">
        <v>3700</v>
      </c>
      <c r="L488" s="645">
        <f t="shared" si="16"/>
        <v>19859.599999999999</v>
      </c>
      <c r="M488" s="902">
        <v>23559.599999999999</v>
      </c>
      <c r="N488" s="911">
        <v>16464</v>
      </c>
      <c r="O488" s="636">
        <v>0</v>
      </c>
      <c r="P488" s="646">
        <v>100</v>
      </c>
    </row>
    <row r="489" spans="1:16" ht="15.75" customHeight="1">
      <c r="A489" s="628" t="s">
        <v>2331</v>
      </c>
      <c r="B489" s="629">
        <v>45138</v>
      </c>
      <c r="C489" s="618" t="s">
        <v>1597</v>
      </c>
      <c r="D489" s="618" t="s">
        <v>1598</v>
      </c>
      <c r="E489" s="630">
        <v>7.1</v>
      </c>
      <c r="F489" s="628" t="s">
        <v>1599</v>
      </c>
      <c r="G489" s="628" t="s">
        <v>1600</v>
      </c>
      <c r="H489" s="628" t="s">
        <v>1831</v>
      </c>
      <c r="I489" s="632">
        <v>7283</v>
      </c>
      <c r="J489" s="631" t="s">
        <v>1599</v>
      </c>
      <c r="K489" s="630">
        <v>3560</v>
      </c>
      <c r="L489" s="643">
        <f t="shared" si="16"/>
        <v>22882</v>
      </c>
      <c r="M489" s="901">
        <v>26442</v>
      </c>
      <c r="N489" s="913">
        <v>19426</v>
      </c>
      <c r="O489" s="618">
        <v>0</v>
      </c>
      <c r="P489" s="644">
        <v>100</v>
      </c>
    </row>
    <row r="490" spans="1:16" ht="15.75" customHeight="1">
      <c r="A490" s="634" t="s">
        <v>2332</v>
      </c>
      <c r="B490" s="635">
        <v>45138</v>
      </c>
      <c r="C490" s="636" t="s">
        <v>1597</v>
      </c>
      <c r="D490" s="636" t="s">
        <v>1598</v>
      </c>
      <c r="E490" s="637">
        <v>7.1</v>
      </c>
      <c r="F490" s="634" t="s">
        <v>1599</v>
      </c>
      <c r="G490" s="634" t="s">
        <v>1600</v>
      </c>
      <c r="H490" s="634" t="s">
        <v>1831</v>
      </c>
      <c r="I490" s="639">
        <v>7283</v>
      </c>
      <c r="J490" s="638" t="s">
        <v>1599</v>
      </c>
      <c r="K490" s="637">
        <v>3570</v>
      </c>
      <c r="L490" s="645">
        <f t="shared" si="16"/>
        <v>23977</v>
      </c>
      <c r="M490" s="902">
        <v>27547</v>
      </c>
      <c r="N490" s="914">
        <v>21069</v>
      </c>
      <c r="O490" s="636">
        <v>0</v>
      </c>
      <c r="P490" s="646">
        <v>100</v>
      </c>
    </row>
    <row r="491" spans="1:16" ht="15.75" customHeight="1">
      <c r="A491" s="628" t="s">
        <v>2333</v>
      </c>
      <c r="B491" s="629">
        <v>45138</v>
      </c>
      <c r="C491" s="618" t="s">
        <v>1597</v>
      </c>
      <c r="D491" s="618" t="s">
        <v>1598</v>
      </c>
      <c r="E491" s="630">
        <v>7.1</v>
      </c>
      <c r="F491" s="628" t="s">
        <v>1599</v>
      </c>
      <c r="G491" s="628" t="s">
        <v>1600</v>
      </c>
      <c r="H491" s="628" t="s">
        <v>1831</v>
      </c>
      <c r="I491" s="632">
        <v>7283</v>
      </c>
      <c r="J491" s="631" t="s">
        <v>1599</v>
      </c>
      <c r="K491" s="630">
        <v>3720</v>
      </c>
      <c r="L491" s="643">
        <f t="shared" si="16"/>
        <v>21452</v>
      </c>
      <c r="M491" s="901">
        <v>25172</v>
      </c>
      <c r="N491" s="913">
        <v>12216</v>
      </c>
      <c r="O491" s="618">
        <v>0</v>
      </c>
      <c r="P491" s="644">
        <v>100</v>
      </c>
    </row>
    <row r="492" spans="1:16" ht="15.75" customHeight="1">
      <c r="A492" s="634" t="s">
        <v>2334</v>
      </c>
      <c r="B492" s="635">
        <v>45138</v>
      </c>
      <c r="C492" s="636" t="s">
        <v>1597</v>
      </c>
      <c r="D492" s="636" t="s">
        <v>1598</v>
      </c>
      <c r="E492" s="637">
        <v>5.2</v>
      </c>
      <c r="F492" s="634" t="s">
        <v>1599</v>
      </c>
      <c r="G492" s="634" t="s">
        <v>1600</v>
      </c>
      <c r="H492" s="634" t="s">
        <v>1893</v>
      </c>
      <c r="I492" s="639">
        <v>2167</v>
      </c>
      <c r="J492" s="638" t="s">
        <v>1599</v>
      </c>
      <c r="K492" s="640">
        <v>2200</v>
      </c>
      <c r="L492" s="645">
        <f t="shared" si="16"/>
        <v>4420.7</v>
      </c>
      <c r="M492" s="902">
        <v>6620.7</v>
      </c>
      <c r="N492" s="911">
        <v>3087.3</v>
      </c>
      <c r="O492" s="636">
        <v>0</v>
      </c>
      <c r="P492" s="646">
        <v>100</v>
      </c>
    </row>
    <row r="493" spans="1:16" ht="15.75" customHeight="1">
      <c r="A493" s="628" t="s">
        <v>2335</v>
      </c>
      <c r="B493" s="629">
        <v>45138</v>
      </c>
      <c r="C493" s="618" t="s">
        <v>1597</v>
      </c>
      <c r="D493" s="618" t="s">
        <v>1598</v>
      </c>
      <c r="E493" s="630">
        <v>5.3</v>
      </c>
      <c r="F493" s="628" t="s">
        <v>1599</v>
      </c>
      <c r="G493" s="628" t="s">
        <v>1600</v>
      </c>
      <c r="H493" s="628" t="s">
        <v>1873</v>
      </c>
      <c r="I493" s="632">
        <v>3824</v>
      </c>
      <c r="J493" s="631" t="s">
        <v>1599</v>
      </c>
      <c r="K493" s="633">
        <v>3640</v>
      </c>
      <c r="L493" s="643">
        <f t="shared" si="16"/>
        <v>9667.19</v>
      </c>
      <c r="M493" s="901">
        <v>13307.19</v>
      </c>
      <c r="N493" s="912">
        <v>7317.36</v>
      </c>
      <c r="O493" s="618">
        <v>0</v>
      </c>
      <c r="P493" s="644">
        <v>100</v>
      </c>
    </row>
    <row r="494" spans="1:16" ht="15.75" customHeight="1">
      <c r="A494" s="634" t="s">
        <v>2336</v>
      </c>
      <c r="B494" s="635">
        <v>45133</v>
      </c>
      <c r="C494" s="636" t="s">
        <v>1597</v>
      </c>
      <c r="D494" s="636" t="s">
        <v>1598</v>
      </c>
      <c r="E494" s="637">
        <v>7.1</v>
      </c>
      <c r="F494" s="634" t="s">
        <v>1599</v>
      </c>
      <c r="G494" s="634" t="s">
        <v>1600</v>
      </c>
      <c r="H494" s="634" t="s">
        <v>1886</v>
      </c>
      <c r="I494" s="639">
        <v>13877</v>
      </c>
      <c r="J494" s="638" t="s">
        <v>1599</v>
      </c>
      <c r="K494" s="640">
        <v>3770</v>
      </c>
      <c r="L494" s="645">
        <f t="shared" si="16"/>
        <v>10189.799999999999</v>
      </c>
      <c r="M494" s="902">
        <v>13959.8</v>
      </c>
      <c r="N494" s="911">
        <v>7660</v>
      </c>
      <c r="O494" s="636">
        <v>0</v>
      </c>
      <c r="P494" s="646">
        <v>100</v>
      </c>
    </row>
    <row r="495" spans="1:16" ht="15.75" customHeight="1">
      <c r="A495" s="628" t="s">
        <v>2337</v>
      </c>
      <c r="B495" s="629">
        <v>45133</v>
      </c>
      <c r="C495" s="618" t="s">
        <v>1597</v>
      </c>
      <c r="D495" s="618" t="s">
        <v>1598</v>
      </c>
      <c r="E495" s="630">
        <v>7.1</v>
      </c>
      <c r="F495" s="628" t="s">
        <v>1599</v>
      </c>
      <c r="G495" s="628" t="s">
        <v>1600</v>
      </c>
      <c r="H495" s="628" t="s">
        <v>1886</v>
      </c>
      <c r="I495" s="632">
        <v>13877</v>
      </c>
      <c r="J495" s="631" t="s">
        <v>1599</v>
      </c>
      <c r="K495" s="633">
        <v>3700</v>
      </c>
      <c r="L495" s="643">
        <f t="shared" si="16"/>
        <v>12014</v>
      </c>
      <c r="M495" s="901">
        <v>15714</v>
      </c>
      <c r="N495" s="912">
        <v>8988</v>
      </c>
      <c r="O495" s="618">
        <v>0</v>
      </c>
      <c r="P495" s="644">
        <v>100</v>
      </c>
    </row>
    <row r="496" spans="1:16" ht="15.75" customHeight="1">
      <c r="A496" s="634" t="s">
        <v>2338</v>
      </c>
      <c r="B496" s="635">
        <v>45133</v>
      </c>
      <c r="C496" s="636" t="s">
        <v>1597</v>
      </c>
      <c r="D496" s="636" t="s">
        <v>1598</v>
      </c>
      <c r="E496" s="637">
        <v>7.1</v>
      </c>
      <c r="F496" s="634" t="s">
        <v>1599</v>
      </c>
      <c r="G496" s="634" t="s">
        <v>1600</v>
      </c>
      <c r="H496" s="634" t="s">
        <v>1886</v>
      </c>
      <c r="I496" s="639">
        <v>13877</v>
      </c>
      <c r="J496" s="638" t="s">
        <v>1599</v>
      </c>
      <c r="K496" s="640">
        <v>3770</v>
      </c>
      <c r="L496" s="645">
        <f t="shared" si="16"/>
        <v>10726</v>
      </c>
      <c r="M496" s="902">
        <v>14496</v>
      </c>
      <c r="N496" s="911">
        <v>8196.2000000000007</v>
      </c>
      <c r="O496" s="636">
        <v>0</v>
      </c>
      <c r="P496" s="646">
        <v>100</v>
      </c>
    </row>
    <row r="497" spans="1:16" ht="15.75" customHeight="1">
      <c r="A497" s="628" t="s">
        <v>2339</v>
      </c>
      <c r="B497" s="629">
        <v>45133</v>
      </c>
      <c r="C497" s="618" t="s">
        <v>1597</v>
      </c>
      <c r="D497" s="618" t="s">
        <v>1598</v>
      </c>
      <c r="E497" s="630">
        <v>7.1</v>
      </c>
      <c r="F497" s="628" t="s">
        <v>1599</v>
      </c>
      <c r="G497" s="628" t="s">
        <v>1600</v>
      </c>
      <c r="H497" s="628" t="s">
        <v>1886</v>
      </c>
      <c r="I497" s="632">
        <v>13877</v>
      </c>
      <c r="J497" s="631" t="s">
        <v>1599</v>
      </c>
      <c r="K497" s="633">
        <v>3700</v>
      </c>
      <c r="L497" s="643">
        <f t="shared" si="16"/>
        <v>10189.799999999999</v>
      </c>
      <c r="M497" s="901">
        <v>13889.8</v>
      </c>
      <c r="N497" s="912">
        <v>7660</v>
      </c>
      <c r="O497" s="618">
        <v>0</v>
      </c>
      <c r="P497" s="644">
        <v>100</v>
      </c>
    </row>
    <row r="498" spans="1:16" ht="15.75" customHeight="1">
      <c r="A498" s="634" t="s">
        <v>2340</v>
      </c>
      <c r="B498" s="635">
        <v>45136</v>
      </c>
      <c r="C498" s="636" t="s">
        <v>1597</v>
      </c>
      <c r="D498" s="636" t="s">
        <v>1598</v>
      </c>
      <c r="E498" s="637">
        <v>7.5</v>
      </c>
      <c r="F498" s="634" t="s">
        <v>1599</v>
      </c>
      <c r="G498" s="634" t="s">
        <v>1600</v>
      </c>
      <c r="H498" s="634" t="s">
        <v>1798</v>
      </c>
      <c r="I498" s="639">
        <v>1931</v>
      </c>
      <c r="J498" s="638" t="s">
        <v>1599</v>
      </c>
      <c r="K498" s="640">
        <v>4542.6000000000004</v>
      </c>
      <c r="L498" s="645">
        <f t="shared" si="16"/>
        <v>996.39999999999964</v>
      </c>
      <c r="M498" s="902">
        <v>5539</v>
      </c>
      <c r="N498" s="911">
        <v>4542.6000000000004</v>
      </c>
      <c r="O498" s="636">
        <v>0</v>
      </c>
      <c r="P498" s="646">
        <v>100</v>
      </c>
    </row>
    <row r="499" spans="1:16" ht="15.75" customHeight="1">
      <c r="A499" s="628" t="s">
        <v>2341</v>
      </c>
      <c r="B499" s="629">
        <v>45147</v>
      </c>
      <c r="C499" s="618" t="s">
        <v>1597</v>
      </c>
      <c r="D499" s="618" t="s">
        <v>1598</v>
      </c>
      <c r="E499" s="630">
        <v>7.1</v>
      </c>
      <c r="F499" s="628" t="s">
        <v>1599</v>
      </c>
      <c r="G499" s="628" t="s">
        <v>1600</v>
      </c>
      <c r="H499" s="628" t="s">
        <v>1841</v>
      </c>
      <c r="I499" s="628">
        <v>9486</v>
      </c>
      <c r="J499" s="631" t="s">
        <v>1599</v>
      </c>
      <c r="K499" s="633">
        <v>3770</v>
      </c>
      <c r="L499" s="643">
        <f t="shared" si="16"/>
        <v>17526.45</v>
      </c>
      <c r="M499" s="901">
        <v>21296.45</v>
      </c>
      <c r="N499" s="912">
        <v>14137.8</v>
      </c>
      <c r="O499" s="618">
        <v>0</v>
      </c>
      <c r="P499" s="644">
        <v>100</v>
      </c>
    </row>
    <row r="500" spans="1:16" ht="15.75" customHeight="1">
      <c r="A500" s="634" t="s">
        <v>2342</v>
      </c>
      <c r="B500" s="635">
        <v>45147</v>
      </c>
      <c r="C500" s="636" t="s">
        <v>1597</v>
      </c>
      <c r="D500" s="636" t="s">
        <v>1598</v>
      </c>
      <c r="E500" s="637">
        <v>7.1</v>
      </c>
      <c r="F500" s="634" t="s">
        <v>1599</v>
      </c>
      <c r="G500" s="634" t="s">
        <v>1600</v>
      </c>
      <c r="H500" s="634" t="s">
        <v>1841</v>
      </c>
      <c r="I500" s="634">
        <v>9486</v>
      </c>
      <c r="J500" s="638" t="s">
        <v>1599</v>
      </c>
      <c r="K500" s="640">
        <v>3840</v>
      </c>
      <c r="L500" s="645">
        <f t="shared" si="16"/>
        <v>15427.849999999999</v>
      </c>
      <c r="M500" s="902">
        <v>19267.849999999999</v>
      </c>
      <c r="N500" s="911">
        <v>10317.65</v>
      </c>
      <c r="O500" s="636">
        <v>0</v>
      </c>
      <c r="P500" s="646">
        <v>100</v>
      </c>
    </row>
    <row r="501" spans="1:16" ht="15.75" customHeight="1">
      <c r="A501" s="628" t="s">
        <v>2343</v>
      </c>
      <c r="B501" s="629">
        <v>45147</v>
      </c>
      <c r="C501" s="618" t="s">
        <v>1597</v>
      </c>
      <c r="D501" s="618" t="s">
        <v>1598</v>
      </c>
      <c r="E501" s="630">
        <v>7.1</v>
      </c>
      <c r="F501" s="628" t="s">
        <v>1599</v>
      </c>
      <c r="G501" s="628" t="s">
        <v>1600</v>
      </c>
      <c r="H501" s="628" t="s">
        <v>1841</v>
      </c>
      <c r="I501" s="628">
        <v>9486</v>
      </c>
      <c r="J501" s="631" t="s">
        <v>1599</v>
      </c>
      <c r="K501" s="633">
        <v>3900</v>
      </c>
      <c r="L501" s="643">
        <f t="shared" si="16"/>
        <v>16371.2</v>
      </c>
      <c r="M501" s="901">
        <v>20271.2</v>
      </c>
      <c r="N501" s="912">
        <v>12349.95</v>
      </c>
      <c r="O501" s="618">
        <v>0</v>
      </c>
      <c r="P501" s="644">
        <v>100</v>
      </c>
    </row>
    <row r="502" spans="1:16" ht="15.75" customHeight="1">
      <c r="A502" s="634" t="s">
        <v>2344</v>
      </c>
      <c r="B502" s="635">
        <v>45141</v>
      </c>
      <c r="C502" s="636" t="s">
        <v>1597</v>
      </c>
      <c r="D502" s="636" t="s">
        <v>1598</v>
      </c>
      <c r="E502" s="637">
        <v>6</v>
      </c>
      <c r="F502" s="634" t="s">
        <v>1599</v>
      </c>
      <c r="G502" s="634" t="s">
        <v>1600</v>
      </c>
      <c r="H502" s="634" t="s">
        <v>1941</v>
      </c>
      <c r="I502" s="634">
        <v>1588</v>
      </c>
      <c r="J502" s="638" t="s">
        <v>1599</v>
      </c>
      <c r="K502" s="640">
        <v>2100</v>
      </c>
      <c r="L502" s="645">
        <f t="shared" si="16"/>
        <v>4300.8</v>
      </c>
      <c r="M502" s="902">
        <v>6400.8</v>
      </c>
      <c r="N502" s="911">
        <v>2998.8</v>
      </c>
      <c r="O502" s="636">
        <v>0</v>
      </c>
      <c r="P502" s="646">
        <v>100</v>
      </c>
    </row>
    <row r="503" spans="1:16" ht="15.75" customHeight="1">
      <c r="A503" s="628" t="s">
        <v>2345</v>
      </c>
      <c r="B503" s="629">
        <v>45140</v>
      </c>
      <c r="C503" s="618" t="s">
        <v>1597</v>
      </c>
      <c r="D503" s="618" t="s">
        <v>1598</v>
      </c>
      <c r="E503" s="630">
        <v>6.2</v>
      </c>
      <c r="F503" s="618" t="s">
        <v>1599</v>
      </c>
      <c r="G503" s="618" t="s">
        <v>1600</v>
      </c>
      <c r="H503" s="628" t="s">
        <v>1963</v>
      </c>
      <c r="I503" s="628">
        <v>14253</v>
      </c>
      <c r="J503" s="654" t="s">
        <v>1599</v>
      </c>
      <c r="K503" s="633">
        <v>3850</v>
      </c>
      <c r="L503" s="643">
        <f t="shared" si="16"/>
        <v>11107.99</v>
      </c>
      <c r="M503" s="901">
        <v>14957.99</v>
      </c>
      <c r="N503" s="912">
        <v>8287.44</v>
      </c>
      <c r="O503" s="618">
        <v>0</v>
      </c>
      <c r="P503" s="644">
        <v>100</v>
      </c>
    </row>
    <row r="504" spans="1:16" ht="15.75" customHeight="1">
      <c r="A504" s="634" t="s">
        <v>2346</v>
      </c>
      <c r="B504" s="635">
        <v>45147</v>
      </c>
      <c r="C504" s="636" t="s">
        <v>1597</v>
      </c>
      <c r="D504" s="636" t="s">
        <v>1598</v>
      </c>
      <c r="E504" s="637">
        <v>5.3</v>
      </c>
      <c r="F504" s="634" t="s">
        <v>1599</v>
      </c>
      <c r="G504" s="634" t="s">
        <v>1600</v>
      </c>
      <c r="H504" s="634" t="s">
        <v>1807</v>
      </c>
      <c r="I504" s="634">
        <v>1734</v>
      </c>
      <c r="J504" s="638" t="s">
        <v>1599</v>
      </c>
      <c r="K504" s="640">
        <v>3640</v>
      </c>
      <c r="L504" s="645">
        <f t="shared" ref="L504:L521" si="17">M504-K504</f>
        <v>11897.5</v>
      </c>
      <c r="M504" s="902">
        <v>15537.5</v>
      </c>
      <c r="N504" s="911">
        <v>9099.5</v>
      </c>
      <c r="O504" s="636">
        <v>0</v>
      </c>
      <c r="P504" s="646">
        <v>100</v>
      </c>
    </row>
    <row r="505" spans="1:16" ht="15.75" customHeight="1">
      <c r="A505" s="628" t="s">
        <v>2347</v>
      </c>
      <c r="B505" s="629">
        <v>45146</v>
      </c>
      <c r="C505" s="618" t="s">
        <v>1597</v>
      </c>
      <c r="D505" s="618" t="s">
        <v>1598</v>
      </c>
      <c r="E505" s="630">
        <v>5.9</v>
      </c>
      <c r="F505" s="628" t="s">
        <v>1599</v>
      </c>
      <c r="G505" s="628" t="s">
        <v>1600</v>
      </c>
      <c r="H505" s="628" t="s">
        <v>1844</v>
      </c>
      <c r="I505" s="628">
        <v>5727</v>
      </c>
      <c r="J505" s="631" t="s">
        <v>1599</v>
      </c>
      <c r="K505" s="633">
        <v>2100</v>
      </c>
      <c r="L505" s="643">
        <f t="shared" si="17"/>
        <v>4049.0200000000004</v>
      </c>
      <c r="M505" s="901">
        <v>6149.02</v>
      </c>
      <c r="N505" s="912">
        <v>2975.58</v>
      </c>
      <c r="O505" s="618">
        <v>0</v>
      </c>
      <c r="P505" s="644">
        <v>100</v>
      </c>
    </row>
    <row r="506" spans="1:16" ht="15.75" customHeight="1">
      <c r="A506" s="634" t="s">
        <v>2348</v>
      </c>
      <c r="B506" s="635">
        <v>45141</v>
      </c>
      <c r="C506" s="636" t="s">
        <v>1597</v>
      </c>
      <c r="D506" s="636" t="s">
        <v>1598</v>
      </c>
      <c r="E506" s="637">
        <v>7.1</v>
      </c>
      <c r="F506" s="634" t="s">
        <v>1599</v>
      </c>
      <c r="G506" s="634" t="s">
        <v>1600</v>
      </c>
      <c r="H506" s="634" t="s">
        <v>1850</v>
      </c>
      <c r="I506" s="634">
        <v>9687</v>
      </c>
      <c r="J506" s="638" t="s">
        <v>1599</v>
      </c>
      <c r="K506" s="640">
        <v>3700</v>
      </c>
      <c r="L506" s="645">
        <f t="shared" si="17"/>
        <v>19877.3</v>
      </c>
      <c r="M506" s="902">
        <v>23577.3</v>
      </c>
      <c r="N506" s="911">
        <v>18582.3</v>
      </c>
      <c r="O506" s="636">
        <v>0</v>
      </c>
      <c r="P506" s="646">
        <v>100</v>
      </c>
    </row>
    <row r="507" spans="1:16" ht="15.75" customHeight="1">
      <c r="A507" s="628" t="s">
        <v>2349</v>
      </c>
      <c r="B507" s="629">
        <v>45145</v>
      </c>
      <c r="C507" s="618" t="s">
        <v>1597</v>
      </c>
      <c r="D507" s="618" t="s">
        <v>1598</v>
      </c>
      <c r="E507" s="630">
        <v>11.7</v>
      </c>
      <c r="F507" s="628" t="s">
        <v>1599</v>
      </c>
      <c r="G507" s="628" t="s">
        <v>1600</v>
      </c>
      <c r="H507" s="628" t="s">
        <v>1798</v>
      </c>
      <c r="I507" s="628">
        <v>1931</v>
      </c>
      <c r="J507" s="631" t="s">
        <v>1599</v>
      </c>
      <c r="K507" s="633">
        <v>5473</v>
      </c>
      <c r="L507" s="643">
        <f t="shared" si="17"/>
        <v>1009</v>
      </c>
      <c r="M507" s="901">
        <v>6482</v>
      </c>
      <c r="N507" s="912">
        <v>5473</v>
      </c>
      <c r="O507" s="618">
        <v>0</v>
      </c>
      <c r="P507" s="644">
        <v>100</v>
      </c>
    </row>
    <row r="508" spans="1:16" ht="15.75" customHeight="1">
      <c r="A508" s="634" t="s">
        <v>2350</v>
      </c>
      <c r="B508" s="635">
        <v>45141</v>
      </c>
      <c r="C508" s="636" t="s">
        <v>1597</v>
      </c>
      <c r="D508" s="636" t="s">
        <v>1598</v>
      </c>
      <c r="E508" s="637">
        <v>7.1</v>
      </c>
      <c r="F508" s="634" t="s">
        <v>1599</v>
      </c>
      <c r="G508" s="634" t="s">
        <v>1600</v>
      </c>
      <c r="H508" s="634" t="s">
        <v>1886</v>
      </c>
      <c r="I508" s="634">
        <v>13877</v>
      </c>
      <c r="J508" s="638" t="s">
        <v>1599</v>
      </c>
      <c r="K508" s="640">
        <v>3840</v>
      </c>
      <c r="L508" s="645">
        <f t="shared" si="17"/>
        <v>19599.5</v>
      </c>
      <c r="M508" s="902">
        <v>23439.5</v>
      </c>
      <c r="N508" s="911">
        <v>15795</v>
      </c>
      <c r="O508" s="636">
        <v>0</v>
      </c>
      <c r="P508" s="646">
        <v>100</v>
      </c>
    </row>
    <row r="509" spans="1:16" ht="15.75" customHeight="1">
      <c r="A509" s="628" t="s">
        <v>2351</v>
      </c>
      <c r="B509" s="629">
        <v>45141</v>
      </c>
      <c r="C509" s="618" t="s">
        <v>1597</v>
      </c>
      <c r="D509" s="618" t="s">
        <v>1598</v>
      </c>
      <c r="E509" s="630">
        <v>7.1</v>
      </c>
      <c r="F509" s="628" t="s">
        <v>1599</v>
      </c>
      <c r="G509" s="628" t="s">
        <v>1600</v>
      </c>
      <c r="H509" s="628" t="s">
        <v>1886</v>
      </c>
      <c r="I509" s="628">
        <v>13877</v>
      </c>
      <c r="J509" s="631" t="s">
        <v>1599</v>
      </c>
      <c r="K509" s="633">
        <v>3840</v>
      </c>
      <c r="L509" s="643">
        <f t="shared" si="17"/>
        <v>10189.799999999999</v>
      </c>
      <c r="M509" s="901">
        <v>14029.8</v>
      </c>
      <c r="N509" s="912">
        <v>7660</v>
      </c>
      <c r="O509" s="618">
        <v>0</v>
      </c>
      <c r="P509" s="644">
        <v>100</v>
      </c>
    </row>
    <row r="510" spans="1:16" ht="15.75" customHeight="1">
      <c r="A510" s="634" t="s">
        <v>2352</v>
      </c>
      <c r="B510" s="635">
        <v>45145</v>
      </c>
      <c r="C510" s="636" t="s">
        <v>1597</v>
      </c>
      <c r="D510" s="636" t="s">
        <v>1598</v>
      </c>
      <c r="E510" s="637">
        <v>7.1</v>
      </c>
      <c r="F510" s="634" t="s">
        <v>1599</v>
      </c>
      <c r="G510" s="634" t="s">
        <v>1600</v>
      </c>
      <c r="H510" s="634" t="s">
        <v>1886</v>
      </c>
      <c r="I510" s="634">
        <v>13877</v>
      </c>
      <c r="J510" s="638" t="s">
        <v>1599</v>
      </c>
      <c r="K510" s="640">
        <v>3840</v>
      </c>
      <c r="L510" s="645">
        <f t="shared" si="17"/>
        <v>12014</v>
      </c>
      <c r="M510" s="902">
        <v>15854</v>
      </c>
      <c r="N510" s="911">
        <v>8988</v>
      </c>
      <c r="O510" s="636">
        <v>0</v>
      </c>
      <c r="P510" s="646">
        <v>100</v>
      </c>
    </row>
    <row r="511" spans="1:16" ht="15.75" customHeight="1">
      <c r="A511" s="628" t="s">
        <v>2353</v>
      </c>
      <c r="B511" s="629">
        <v>45141</v>
      </c>
      <c r="C511" s="618" t="s">
        <v>1597</v>
      </c>
      <c r="D511" s="618" t="s">
        <v>1598</v>
      </c>
      <c r="E511" s="630">
        <v>7.1</v>
      </c>
      <c r="F511" s="628" t="s">
        <v>1599</v>
      </c>
      <c r="G511" s="628" t="s">
        <v>1600</v>
      </c>
      <c r="H511" s="628" t="s">
        <v>1886</v>
      </c>
      <c r="I511" s="628">
        <v>13877</v>
      </c>
      <c r="J511" s="631" t="s">
        <v>1599</v>
      </c>
      <c r="K511" s="633">
        <v>3700</v>
      </c>
      <c r="L511" s="643">
        <f t="shared" si="17"/>
        <v>10726</v>
      </c>
      <c r="M511" s="901">
        <v>14426</v>
      </c>
      <c r="N511" s="912">
        <v>8196.2000000000007</v>
      </c>
      <c r="O511" s="618">
        <v>0</v>
      </c>
      <c r="P511" s="644">
        <v>100</v>
      </c>
    </row>
    <row r="512" spans="1:16" ht="15.75" customHeight="1">
      <c r="A512" s="634" t="s">
        <v>2354</v>
      </c>
      <c r="B512" s="635">
        <v>45148</v>
      </c>
      <c r="C512" s="636" t="s">
        <v>1597</v>
      </c>
      <c r="D512" s="636" t="s">
        <v>1598</v>
      </c>
      <c r="E512" s="637">
        <v>6.2</v>
      </c>
      <c r="F512" s="634" t="s">
        <v>1599</v>
      </c>
      <c r="G512" s="634" t="s">
        <v>1600</v>
      </c>
      <c r="H512" s="634" t="s">
        <v>1815</v>
      </c>
      <c r="I512" s="634">
        <v>17387</v>
      </c>
      <c r="J512" s="638" t="s">
        <v>1599</v>
      </c>
      <c r="K512" s="640">
        <v>3900</v>
      </c>
      <c r="L512" s="645">
        <f t="shared" si="17"/>
        <v>18010</v>
      </c>
      <c r="M512" s="902">
        <v>21910</v>
      </c>
      <c r="N512" s="911">
        <v>15567.88</v>
      </c>
      <c r="O512" s="636">
        <v>0</v>
      </c>
      <c r="P512" s="646">
        <v>100</v>
      </c>
    </row>
    <row r="513" spans="1:16" ht="15.75" customHeight="1">
      <c r="A513" s="628" t="s">
        <v>2355</v>
      </c>
      <c r="B513" s="629">
        <v>45148</v>
      </c>
      <c r="C513" s="618" t="s">
        <v>1597</v>
      </c>
      <c r="D513" s="618" t="s">
        <v>1598</v>
      </c>
      <c r="E513" s="630">
        <v>6.2</v>
      </c>
      <c r="F513" s="628" t="s">
        <v>1599</v>
      </c>
      <c r="G513" s="628" t="s">
        <v>1600</v>
      </c>
      <c r="H513" s="628" t="s">
        <v>1815</v>
      </c>
      <c r="I513" s="628">
        <v>17387</v>
      </c>
      <c r="J513" s="631" t="s">
        <v>1599</v>
      </c>
      <c r="K513" s="633">
        <v>3820</v>
      </c>
      <c r="L513" s="643">
        <f t="shared" si="17"/>
        <v>17754.88</v>
      </c>
      <c r="M513" s="901">
        <v>21574.880000000001</v>
      </c>
      <c r="N513" s="912">
        <v>15307.66</v>
      </c>
      <c r="O513" s="618">
        <v>0</v>
      </c>
      <c r="P513" s="644">
        <v>100</v>
      </c>
    </row>
    <row r="514" spans="1:16" ht="15.75" customHeight="1">
      <c r="A514" s="634" t="s">
        <v>2356</v>
      </c>
      <c r="B514" s="635">
        <v>45145</v>
      </c>
      <c r="C514" s="636" t="s">
        <v>1597</v>
      </c>
      <c r="D514" s="636" t="s">
        <v>1598</v>
      </c>
      <c r="E514" s="637">
        <v>6.5</v>
      </c>
      <c r="F514" s="634" t="s">
        <v>1599</v>
      </c>
      <c r="G514" s="634" t="s">
        <v>1600</v>
      </c>
      <c r="H514" s="634" t="s">
        <v>1825</v>
      </c>
      <c r="I514" s="634">
        <v>15486</v>
      </c>
      <c r="J514" s="638" t="s">
        <v>1599</v>
      </c>
      <c r="K514" s="640">
        <v>3630</v>
      </c>
      <c r="L514" s="645">
        <f t="shared" si="17"/>
        <v>8258.2000000000007</v>
      </c>
      <c r="M514" s="902">
        <v>11888.2</v>
      </c>
      <c r="N514" s="911">
        <v>6024.78</v>
      </c>
      <c r="O514" s="636">
        <v>0</v>
      </c>
      <c r="P514" s="646">
        <v>100</v>
      </c>
    </row>
    <row r="515" spans="1:16" ht="15.75" customHeight="1">
      <c r="A515" s="628" t="s">
        <v>2357</v>
      </c>
      <c r="B515" s="629">
        <v>45142</v>
      </c>
      <c r="C515" s="618" t="s">
        <v>1597</v>
      </c>
      <c r="D515" s="618" t="s">
        <v>1598</v>
      </c>
      <c r="E515" s="630">
        <v>7.1</v>
      </c>
      <c r="F515" s="628" t="s">
        <v>1599</v>
      </c>
      <c r="G515" s="628" t="s">
        <v>1600</v>
      </c>
      <c r="H515" s="628" t="s">
        <v>1844</v>
      </c>
      <c r="I515" s="628">
        <v>5727</v>
      </c>
      <c r="J515" s="631" t="s">
        <v>1599</v>
      </c>
      <c r="K515" s="633">
        <v>3740</v>
      </c>
      <c r="L515" s="643">
        <f t="shared" si="17"/>
        <v>14401.900000000001</v>
      </c>
      <c r="M515" s="901">
        <v>18141.900000000001</v>
      </c>
      <c r="N515" s="912">
        <v>12243.14</v>
      </c>
      <c r="O515" s="618">
        <v>0</v>
      </c>
      <c r="P515" s="644">
        <v>100</v>
      </c>
    </row>
    <row r="516" spans="1:16" ht="15.75" customHeight="1">
      <c r="A516" s="634" t="s">
        <v>2358</v>
      </c>
      <c r="B516" s="635">
        <v>45142</v>
      </c>
      <c r="C516" s="636" t="s">
        <v>1597</v>
      </c>
      <c r="D516" s="636" t="s">
        <v>1598</v>
      </c>
      <c r="E516" s="637">
        <v>7.1</v>
      </c>
      <c r="F516" s="634" t="s">
        <v>1599</v>
      </c>
      <c r="G516" s="634" t="s">
        <v>1600</v>
      </c>
      <c r="H516" s="634" t="s">
        <v>1846</v>
      </c>
      <c r="I516" s="634">
        <v>5317</v>
      </c>
      <c r="J516" s="638" t="s">
        <v>1599</v>
      </c>
      <c r="K516" s="640">
        <v>2100</v>
      </c>
      <c r="L516" s="645">
        <f t="shared" si="17"/>
        <v>7020.25</v>
      </c>
      <c r="M516" s="902">
        <v>9120.25</v>
      </c>
      <c r="N516" s="911">
        <v>5987.81</v>
      </c>
      <c r="O516" s="636">
        <v>0</v>
      </c>
      <c r="P516" s="646">
        <v>100</v>
      </c>
    </row>
    <row r="517" spans="1:16" ht="15.75" customHeight="1">
      <c r="A517" s="628" t="s">
        <v>2359</v>
      </c>
      <c r="B517" s="629">
        <v>45142</v>
      </c>
      <c r="C517" s="618" t="s">
        <v>1597</v>
      </c>
      <c r="D517" s="618" t="s">
        <v>1598</v>
      </c>
      <c r="E517" s="630">
        <v>7.1</v>
      </c>
      <c r="F517" s="628" t="s">
        <v>1599</v>
      </c>
      <c r="G517" s="628" t="s">
        <v>1600</v>
      </c>
      <c r="H517" s="628" t="s">
        <v>1912</v>
      </c>
      <c r="I517" s="628">
        <v>4929</v>
      </c>
      <c r="J517" s="631" t="s">
        <v>1599</v>
      </c>
      <c r="K517" s="633">
        <v>2220</v>
      </c>
      <c r="L517" s="643">
        <f t="shared" si="17"/>
        <v>7920.85</v>
      </c>
      <c r="M517" s="901">
        <v>10140.85</v>
      </c>
      <c r="N517" s="912">
        <v>6749.28</v>
      </c>
      <c r="O517" s="618">
        <v>0</v>
      </c>
      <c r="P517" s="644">
        <v>100</v>
      </c>
    </row>
    <row r="518" spans="1:16" ht="15.75" customHeight="1">
      <c r="A518" s="634" t="s">
        <v>2360</v>
      </c>
      <c r="B518" s="635">
        <v>45142</v>
      </c>
      <c r="C518" s="636" t="s">
        <v>1597</v>
      </c>
      <c r="D518" s="636" t="s">
        <v>1598</v>
      </c>
      <c r="E518" s="637">
        <v>7.1</v>
      </c>
      <c r="F518" s="634" t="s">
        <v>1599</v>
      </c>
      <c r="G518" s="634" t="s">
        <v>1600</v>
      </c>
      <c r="H518" s="634" t="s">
        <v>1912</v>
      </c>
      <c r="I518" s="634">
        <v>4929</v>
      </c>
      <c r="J518" s="638" t="s">
        <v>1599</v>
      </c>
      <c r="K518" s="640">
        <v>3640</v>
      </c>
      <c r="L518" s="645">
        <f t="shared" si="17"/>
        <v>14923.18</v>
      </c>
      <c r="M518" s="902">
        <v>18563.18</v>
      </c>
      <c r="N518" s="911">
        <v>13453.58</v>
      </c>
      <c r="O518" s="636">
        <v>0</v>
      </c>
      <c r="P518" s="646">
        <v>100</v>
      </c>
    </row>
    <row r="519" spans="1:16" ht="15.75" customHeight="1">
      <c r="A519" s="628" t="s">
        <v>2361</v>
      </c>
      <c r="B519" s="629">
        <v>45142</v>
      </c>
      <c r="C519" s="618" t="s">
        <v>1597</v>
      </c>
      <c r="D519" s="618" t="s">
        <v>1598</v>
      </c>
      <c r="E519" s="630">
        <v>7.1</v>
      </c>
      <c r="F519" s="628" t="s">
        <v>1599</v>
      </c>
      <c r="G519" s="628" t="s">
        <v>1600</v>
      </c>
      <c r="H519" s="628" t="s">
        <v>1912</v>
      </c>
      <c r="I519" s="628">
        <v>4929</v>
      </c>
      <c r="J519" s="631" t="s">
        <v>1599</v>
      </c>
      <c r="K519" s="633">
        <v>3620</v>
      </c>
      <c r="L519" s="643">
        <f t="shared" si="17"/>
        <v>12753.2</v>
      </c>
      <c r="M519" s="901">
        <v>16373.2</v>
      </c>
      <c r="N519" s="912">
        <v>10199.4</v>
      </c>
      <c r="O519" s="618">
        <v>0</v>
      </c>
      <c r="P519" s="644">
        <v>100</v>
      </c>
    </row>
    <row r="520" spans="1:16" ht="15.75" customHeight="1">
      <c r="A520" s="634" t="s">
        <v>2362</v>
      </c>
      <c r="B520" s="635">
        <v>45148</v>
      </c>
      <c r="C520" s="636" t="s">
        <v>1597</v>
      </c>
      <c r="D520" s="636" t="s">
        <v>1598</v>
      </c>
      <c r="E520" s="637">
        <v>6.2</v>
      </c>
      <c r="F520" s="634" t="s">
        <v>1599</v>
      </c>
      <c r="G520" s="634" t="s">
        <v>1600</v>
      </c>
      <c r="H520" s="634" t="s">
        <v>1809</v>
      </c>
      <c r="I520" s="634">
        <v>15168</v>
      </c>
      <c r="J520" s="638" t="s">
        <v>1599</v>
      </c>
      <c r="K520" s="640">
        <v>3860</v>
      </c>
      <c r="L520" s="645">
        <f t="shared" si="17"/>
        <v>19859.599999999999</v>
      </c>
      <c r="M520" s="902">
        <v>23719.599999999999</v>
      </c>
      <c r="N520" s="911">
        <v>16464</v>
      </c>
      <c r="O520" s="636">
        <v>0</v>
      </c>
      <c r="P520" s="646">
        <v>100</v>
      </c>
    </row>
    <row r="521" spans="1:16" ht="15.75" customHeight="1">
      <c r="A521" s="628" t="s">
        <v>2363</v>
      </c>
      <c r="B521" s="629">
        <v>45142</v>
      </c>
      <c r="C521" s="618" t="s">
        <v>1597</v>
      </c>
      <c r="D521" s="618" t="s">
        <v>1598</v>
      </c>
      <c r="E521" s="630">
        <v>6</v>
      </c>
      <c r="F521" s="628" t="s">
        <v>1599</v>
      </c>
      <c r="G521" s="628" t="s">
        <v>1600</v>
      </c>
      <c r="H521" s="628" t="s">
        <v>2003</v>
      </c>
      <c r="I521" s="628">
        <v>9292</v>
      </c>
      <c r="J521" s="631" t="s">
        <v>1599</v>
      </c>
      <c r="K521" s="633">
        <v>3850</v>
      </c>
      <c r="L521" s="643">
        <f t="shared" si="17"/>
        <v>11418</v>
      </c>
      <c r="M521" s="901">
        <v>15268</v>
      </c>
      <c r="N521" s="912">
        <v>7386</v>
      </c>
      <c r="O521" s="618">
        <v>0</v>
      </c>
      <c r="P521" s="644">
        <v>100</v>
      </c>
    </row>
    <row r="522" spans="1:16" ht="15.75" customHeight="1">
      <c r="A522" s="385" t="s">
        <v>2364</v>
      </c>
      <c r="B522" s="652">
        <v>45153</v>
      </c>
      <c r="C522" s="309" t="s">
        <v>1597</v>
      </c>
      <c r="D522" s="309"/>
      <c r="E522" s="655"/>
      <c r="F522" s="385"/>
      <c r="G522" s="385" t="s">
        <v>1600</v>
      </c>
      <c r="H522" s="385" t="s">
        <v>1798</v>
      </c>
      <c r="I522" s="385">
        <v>1931</v>
      </c>
      <c r="J522" s="228"/>
      <c r="K522" s="656">
        <v>2755.4</v>
      </c>
      <c r="L522" s="657">
        <v>1278.2</v>
      </c>
      <c r="M522" s="903">
        <v>4033.6</v>
      </c>
      <c r="N522" s="915">
        <v>2755.4</v>
      </c>
      <c r="O522" s="309">
        <v>0</v>
      </c>
      <c r="P522" s="658">
        <v>100</v>
      </c>
    </row>
    <row r="523" spans="1:16" ht="15.75" customHeight="1">
      <c r="A523" s="628" t="s">
        <v>2365</v>
      </c>
      <c r="B523" s="629">
        <v>45146</v>
      </c>
      <c r="C523" s="618" t="s">
        <v>1597</v>
      </c>
      <c r="D523" s="618" t="s">
        <v>1598</v>
      </c>
      <c r="E523" s="630">
        <v>6.5</v>
      </c>
      <c r="F523" s="628" t="s">
        <v>1599</v>
      </c>
      <c r="G523" s="628" t="s">
        <v>1600</v>
      </c>
      <c r="H523" s="628" t="s">
        <v>1825</v>
      </c>
      <c r="I523" s="628">
        <v>15486</v>
      </c>
      <c r="J523" s="631" t="s">
        <v>1599</v>
      </c>
      <c r="K523" s="633">
        <v>3830</v>
      </c>
      <c r="L523" s="643">
        <f t="shared" ref="L523:L563" si="18">M523-K523</f>
        <v>11473</v>
      </c>
      <c r="M523" s="901">
        <v>15303</v>
      </c>
      <c r="N523" s="912">
        <v>8813</v>
      </c>
      <c r="O523" s="618">
        <v>0</v>
      </c>
      <c r="P523" s="644">
        <v>100</v>
      </c>
    </row>
    <row r="524" spans="1:16" ht="15.75" customHeight="1">
      <c r="A524" s="634" t="s">
        <v>2366</v>
      </c>
      <c r="B524" s="635">
        <v>45149</v>
      </c>
      <c r="C524" s="636" t="s">
        <v>1597</v>
      </c>
      <c r="D524" s="636" t="s">
        <v>1598</v>
      </c>
      <c r="E524" s="637">
        <v>4.0999999999999996</v>
      </c>
      <c r="F524" s="634" t="s">
        <v>1599</v>
      </c>
      <c r="G524" s="634" t="s">
        <v>1600</v>
      </c>
      <c r="H524" s="634" t="s">
        <v>1822</v>
      </c>
      <c r="I524" s="634">
        <v>13787</v>
      </c>
      <c r="J524" s="638" t="s">
        <v>1599</v>
      </c>
      <c r="K524" s="640">
        <v>3700</v>
      </c>
      <c r="L524" s="645">
        <f t="shared" si="18"/>
        <v>15336.5</v>
      </c>
      <c r="M524" s="902">
        <v>19036.5</v>
      </c>
      <c r="N524" s="911">
        <v>11672.5</v>
      </c>
      <c r="O524" s="636">
        <v>0</v>
      </c>
      <c r="P524" s="646">
        <v>100</v>
      </c>
    </row>
    <row r="525" spans="1:16" ht="15.75" customHeight="1">
      <c r="A525" s="628" t="s">
        <v>2367</v>
      </c>
      <c r="B525" s="629">
        <v>45149</v>
      </c>
      <c r="C525" s="618" t="s">
        <v>1597</v>
      </c>
      <c r="D525" s="618" t="s">
        <v>1598</v>
      </c>
      <c r="E525" s="630">
        <v>5.3</v>
      </c>
      <c r="F525" s="628" t="s">
        <v>1599</v>
      </c>
      <c r="G525" s="628" t="s">
        <v>1600</v>
      </c>
      <c r="H525" s="628" t="s">
        <v>1822</v>
      </c>
      <c r="I525" s="628">
        <v>13787</v>
      </c>
      <c r="J525" s="631" t="s">
        <v>1599</v>
      </c>
      <c r="K525" s="633">
        <v>3940</v>
      </c>
      <c r="L525" s="643">
        <f t="shared" si="18"/>
        <v>11815</v>
      </c>
      <c r="M525" s="901">
        <v>15755</v>
      </c>
      <c r="N525" s="912">
        <v>8813.7999999999993</v>
      </c>
      <c r="O525" s="618">
        <v>0</v>
      </c>
      <c r="P525" s="644">
        <v>100</v>
      </c>
    </row>
    <row r="526" spans="1:16" ht="15.75" customHeight="1">
      <c r="A526" s="634" t="s">
        <v>2368</v>
      </c>
      <c r="B526" s="635">
        <v>45153</v>
      </c>
      <c r="C526" s="636" t="s">
        <v>1597</v>
      </c>
      <c r="D526" s="636" t="s">
        <v>1598</v>
      </c>
      <c r="E526" s="637">
        <v>6.2</v>
      </c>
      <c r="F526" s="634" t="s">
        <v>1599</v>
      </c>
      <c r="G526" s="634" t="s">
        <v>1600</v>
      </c>
      <c r="H526" s="634" t="s">
        <v>1822</v>
      </c>
      <c r="I526" s="634">
        <v>13787</v>
      </c>
      <c r="J526" s="638" t="s">
        <v>1599</v>
      </c>
      <c r="K526" s="640">
        <v>3830</v>
      </c>
      <c r="L526" s="645">
        <f t="shared" si="18"/>
        <v>12993.5</v>
      </c>
      <c r="M526" s="902">
        <v>16823.5</v>
      </c>
      <c r="N526" s="911">
        <v>9861.5</v>
      </c>
      <c r="O526" s="636">
        <v>0</v>
      </c>
      <c r="P526" s="646">
        <v>100</v>
      </c>
    </row>
    <row r="527" spans="1:16" ht="15.75" customHeight="1">
      <c r="A527" s="628" t="s">
        <v>2369</v>
      </c>
      <c r="B527" s="629">
        <v>45152</v>
      </c>
      <c r="C527" s="618" t="s">
        <v>1597</v>
      </c>
      <c r="D527" s="618" t="s">
        <v>1598</v>
      </c>
      <c r="E527" s="630">
        <v>7.1</v>
      </c>
      <c r="F527" s="628" t="s">
        <v>1599</v>
      </c>
      <c r="G527" s="628" t="s">
        <v>1600</v>
      </c>
      <c r="H527" s="628" t="s">
        <v>1836</v>
      </c>
      <c r="I527" s="628">
        <v>14544</v>
      </c>
      <c r="J527" s="631" t="s">
        <v>1599</v>
      </c>
      <c r="K527" s="633">
        <v>3800</v>
      </c>
      <c r="L527" s="643">
        <f t="shared" si="18"/>
        <v>12772</v>
      </c>
      <c r="M527" s="901">
        <v>16572</v>
      </c>
      <c r="N527" s="912">
        <v>9822</v>
      </c>
      <c r="O527" s="618">
        <v>0</v>
      </c>
      <c r="P527" s="644">
        <v>100</v>
      </c>
    </row>
    <row r="528" spans="1:16" ht="15.75" customHeight="1">
      <c r="A528" s="634" t="s">
        <v>2370</v>
      </c>
      <c r="B528" s="635">
        <v>45155</v>
      </c>
      <c r="C528" s="636" t="s">
        <v>1597</v>
      </c>
      <c r="D528" s="636" t="s">
        <v>1598</v>
      </c>
      <c r="E528" s="637">
        <v>7.1</v>
      </c>
      <c r="F528" s="634" t="s">
        <v>1599</v>
      </c>
      <c r="G528" s="634" t="s">
        <v>1600</v>
      </c>
      <c r="H528" s="634" t="s">
        <v>1893</v>
      </c>
      <c r="I528" s="634">
        <v>2167</v>
      </c>
      <c r="J528" s="638" t="s">
        <v>1599</v>
      </c>
      <c r="K528" s="640">
        <v>2200</v>
      </c>
      <c r="L528" s="645">
        <f t="shared" si="18"/>
        <v>4378.8</v>
      </c>
      <c r="M528" s="902">
        <v>6578.8</v>
      </c>
      <c r="N528" s="911">
        <v>3275.6</v>
      </c>
      <c r="O528" s="636">
        <v>0</v>
      </c>
      <c r="P528" s="646">
        <v>100</v>
      </c>
    </row>
    <row r="529" spans="1:16" ht="15.75" customHeight="1">
      <c r="A529" s="628" t="s">
        <v>2371</v>
      </c>
      <c r="B529" s="629">
        <v>45148</v>
      </c>
      <c r="C529" s="618" t="s">
        <v>1597</v>
      </c>
      <c r="D529" s="618" t="s">
        <v>1598</v>
      </c>
      <c r="E529" s="630">
        <v>5.2</v>
      </c>
      <c r="F529" s="628" t="s">
        <v>1599</v>
      </c>
      <c r="G529" s="628" t="s">
        <v>1600</v>
      </c>
      <c r="H529" s="628" t="s">
        <v>1854</v>
      </c>
      <c r="I529" s="628">
        <v>8865</v>
      </c>
      <c r="J529" s="631" t="s">
        <v>1599</v>
      </c>
      <c r="K529" s="633">
        <v>2230</v>
      </c>
      <c r="L529" s="643">
        <f t="shared" si="18"/>
        <v>13782</v>
      </c>
      <c r="M529" s="901">
        <v>16012</v>
      </c>
      <c r="N529" s="912">
        <v>13720</v>
      </c>
      <c r="O529" s="618">
        <v>0</v>
      </c>
      <c r="P529" s="644">
        <v>100</v>
      </c>
    </row>
    <row r="530" spans="1:16" ht="15.75" customHeight="1">
      <c r="A530" s="634" t="s">
        <v>2372</v>
      </c>
      <c r="B530" s="635">
        <v>45148</v>
      </c>
      <c r="C530" s="636" t="s">
        <v>1597</v>
      </c>
      <c r="D530" s="636" t="s">
        <v>1598</v>
      </c>
      <c r="E530" s="637">
        <v>7.1</v>
      </c>
      <c r="F530" s="634" t="s">
        <v>1599</v>
      </c>
      <c r="G530" s="634" t="s">
        <v>1600</v>
      </c>
      <c r="H530" s="634" t="s">
        <v>1886</v>
      </c>
      <c r="I530" s="634">
        <v>13877</v>
      </c>
      <c r="J530" s="638" t="s">
        <v>1599</v>
      </c>
      <c r="K530" s="640">
        <v>3940</v>
      </c>
      <c r="L530" s="645">
        <f t="shared" si="18"/>
        <v>10189.799999999999</v>
      </c>
      <c r="M530" s="902">
        <v>14129.8</v>
      </c>
      <c r="N530" s="911">
        <v>7660</v>
      </c>
      <c r="O530" s="636">
        <v>0</v>
      </c>
      <c r="P530" s="646">
        <v>100</v>
      </c>
    </row>
    <row r="531" spans="1:16" ht="15.75" customHeight="1">
      <c r="A531" s="628" t="s">
        <v>2373</v>
      </c>
      <c r="B531" s="629">
        <v>45148</v>
      </c>
      <c r="C531" s="618" t="s">
        <v>1597</v>
      </c>
      <c r="D531" s="618" t="s">
        <v>1598</v>
      </c>
      <c r="E531" s="630">
        <v>7.1</v>
      </c>
      <c r="F531" s="628" t="s">
        <v>1599</v>
      </c>
      <c r="G531" s="628" t="s">
        <v>1600</v>
      </c>
      <c r="H531" s="628" t="s">
        <v>1886</v>
      </c>
      <c r="I531" s="628">
        <v>13877</v>
      </c>
      <c r="J531" s="631" t="s">
        <v>1599</v>
      </c>
      <c r="K531" s="633">
        <v>3890</v>
      </c>
      <c r="L531" s="643">
        <f t="shared" si="18"/>
        <v>19599.5</v>
      </c>
      <c r="M531" s="901">
        <v>23489.5</v>
      </c>
      <c r="N531" s="912">
        <v>15795</v>
      </c>
      <c r="O531" s="618">
        <v>0</v>
      </c>
      <c r="P531" s="644">
        <v>100</v>
      </c>
    </row>
    <row r="532" spans="1:16" ht="15.75" customHeight="1">
      <c r="A532" s="634" t="s">
        <v>2374</v>
      </c>
      <c r="B532" s="635">
        <v>45149</v>
      </c>
      <c r="C532" s="636" t="s">
        <v>1597</v>
      </c>
      <c r="D532" s="636" t="s">
        <v>1598</v>
      </c>
      <c r="E532" s="637">
        <v>7.1</v>
      </c>
      <c r="F532" s="634" t="s">
        <v>1599</v>
      </c>
      <c r="G532" s="634" t="s">
        <v>1600</v>
      </c>
      <c r="H532" s="634" t="s">
        <v>1886</v>
      </c>
      <c r="I532" s="634">
        <v>13877</v>
      </c>
      <c r="J532" s="638" t="s">
        <v>1599</v>
      </c>
      <c r="K532" s="640">
        <v>3700</v>
      </c>
      <c r="L532" s="645">
        <f t="shared" si="18"/>
        <v>19599.5</v>
      </c>
      <c r="M532" s="902">
        <v>23299.5</v>
      </c>
      <c r="N532" s="911">
        <v>15795</v>
      </c>
      <c r="O532" s="636">
        <v>0</v>
      </c>
      <c r="P532" s="646">
        <v>100</v>
      </c>
    </row>
    <row r="533" spans="1:16" ht="15.75" customHeight="1">
      <c r="A533" s="628" t="s">
        <v>2375</v>
      </c>
      <c r="B533" s="629">
        <v>45154</v>
      </c>
      <c r="C533" s="618" t="s">
        <v>1597</v>
      </c>
      <c r="D533" s="618" t="s">
        <v>1598</v>
      </c>
      <c r="E533" s="630">
        <v>6.2</v>
      </c>
      <c r="F533" s="628" t="s">
        <v>1599</v>
      </c>
      <c r="G533" s="628" t="s">
        <v>1600</v>
      </c>
      <c r="H533" s="628" t="s">
        <v>1815</v>
      </c>
      <c r="I533" s="628">
        <v>17387</v>
      </c>
      <c r="J533" s="631" t="s">
        <v>1599</v>
      </c>
      <c r="K533" s="633">
        <v>3900</v>
      </c>
      <c r="L533" s="643">
        <f t="shared" si="18"/>
        <v>18806.96</v>
      </c>
      <c r="M533" s="901">
        <v>22706.959999999999</v>
      </c>
      <c r="N533" s="912">
        <v>16282.82</v>
      </c>
      <c r="O533" s="618">
        <v>0</v>
      </c>
      <c r="P533" s="644">
        <v>100</v>
      </c>
    </row>
    <row r="534" spans="1:16" ht="15.75" customHeight="1">
      <c r="A534" s="634" t="s">
        <v>2376</v>
      </c>
      <c r="B534" s="635">
        <v>45154</v>
      </c>
      <c r="C534" s="636" t="s">
        <v>1597</v>
      </c>
      <c r="D534" s="636" t="s">
        <v>1598</v>
      </c>
      <c r="E534" s="637">
        <v>6.2</v>
      </c>
      <c r="F534" s="634" t="s">
        <v>1599</v>
      </c>
      <c r="G534" s="634" t="s">
        <v>1600</v>
      </c>
      <c r="H534" s="634" t="s">
        <v>1815</v>
      </c>
      <c r="I534" s="634">
        <v>17387</v>
      </c>
      <c r="J534" s="638" t="s">
        <v>1599</v>
      </c>
      <c r="K534" s="640">
        <v>3840</v>
      </c>
      <c r="L534" s="645">
        <f t="shared" si="18"/>
        <v>17825.64</v>
      </c>
      <c r="M534" s="902">
        <v>21665.64</v>
      </c>
      <c r="N534" s="911">
        <v>15529.02</v>
      </c>
      <c r="O534" s="636">
        <v>0</v>
      </c>
      <c r="P534" s="646">
        <v>100</v>
      </c>
    </row>
    <row r="535" spans="1:16" ht="15.75" customHeight="1">
      <c r="A535" s="628" t="s">
        <v>2377</v>
      </c>
      <c r="B535" s="629">
        <v>45154</v>
      </c>
      <c r="C535" s="618" t="s">
        <v>1597</v>
      </c>
      <c r="D535" s="618" t="s">
        <v>1598</v>
      </c>
      <c r="E535" s="630">
        <v>6.2</v>
      </c>
      <c r="F535" s="628" t="s">
        <v>1599</v>
      </c>
      <c r="G535" s="628" t="s">
        <v>1600</v>
      </c>
      <c r="H535" s="628" t="s">
        <v>1818</v>
      </c>
      <c r="I535" s="628">
        <v>14000</v>
      </c>
      <c r="J535" s="631" t="s">
        <v>1599</v>
      </c>
      <c r="K535" s="633">
        <v>3830</v>
      </c>
      <c r="L535" s="643">
        <f t="shared" si="18"/>
        <v>18355.759999999998</v>
      </c>
      <c r="M535" s="901">
        <v>22185.759999999998</v>
      </c>
      <c r="N535" s="912">
        <v>15867.7</v>
      </c>
      <c r="O535" s="618">
        <v>0</v>
      </c>
      <c r="P535" s="644">
        <v>100</v>
      </c>
    </row>
    <row r="536" spans="1:16" ht="15.75" customHeight="1">
      <c r="A536" s="634" t="s">
        <v>2378</v>
      </c>
      <c r="B536" s="635">
        <v>45154</v>
      </c>
      <c r="C536" s="636" t="s">
        <v>1597</v>
      </c>
      <c r="D536" s="636" t="s">
        <v>1598</v>
      </c>
      <c r="E536" s="637">
        <v>6.2</v>
      </c>
      <c r="F536" s="634" t="s">
        <v>1599</v>
      </c>
      <c r="G536" s="634" t="s">
        <v>1600</v>
      </c>
      <c r="H536" s="634" t="s">
        <v>1818</v>
      </c>
      <c r="I536" s="634">
        <v>14000</v>
      </c>
      <c r="J536" s="638" t="s">
        <v>1599</v>
      </c>
      <c r="K536" s="640">
        <v>3800</v>
      </c>
      <c r="L536" s="645">
        <f t="shared" si="18"/>
        <v>18029.169999999998</v>
      </c>
      <c r="M536" s="902">
        <v>21829.17</v>
      </c>
      <c r="N536" s="911">
        <v>15758.27</v>
      </c>
      <c r="O536" s="636">
        <v>0</v>
      </c>
      <c r="P536" s="646">
        <v>100</v>
      </c>
    </row>
    <row r="537" spans="1:16" ht="15.75" customHeight="1">
      <c r="A537" s="628" t="s">
        <v>2379</v>
      </c>
      <c r="B537" s="629">
        <v>45160</v>
      </c>
      <c r="C537" s="618" t="s">
        <v>1597</v>
      </c>
      <c r="D537" s="618" t="s">
        <v>1598</v>
      </c>
      <c r="E537" s="630">
        <v>6</v>
      </c>
      <c r="F537" s="628" t="s">
        <v>1599</v>
      </c>
      <c r="G537" s="628" t="s">
        <v>1600</v>
      </c>
      <c r="H537" s="628" t="s">
        <v>1838</v>
      </c>
      <c r="I537" s="628">
        <v>4972</v>
      </c>
      <c r="J537" s="631" t="s">
        <v>1599</v>
      </c>
      <c r="K537" s="633">
        <v>2180</v>
      </c>
      <c r="L537" s="643">
        <f t="shared" si="18"/>
        <v>5678.7</v>
      </c>
      <c r="M537" s="901">
        <v>7858.7</v>
      </c>
      <c r="N537" s="912">
        <v>4487.8</v>
      </c>
      <c r="O537" s="618">
        <v>0</v>
      </c>
      <c r="P537" s="644">
        <v>100</v>
      </c>
    </row>
    <row r="538" spans="1:16" ht="15.75" customHeight="1">
      <c r="A538" s="634" t="s">
        <v>2380</v>
      </c>
      <c r="B538" s="635">
        <v>45156</v>
      </c>
      <c r="C538" s="636" t="s">
        <v>1597</v>
      </c>
      <c r="D538" s="636" t="s">
        <v>1598</v>
      </c>
      <c r="E538" s="637">
        <v>5.2</v>
      </c>
      <c r="F538" s="634" t="s">
        <v>1599</v>
      </c>
      <c r="G538" s="634" t="s">
        <v>1600</v>
      </c>
      <c r="H538" s="634" t="s">
        <v>1854</v>
      </c>
      <c r="I538" s="634">
        <v>8865</v>
      </c>
      <c r="J538" s="638" t="s">
        <v>1599</v>
      </c>
      <c r="K538" s="640">
        <v>2200</v>
      </c>
      <c r="L538" s="645">
        <f t="shared" si="18"/>
        <v>10506</v>
      </c>
      <c r="M538" s="902">
        <v>12706</v>
      </c>
      <c r="N538" s="911">
        <v>9140</v>
      </c>
      <c r="O538" s="636">
        <v>0</v>
      </c>
      <c r="P538" s="646">
        <v>100</v>
      </c>
    </row>
    <row r="539" spans="1:16" ht="15.75" customHeight="1">
      <c r="A539" s="628" t="s">
        <v>2381</v>
      </c>
      <c r="B539" s="629">
        <v>45167</v>
      </c>
      <c r="C539" s="618" t="s">
        <v>1597</v>
      </c>
      <c r="D539" s="618" t="s">
        <v>1598</v>
      </c>
      <c r="E539" s="630">
        <v>7.1</v>
      </c>
      <c r="F539" s="628" t="s">
        <v>1599</v>
      </c>
      <c r="G539" s="628" t="s">
        <v>1600</v>
      </c>
      <c r="H539" s="628" t="s">
        <v>1841</v>
      </c>
      <c r="I539" s="628">
        <v>9486</v>
      </c>
      <c r="J539" s="631" t="s">
        <v>1599</v>
      </c>
      <c r="K539" s="633">
        <v>3860</v>
      </c>
      <c r="L539" s="643">
        <f t="shared" si="18"/>
        <v>23926.5</v>
      </c>
      <c r="M539" s="901">
        <v>27786.5</v>
      </c>
      <c r="N539" s="912">
        <v>19365.8</v>
      </c>
      <c r="O539" s="618">
        <v>0</v>
      </c>
      <c r="P539" s="644">
        <v>100</v>
      </c>
    </row>
    <row r="540" spans="1:16" ht="15.75" customHeight="1">
      <c r="A540" s="634" t="s">
        <v>2382</v>
      </c>
      <c r="B540" s="635">
        <v>45167</v>
      </c>
      <c r="C540" s="636" t="s">
        <v>1597</v>
      </c>
      <c r="D540" s="636" t="s">
        <v>1598</v>
      </c>
      <c r="E540" s="637">
        <v>7.1</v>
      </c>
      <c r="F540" s="634" t="s">
        <v>1599</v>
      </c>
      <c r="G540" s="634" t="s">
        <v>1600</v>
      </c>
      <c r="H540" s="634" t="s">
        <v>1841</v>
      </c>
      <c r="I540" s="634">
        <v>9486</v>
      </c>
      <c r="J540" s="638" t="s">
        <v>1599</v>
      </c>
      <c r="K540" s="640">
        <v>3830</v>
      </c>
      <c r="L540" s="645">
        <f t="shared" si="18"/>
        <v>17786</v>
      </c>
      <c r="M540" s="902">
        <v>21616</v>
      </c>
      <c r="N540" s="911">
        <v>13065</v>
      </c>
      <c r="O540" s="636">
        <v>0</v>
      </c>
      <c r="P540" s="646">
        <v>100</v>
      </c>
    </row>
    <row r="541" spans="1:16" ht="15.75" customHeight="1">
      <c r="A541" s="628" t="s">
        <v>2383</v>
      </c>
      <c r="B541" s="629">
        <v>45167</v>
      </c>
      <c r="C541" s="618" t="s">
        <v>1597</v>
      </c>
      <c r="D541" s="618" t="s">
        <v>1598</v>
      </c>
      <c r="E541" s="630">
        <v>7.1</v>
      </c>
      <c r="F541" s="628" t="s">
        <v>1599</v>
      </c>
      <c r="G541" s="628" t="s">
        <v>1600</v>
      </c>
      <c r="H541" s="628" t="s">
        <v>1841</v>
      </c>
      <c r="I541" s="628">
        <v>9486</v>
      </c>
      <c r="J541" s="631" t="s">
        <v>1599</v>
      </c>
      <c r="K541" s="633">
        <v>3890</v>
      </c>
      <c r="L541" s="643">
        <f t="shared" si="18"/>
        <v>14725</v>
      </c>
      <c r="M541" s="901">
        <v>18615</v>
      </c>
      <c r="N541" s="912">
        <v>14673</v>
      </c>
      <c r="O541" s="618">
        <v>0</v>
      </c>
      <c r="P541" s="644">
        <v>100</v>
      </c>
    </row>
    <row r="542" spans="1:16" ht="15.75" customHeight="1">
      <c r="A542" s="634" t="s">
        <v>2384</v>
      </c>
      <c r="B542" s="635">
        <v>45155</v>
      </c>
      <c r="C542" s="636" t="s">
        <v>1597</v>
      </c>
      <c r="D542" s="636" t="s">
        <v>1598</v>
      </c>
      <c r="E542" s="637">
        <v>7.1</v>
      </c>
      <c r="F542" s="634" t="s">
        <v>1599</v>
      </c>
      <c r="G542" s="634" t="s">
        <v>1600</v>
      </c>
      <c r="H542" s="634" t="s">
        <v>1886</v>
      </c>
      <c r="I542" s="634">
        <v>13877</v>
      </c>
      <c r="J542" s="638" t="s">
        <v>1599</v>
      </c>
      <c r="K542" s="640">
        <v>3840</v>
      </c>
      <c r="L542" s="645">
        <f t="shared" si="18"/>
        <v>12014</v>
      </c>
      <c r="M542" s="902">
        <v>15854</v>
      </c>
      <c r="N542" s="911">
        <v>8988</v>
      </c>
      <c r="O542" s="636">
        <v>0</v>
      </c>
      <c r="P542" s="646">
        <v>100</v>
      </c>
    </row>
    <row r="543" spans="1:16" ht="15.75" customHeight="1">
      <c r="A543" s="628" t="s">
        <v>2385</v>
      </c>
      <c r="B543" s="629">
        <v>45155</v>
      </c>
      <c r="C543" s="618" t="s">
        <v>1597</v>
      </c>
      <c r="D543" s="618" t="s">
        <v>1598</v>
      </c>
      <c r="E543" s="630">
        <v>7.1</v>
      </c>
      <c r="F543" s="628" t="s">
        <v>1599</v>
      </c>
      <c r="G543" s="628" t="s">
        <v>1600</v>
      </c>
      <c r="H543" s="628" t="s">
        <v>1886</v>
      </c>
      <c r="I543" s="628">
        <v>13877</v>
      </c>
      <c r="J543" s="631" t="s">
        <v>1599</v>
      </c>
      <c r="K543" s="633">
        <v>3810</v>
      </c>
      <c r="L543" s="643">
        <f t="shared" si="18"/>
        <v>10189.799999999999</v>
      </c>
      <c r="M543" s="901">
        <v>13999.8</v>
      </c>
      <c r="N543" s="912">
        <v>7660</v>
      </c>
      <c r="O543" s="618">
        <v>0</v>
      </c>
      <c r="P543" s="644">
        <v>100</v>
      </c>
    </row>
    <row r="544" spans="1:16" ht="15.75" customHeight="1">
      <c r="A544" s="634" t="s">
        <v>2386</v>
      </c>
      <c r="B544" s="635">
        <v>45155</v>
      </c>
      <c r="C544" s="636" t="s">
        <v>1597</v>
      </c>
      <c r="D544" s="636" t="s">
        <v>1598</v>
      </c>
      <c r="E544" s="637">
        <v>6.5</v>
      </c>
      <c r="F544" s="634" t="s">
        <v>1599</v>
      </c>
      <c r="G544" s="634" t="s">
        <v>1600</v>
      </c>
      <c r="H544" s="634" t="s">
        <v>1850</v>
      </c>
      <c r="I544" s="634">
        <v>9687</v>
      </c>
      <c r="J544" s="638" t="s">
        <v>1599</v>
      </c>
      <c r="K544" s="640">
        <v>3570</v>
      </c>
      <c r="L544" s="645">
        <f t="shared" si="18"/>
        <v>19720</v>
      </c>
      <c r="M544" s="902">
        <v>23290</v>
      </c>
      <c r="N544" s="911">
        <v>18462</v>
      </c>
      <c r="O544" s="636">
        <v>0</v>
      </c>
      <c r="P544" s="646">
        <v>100</v>
      </c>
    </row>
    <row r="545" spans="1:16" ht="15.75" customHeight="1">
      <c r="A545" s="628" t="s">
        <v>2387</v>
      </c>
      <c r="B545" s="629">
        <v>45159</v>
      </c>
      <c r="C545" s="618" t="s">
        <v>1597</v>
      </c>
      <c r="D545" s="618" t="s">
        <v>1598</v>
      </c>
      <c r="E545" s="630">
        <v>3.6</v>
      </c>
      <c r="F545" s="628" t="s">
        <v>1599</v>
      </c>
      <c r="G545" s="628" t="s">
        <v>1600</v>
      </c>
      <c r="H545" s="628" t="s">
        <v>1848</v>
      </c>
      <c r="I545" s="628">
        <v>3740</v>
      </c>
      <c r="J545" s="631" t="s">
        <v>1599</v>
      </c>
      <c r="K545" s="633">
        <v>3730</v>
      </c>
      <c r="L545" s="643">
        <f t="shared" si="18"/>
        <v>4944.6000000000004</v>
      </c>
      <c r="M545" s="901">
        <v>8674.6</v>
      </c>
      <c r="N545" s="912">
        <v>4585.6000000000004</v>
      </c>
      <c r="O545" s="618">
        <v>0</v>
      </c>
      <c r="P545" s="644">
        <v>100</v>
      </c>
    </row>
    <row r="546" spans="1:16" ht="15.75" customHeight="1">
      <c r="A546" s="634" t="s">
        <v>2388</v>
      </c>
      <c r="B546" s="635">
        <v>45162</v>
      </c>
      <c r="C546" s="636" t="s">
        <v>1597</v>
      </c>
      <c r="D546" s="636" t="s">
        <v>1598</v>
      </c>
      <c r="E546" s="637">
        <v>2.8</v>
      </c>
      <c r="F546" s="634" t="s">
        <v>1599</v>
      </c>
      <c r="G546" s="634" t="s">
        <v>1600</v>
      </c>
      <c r="H546" s="634" t="s">
        <v>1971</v>
      </c>
      <c r="I546" s="634">
        <v>4358</v>
      </c>
      <c r="J546" s="638" t="s">
        <v>1599</v>
      </c>
      <c r="K546" s="640">
        <v>2210</v>
      </c>
      <c r="L546" s="645">
        <f t="shared" si="18"/>
        <v>5383.35</v>
      </c>
      <c r="M546" s="902">
        <v>7593.35</v>
      </c>
      <c r="N546" s="911">
        <v>4255.3999999999996</v>
      </c>
      <c r="O546" s="636">
        <v>0</v>
      </c>
      <c r="P546" s="646">
        <v>100</v>
      </c>
    </row>
    <row r="547" spans="1:16" ht="15.75" customHeight="1">
      <c r="A547" s="628" t="s">
        <v>2389</v>
      </c>
      <c r="B547" s="629">
        <v>45161</v>
      </c>
      <c r="C547" s="618" t="s">
        <v>1597</v>
      </c>
      <c r="D547" s="618" t="s">
        <v>1598</v>
      </c>
      <c r="E547" s="630">
        <v>7.1</v>
      </c>
      <c r="F547" s="628" t="s">
        <v>1599</v>
      </c>
      <c r="G547" s="628" t="s">
        <v>1600</v>
      </c>
      <c r="H547" s="628" t="s">
        <v>1828</v>
      </c>
      <c r="I547" s="628">
        <v>7448</v>
      </c>
      <c r="J547" s="631" t="s">
        <v>1599</v>
      </c>
      <c r="K547" s="633">
        <v>3700</v>
      </c>
      <c r="L547" s="643">
        <f t="shared" si="18"/>
        <v>22477</v>
      </c>
      <c r="M547" s="901">
        <v>26177</v>
      </c>
      <c r="N547" s="912">
        <v>18512</v>
      </c>
      <c r="O547" s="618">
        <v>0</v>
      </c>
      <c r="P547" s="644">
        <v>100</v>
      </c>
    </row>
    <row r="548" spans="1:16" ht="15.75" customHeight="1">
      <c r="A548" s="634" t="s">
        <v>2390</v>
      </c>
      <c r="B548" s="635">
        <v>45161</v>
      </c>
      <c r="C548" s="636" t="s">
        <v>1597</v>
      </c>
      <c r="D548" s="636" t="s">
        <v>1598</v>
      </c>
      <c r="E548" s="637">
        <v>7.1</v>
      </c>
      <c r="F548" s="634" t="s">
        <v>1599</v>
      </c>
      <c r="G548" s="634" t="s">
        <v>1600</v>
      </c>
      <c r="H548" s="634" t="s">
        <v>1828</v>
      </c>
      <c r="I548" s="634">
        <v>7448</v>
      </c>
      <c r="J548" s="638" t="s">
        <v>1599</v>
      </c>
      <c r="K548" s="640">
        <v>3770</v>
      </c>
      <c r="L548" s="645">
        <f t="shared" si="18"/>
        <v>20702</v>
      </c>
      <c r="M548" s="902">
        <v>24472</v>
      </c>
      <c r="N548" s="911">
        <v>16560</v>
      </c>
      <c r="O548" s="636">
        <v>0</v>
      </c>
      <c r="P548" s="646">
        <v>100</v>
      </c>
    </row>
    <row r="549" spans="1:16" ht="15.75" customHeight="1">
      <c r="A549" s="628" t="s">
        <v>2391</v>
      </c>
      <c r="B549" s="629">
        <v>45161</v>
      </c>
      <c r="C549" s="618" t="s">
        <v>1597</v>
      </c>
      <c r="D549" s="618" t="s">
        <v>1598</v>
      </c>
      <c r="E549" s="630">
        <v>7.1</v>
      </c>
      <c r="F549" s="628" t="s">
        <v>1599</v>
      </c>
      <c r="G549" s="628" t="s">
        <v>1600</v>
      </c>
      <c r="H549" s="628" t="s">
        <v>1828</v>
      </c>
      <c r="I549" s="628">
        <v>7448</v>
      </c>
      <c r="J549" s="631" t="s">
        <v>1599</v>
      </c>
      <c r="K549" s="633">
        <v>3580</v>
      </c>
      <c r="L549" s="643">
        <f t="shared" si="18"/>
        <v>24127</v>
      </c>
      <c r="M549" s="901">
        <v>27707</v>
      </c>
      <c r="N549" s="912">
        <v>21730</v>
      </c>
      <c r="O549" s="618">
        <v>0</v>
      </c>
      <c r="P549" s="644">
        <v>100</v>
      </c>
    </row>
    <row r="550" spans="1:16" ht="15.75" customHeight="1">
      <c r="A550" s="634" t="s">
        <v>2392</v>
      </c>
      <c r="B550" s="635">
        <v>45161</v>
      </c>
      <c r="C550" s="636" t="s">
        <v>1597</v>
      </c>
      <c r="D550" s="636" t="s">
        <v>1598</v>
      </c>
      <c r="E550" s="637">
        <v>7.1</v>
      </c>
      <c r="F550" s="634" t="s">
        <v>1599</v>
      </c>
      <c r="G550" s="634" t="s">
        <v>1600</v>
      </c>
      <c r="H550" s="634" t="s">
        <v>1828</v>
      </c>
      <c r="I550" s="634">
        <v>7448</v>
      </c>
      <c r="J550" s="638" t="s">
        <v>1599</v>
      </c>
      <c r="K550" s="640">
        <v>3610</v>
      </c>
      <c r="L550" s="645">
        <f t="shared" si="18"/>
        <v>14226</v>
      </c>
      <c r="M550" s="902">
        <v>17836</v>
      </c>
      <c r="N550" s="911">
        <v>7277.9</v>
      </c>
      <c r="O550" s="636">
        <v>0</v>
      </c>
      <c r="P550" s="646">
        <v>100</v>
      </c>
    </row>
    <row r="551" spans="1:16" ht="15.75" customHeight="1">
      <c r="A551" s="628" t="s">
        <v>2393</v>
      </c>
      <c r="B551" s="629">
        <v>45166</v>
      </c>
      <c r="C551" s="618" t="s">
        <v>1597</v>
      </c>
      <c r="D551" s="618" t="s">
        <v>1598</v>
      </c>
      <c r="E551" s="630">
        <v>7.1</v>
      </c>
      <c r="F551" s="628" t="s">
        <v>1599</v>
      </c>
      <c r="G551" s="628" t="s">
        <v>1600</v>
      </c>
      <c r="H551" s="628" t="s">
        <v>1831</v>
      </c>
      <c r="I551" s="628">
        <v>7283</v>
      </c>
      <c r="J551" s="631" t="s">
        <v>1599</v>
      </c>
      <c r="K551" s="633">
        <v>3700</v>
      </c>
      <c r="L551" s="643">
        <f t="shared" si="18"/>
        <v>24062</v>
      </c>
      <c r="M551" s="901">
        <v>27762</v>
      </c>
      <c r="N551" s="912">
        <v>20162</v>
      </c>
      <c r="O551" s="618">
        <v>0</v>
      </c>
      <c r="P551" s="644">
        <v>100</v>
      </c>
    </row>
    <row r="552" spans="1:16" ht="15.75" customHeight="1">
      <c r="A552" s="634" t="s">
        <v>2394</v>
      </c>
      <c r="B552" s="635">
        <v>45166</v>
      </c>
      <c r="C552" s="636" t="s">
        <v>1597</v>
      </c>
      <c r="D552" s="636" t="s">
        <v>1598</v>
      </c>
      <c r="E552" s="637">
        <v>7.1</v>
      </c>
      <c r="F552" s="634" t="s">
        <v>1599</v>
      </c>
      <c r="G552" s="634" t="s">
        <v>1600</v>
      </c>
      <c r="H552" s="634" t="s">
        <v>1831</v>
      </c>
      <c r="I552" s="634">
        <v>7283</v>
      </c>
      <c r="J552" s="638" t="s">
        <v>1599</v>
      </c>
      <c r="K552" s="640">
        <v>2200</v>
      </c>
      <c r="L552" s="645">
        <f t="shared" si="18"/>
        <v>6427</v>
      </c>
      <c r="M552" s="902">
        <v>8627</v>
      </c>
      <c r="N552" s="911">
        <v>3697</v>
      </c>
      <c r="O552" s="636">
        <v>0</v>
      </c>
      <c r="P552" s="646">
        <v>100</v>
      </c>
    </row>
    <row r="553" spans="1:16" ht="15.75" customHeight="1">
      <c r="A553" s="628" t="s">
        <v>2395</v>
      </c>
      <c r="B553" s="629">
        <v>45161</v>
      </c>
      <c r="C553" s="618" t="s">
        <v>1597</v>
      </c>
      <c r="D553" s="618" t="s">
        <v>1598</v>
      </c>
      <c r="E553" s="630">
        <v>7.1</v>
      </c>
      <c r="F553" s="628" t="s">
        <v>1599</v>
      </c>
      <c r="G553" s="628" t="s">
        <v>1600</v>
      </c>
      <c r="H553" s="628" t="s">
        <v>1866</v>
      </c>
      <c r="I553" s="628">
        <v>2597</v>
      </c>
      <c r="J553" s="631" t="s">
        <v>1599</v>
      </c>
      <c r="K553" s="633">
        <v>2100</v>
      </c>
      <c r="L553" s="643">
        <f t="shared" si="18"/>
        <v>6818</v>
      </c>
      <c r="M553" s="901">
        <v>8918</v>
      </c>
      <c r="N553" s="912">
        <v>5613</v>
      </c>
      <c r="O553" s="618">
        <v>0</v>
      </c>
      <c r="P553" s="644">
        <v>100</v>
      </c>
    </row>
    <row r="554" spans="1:16" ht="15.75" customHeight="1">
      <c r="A554" s="634" t="s">
        <v>2396</v>
      </c>
      <c r="B554" s="635">
        <v>45163</v>
      </c>
      <c r="C554" s="636" t="s">
        <v>1597</v>
      </c>
      <c r="D554" s="636" t="s">
        <v>1598</v>
      </c>
      <c r="E554" s="637">
        <v>5.3</v>
      </c>
      <c r="F554" s="634" t="s">
        <v>1599</v>
      </c>
      <c r="G554" s="634" t="s">
        <v>1600</v>
      </c>
      <c r="H554" s="634" t="s">
        <v>1807</v>
      </c>
      <c r="I554" s="634">
        <v>1734</v>
      </c>
      <c r="J554" s="638" t="s">
        <v>1599</v>
      </c>
      <c r="K554" s="640">
        <v>3640</v>
      </c>
      <c r="L554" s="645">
        <f t="shared" si="18"/>
        <v>12860.2</v>
      </c>
      <c r="M554" s="902">
        <v>16500.2</v>
      </c>
      <c r="N554" s="911">
        <v>10106.6</v>
      </c>
      <c r="O554" s="636">
        <v>0</v>
      </c>
      <c r="P554" s="646">
        <v>100</v>
      </c>
    </row>
    <row r="555" spans="1:16" ht="15.75" customHeight="1">
      <c r="A555" s="628" t="s">
        <v>2397</v>
      </c>
      <c r="B555" s="629">
        <v>45162</v>
      </c>
      <c r="C555" s="618" t="s">
        <v>1597</v>
      </c>
      <c r="D555" s="618" t="s">
        <v>1598</v>
      </c>
      <c r="E555" s="630">
        <v>5.2</v>
      </c>
      <c r="F555" s="628" t="s">
        <v>1599</v>
      </c>
      <c r="G555" s="628" t="s">
        <v>1600</v>
      </c>
      <c r="H555" s="628" t="s">
        <v>1880</v>
      </c>
      <c r="I555" s="628">
        <v>13558</v>
      </c>
      <c r="J555" s="631" t="s">
        <v>1599</v>
      </c>
      <c r="K555" s="633">
        <v>3760</v>
      </c>
      <c r="L555" s="643">
        <f t="shared" si="18"/>
        <v>10948.4</v>
      </c>
      <c r="M555" s="901">
        <v>14708.4</v>
      </c>
      <c r="N555" s="912">
        <v>7650.4</v>
      </c>
      <c r="O555" s="618">
        <v>0</v>
      </c>
      <c r="P555" s="644">
        <v>100</v>
      </c>
    </row>
    <row r="556" spans="1:16" ht="15.75" customHeight="1">
      <c r="A556" s="634" t="s">
        <v>2398</v>
      </c>
      <c r="B556" s="635">
        <v>45156</v>
      </c>
      <c r="C556" s="636" t="s">
        <v>1597</v>
      </c>
      <c r="D556" s="636" t="s">
        <v>1598</v>
      </c>
      <c r="E556" s="637">
        <v>7.1</v>
      </c>
      <c r="F556" s="634" t="s">
        <v>1599</v>
      </c>
      <c r="G556" s="634" t="s">
        <v>1600</v>
      </c>
      <c r="H556" s="634" t="s">
        <v>1893</v>
      </c>
      <c r="I556" s="634">
        <v>2167</v>
      </c>
      <c r="J556" s="638" t="s">
        <v>1599</v>
      </c>
      <c r="K556" s="640">
        <v>2180</v>
      </c>
      <c r="L556" s="645">
        <f t="shared" si="18"/>
        <v>4398.66</v>
      </c>
      <c r="M556" s="902">
        <v>6578.66</v>
      </c>
      <c r="N556" s="911">
        <v>3294.44</v>
      </c>
      <c r="O556" s="636">
        <v>0</v>
      </c>
      <c r="P556" s="646">
        <v>100</v>
      </c>
    </row>
    <row r="557" spans="1:16" ht="15.75" customHeight="1">
      <c r="A557" s="628" t="s">
        <v>2399</v>
      </c>
      <c r="B557" s="629">
        <v>45161</v>
      </c>
      <c r="C557" s="618" t="s">
        <v>1597</v>
      </c>
      <c r="D557" s="618" t="s">
        <v>1598</v>
      </c>
      <c r="E557" s="630">
        <v>11.7</v>
      </c>
      <c r="F557" s="628" t="s">
        <v>1599</v>
      </c>
      <c r="G557" s="628" t="s">
        <v>1600</v>
      </c>
      <c r="H557" s="628" t="s">
        <v>1818</v>
      </c>
      <c r="I557" s="628">
        <v>14000</v>
      </c>
      <c r="J557" s="631" t="s">
        <v>1599</v>
      </c>
      <c r="K557" s="633">
        <v>3720</v>
      </c>
      <c r="L557" s="643">
        <f t="shared" si="18"/>
        <v>17528.919999999998</v>
      </c>
      <c r="M557" s="901">
        <v>21248.92</v>
      </c>
      <c r="N557" s="912">
        <v>15277.46</v>
      </c>
      <c r="O557" s="618">
        <v>0</v>
      </c>
      <c r="P557" s="644">
        <v>100</v>
      </c>
    </row>
    <row r="558" spans="1:16" ht="15.75" customHeight="1">
      <c r="A558" s="634" t="s">
        <v>2400</v>
      </c>
      <c r="B558" s="635">
        <v>45162</v>
      </c>
      <c r="C558" s="636" t="s">
        <v>1597</v>
      </c>
      <c r="D558" s="636" t="s">
        <v>1598</v>
      </c>
      <c r="E558" s="637">
        <v>6.5</v>
      </c>
      <c r="F558" s="634" t="s">
        <v>1599</v>
      </c>
      <c r="G558" s="634" t="s">
        <v>1600</v>
      </c>
      <c r="H558" s="634" t="s">
        <v>1822</v>
      </c>
      <c r="I558" s="634">
        <v>13787</v>
      </c>
      <c r="J558" s="638" t="s">
        <v>1599</v>
      </c>
      <c r="K558" s="640">
        <v>3880</v>
      </c>
      <c r="L558" s="645">
        <f t="shared" si="18"/>
        <v>18966</v>
      </c>
      <c r="M558" s="902">
        <v>22846</v>
      </c>
      <c r="N558" s="911">
        <v>15477</v>
      </c>
      <c r="O558" s="636">
        <v>0</v>
      </c>
      <c r="P558" s="646">
        <v>100</v>
      </c>
    </row>
    <row r="559" spans="1:16" ht="15.75" customHeight="1">
      <c r="A559" s="628" t="s">
        <v>2401</v>
      </c>
      <c r="B559" s="629">
        <v>45159</v>
      </c>
      <c r="C559" s="618" t="s">
        <v>1597</v>
      </c>
      <c r="D559" s="618" t="s">
        <v>1598</v>
      </c>
      <c r="E559" s="630">
        <v>7.1</v>
      </c>
      <c r="F559" s="628" t="s">
        <v>1599</v>
      </c>
      <c r="G559" s="628" t="s">
        <v>1600</v>
      </c>
      <c r="H559" s="628" t="s">
        <v>1880</v>
      </c>
      <c r="I559" s="628">
        <v>13558</v>
      </c>
      <c r="J559" s="631" t="s">
        <v>1599</v>
      </c>
      <c r="K559" s="633">
        <v>3830</v>
      </c>
      <c r="L559" s="643">
        <f t="shared" si="18"/>
        <v>18461</v>
      </c>
      <c r="M559" s="901">
        <v>22291</v>
      </c>
      <c r="N559" s="912">
        <v>15081</v>
      </c>
      <c r="O559" s="618">
        <v>0</v>
      </c>
      <c r="P559" s="644">
        <v>100</v>
      </c>
    </row>
    <row r="560" spans="1:16" ht="15.75" customHeight="1">
      <c r="A560" s="634" t="s">
        <v>2402</v>
      </c>
      <c r="B560" s="635">
        <v>45161</v>
      </c>
      <c r="C560" s="636" t="s">
        <v>1597</v>
      </c>
      <c r="D560" s="636" t="s">
        <v>1598</v>
      </c>
      <c r="E560" s="637">
        <v>6.2</v>
      </c>
      <c r="F560" s="634" t="s">
        <v>1599</v>
      </c>
      <c r="G560" s="634" t="s">
        <v>1600</v>
      </c>
      <c r="H560" s="634" t="s">
        <v>1884</v>
      </c>
      <c r="I560" s="634">
        <v>13413</v>
      </c>
      <c r="J560" s="638" t="s">
        <v>1599</v>
      </c>
      <c r="K560" s="640">
        <v>3870</v>
      </c>
      <c r="L560" s="645">
        <f t="shared" si="18"/>
        <v>15503</v>
      </c>
      <c r="M560" s="902">
        <v>19373</v>
      </c>
      <c r="N560" s="911">
        <v>15501</v>
      </c>
      <c r="O560" s="636">
        <v>0</v>
      </c>
      <c r="P560" s="646">
        <v>100</v>
      </c>
    </row>
    <row r="561" spans="1:16" ht="15.75" customHeight="1">
      <c r="A561" s="628" t="s">
        <v>2403</v>
      </c>
      <c r="B561" s="629">
        <v>45166</v>
      </c>
      <c r="C561" s="618" t="s">
        <v>1597</v>
      </c>
      <c r="D561" s="618" t="s">
        <v>1598</v>
      </c>
      <c r="E561" s="630">
        <v>5.2</v>
      </c>
      <c r="F561" s="628" t="s">
        <v>1599</v>
      </c>
      <c r="G561" s="628" t="s">
        <v>1600</v>
      </c>
      <c r="H561" s="628" t="s">
        <v>1893</v>
      </c>
      <c r="I561" s="628">
        <v>2167</v>
      </c>
      <c r="J561" s="631" t="s">
        <v>1599</v>
      </c>
      <c r="K561" s="633">
        <v>2190</v>
      </c>
      <c r="L561" s="643">
        <f t="shared" si="18"/>
        <v>4133.5</v>
      </c>
      <c r="M561" s="901">
        <v>6323.5</v>
      </c>
      <c r="N561" s="912">
        <v>2706.5</v>
      </c>
      <c r="O561" s="618">
        <v>0</v>
      </c>
      <c r="P561" s="644">
        <v>100</v>
      </c>
    </row>
    <row r="562" spans="1:16" ht="15.75" customHeight="1">
      <c r="A562" s="634" t="s">
        <v>2404</v>
      </c>
      <c r="B562" s="635">
        <v>45162</v>
      </c>
      <c r="C562" s="636" t="s">
        <v>1597</v>
      </c>
      <c r="D562" s="636" t="s">
        <v>1598</v>
      </c>
      <c r="E562" s="637">
        <v>6.2</v>
      </c>
      <c r="F562" s="634" t="s">
        <v>1599</v>
      </c>
      <c r="G562" s="634" t="s">
        <v>1600</v>
      </c>
      <c r="H562" s="634" t="s">
        <v>1880</v>
      </c>
      <c r="I562" s="634">
        <v>13558</v>
      </c>
      <c r="J562" s="638" t="s">
        <v>1599</v>
      </c>
      <c r="K562" s="640">
        <v>3900</v>
      </c>
      <c r="L562" s="645">
        <f t="shared" si="18"/>
        <v>13939</v>
      </c>
      <c r="M562" s="902">
        <v>17839</v>
      </c>
      <c r="N562" s="911">
        <v>10930.5</v>
      </c>
      <c r="O562" s="636">
        <v>0</v>
      </c>
      <c r="P562" s="646">
        <v>100</v>
      </c>
    </row>
    <row r="563" spans="1:16" ht="15.75" customHeight="1">
      <c r="A563" s="628" t="s">
        <v>2405</v>
      </c>
      <c r="B563" s="629">
        <v>45166</v>
      </c>
      <c r="C563" s="618" t="s">
        <v>1597</v>
      </c>
      <c r="D563" s="618" t="s">
        <v>1598</v>
      </c>
      <c r="E563" s="630">
        <v>7.1</v>
      </c>
      <c r="F563" s="628" t="s">
        <v>1599</v>
      </c>
      <c r="G563" s="628" t="s">
        <v>1600</v>
      </c>
      <c r="H563" s="628" t="s">
        <v>1836</v>
      </c>
      <c r="I563" s="628">
        <v>14544</v>
      </c>
      <c r="J563" s="631" t="s">
        <v>1599</v>
      </c>
      <c r="K563" s="633">
        <v>3800</v>
      </c>
      <c r="L563" s="643">
        <f t="shared" si="18"/>
        <v>12515</v>
      </c>
      <c r="M563" s="901">
        <v>16315</v>
      </c>
      <c r="N563" s="912">
        <v>9835</v>
      </c>
      <c r="O563" s="618">
        <v>0</v>
      </c>
      <c r="P563" s="644">
        <v>100</v>
      </c>
    </row>
    <row r="564" spans="1:16" ht="15.75" customHeight="1">
      <c r="A564" s="634" t="s">
        <v>2406</v>
      </c>
      <c r="B564" s="635">
        <v>45167</v>
      </c>
      <c r="C564" s="620" t="s">
        <v>1597</v>
      </c>
      <c r="D564" s="620" t="s">
        <v>1598</v>
      </c>
      <c r="E564" s="622">
        <v>7.1</v>
      </c>
      <c r="F564" s="620" t="s">
        <v>1599</v>
      </c>
      <c r="G564" s="620" t="s">
        <v>1600</v>
      </c>
      <c r="H564" s="634" t="s">
        <v>1798</v>
      </c>
      <c r="I564" s="634">
        <v>1931</v>
      </c>
      <c r="J564" s="625" t="s">
        <v>1599</v>
      </c>
      <c r="K564" s="626">
        <v>5096.93</v>
      </c>
      <c r="L564" s="659">
        <v>1292.72</v>
      </c>
      <c r="M564" s="900">
        <v>6389.65</v>
      </c>
      <c r="N564" s="911">
        <v>5096.93</v>
      </c>
      <c r="O564" s="636">
        <v>0</v>
      </c>
      <c r="P564" s="646">
        <v>100</v>
      </c>
    </row>
    <row r="565" spans="1:16" ht="15.75" customHeight="1">
      <c r="A565" s="628" t="s">
        <v>2407</v>
      </c>
      <c r="B565" s="629">
        <v>45166</v>
      </c>
      <c r="C565" s="618" t="s">
        <v>1597</v>
      </c>
      <c r="D565" s="618" t="s">
        <v>1598</v>
      </c>
      <c r="E565" s="630">
        <v>6.5</v>
      </c>
      <c r="F565" s="628" t="s">
        <v>1599</v>
      </c>
      <c r="G565" s="628" t="s">
        <v>1600</v>
      </c>
      <c r="H565" s="628" t="s">
        <v>1884</v>
      </c>
      <c r="I565" s="628">
        <v>13413</v>
      </c>
      <c r="J565" s="631" t="s">
        <v>1599</v>
      </c>
      <c r="K565" s="633">
        <v>3810</v>
      </c>
      <c r="L565" s="643">
        <f t="shared" ref="L565:L591" si="19">M565-K565</f>
        <v>14794.099999999999</v>
      </c>
      <c r="M565" s="901">
        <v>18604.099999999999</v>
      </c>
      <c r="N565" s="912">
        <v>12135.55</v>
      </c>
      <c r="O565" s="618">
        <v>0</v>
      </c>
      <c r="P565" s="644">
        <v>100</v>
      </c>
    </row>
    <row r="566" spans="1:16" ht="15.75" customHeight="1">
      <c r="A566" s="634" t="s">
        <v>2408</v>
      </c>
      <c r="B566" s="635">
        <v>45167</v>
      </c>
      <c r="C566" s="636" t="s">
        <v>1597</v>
      </c>
      <c r="D566" s="636" t="s">
        <v>1598</v>
      </c>
      <c r="E566" s="637">
        <v>5.2</v>
      </c>
      <c r="F566" s="634" t="s">
        <v>1599</v>
      </c>
      <c r="G566" s="634" t="s">
        <v>1600</v>
      </c>
      <c r="H566" s="634" t="s">
        <v>1880</v>
      </c>
      <c r="I566" s="634">
        <v>13558</v>
      </c>
      <c r="J566" s="638" t="s">
        <v>1599</v>
      </c>
      <c r="K566" s="640">
        <v>3890</v>
      </c>
      <c r="L566" s="645">
        <f t="shared" si="19"/>
        <v>9714.5</v>
      </c>
      <c r="M566" s="902">
        <v>13604.5</v>
      </c>
      <c r="N566" s="911">
        <v>6937.5</v>
      </c>
      <c r="O566" s="636">
        <v>0</v>
      </c>
      <c r="P566" s="646">
        <v>100</v>
      </c>
    </row>
    <row r="567" spans="1:16" ht="15.75" customHeight="1">
      <c r="A567" s="628" t="s">
        <v>2409</v>
      </c>
      <c r="B567" s="629">
        <v>45168</v>
      </c>
      <c r="C567" s="618" t="s">
        <v>1597</v>
      </c>
      <c r="D567" s="618" t="s">
        <v>1598</v>
      </c>
      <c r="E567" s="630">
        <v>6.2</v>
      </c>
      <c r="F567" s="628" t="s">
        <v>1599</v>
      </c>
      <c r="G567" s="628" t="s">
        <v>1600</v>
      </c>
      <c r="H567" s="628" t="s">
        <v>1836</v>
      </c>
      <c r="I567" s="628">
        <v>14544</v>
      </c>
      <c r="J567" s="631" t="s">
        <v>1599</v>
      </c>
      <c r="K567" s="633">
        <v>3890</v>
      </c>
      <c r="L567" s="643">
        <f t="shared" si="19"/>
        <v>9714.5</v>
      </c>
      <c r="M567" s="901">
        <v>13604.5</v>
      </c>
      <c r="N567" s="912">
        <v>6937.5</v>
      </c>
      <c r="O567" s="618">
        <v>0</v>
      </c>
      <c r="P567" s="644">
        <v>100</v>
      </c>
    </row>
    <row r="568" spans="1:16" ht="15.75" customHeight="1">
      <c r="A568" s="634" t="s">
        <v>2410</v>
      </c>
      <c r="B568" s="635">
        <v>45166</v>
      </c>
      <c r="C568" s="636" t="s">
        <v>1597</v>
      </c>
      <c r="D568" s="636" t="s">
        <v>1598</v>
      </c>
      <c r="E568" s="637">
        <v>6.5</v>
      </c>
      <c r="F568" s="634" t="s">
        <v>1599</v>
      </c>
      <c r="G568" s="634" t="s">
        <v>1600</v>
      </c>
      <c r="H568" s="634" t="s">
        <v>1886</v>
      </c>
      <c r="I568" s="634">
        <v>13877</v>
      </c>
      <c r="J568" s="638" t="s">
        <v>1599</v>
      </c>
      <c r="K568" s="640">
        <v>3900</v>
      </c>
      <c r="L568" s="645">
        <f t="shared" si="19"/>
        <v>12014</v>
      </c>
      <c r="M568" s="902">
        <v>15914</v>
      </c>
      <c r="N568" s="911">
        <v>8988</v>
      </c>
      <c r="O568" s="636">
        <v>0</v>
      </c>
      <c r="P568" s="646">
        <v>100</v>
      </c>
    </row>
    <row r="569" spans="1:16" ht="15.75" customHeight="1">
      <c r="A569" s="628" t="s">
        <v>2411</v>
      </c>
      <c r="B569" s="629">
        <v>45166</v>
      </c>
      <c r="C569" s="618" t="s">
        <v>1597</v>
      </c>
      <c r="D569" s="618" t="s">
        <v>1598</v>
      </c>
      <c r="E569" s="630">
        <v>6.5</v>
      </c>
      <c r="F569" s="628" t="s">
        <v>1599</v>
      </c>
      <c r="G569" s="628" t="s">
        <v>1600</v>
      </c>
      <c r="H569" s="628" t="s">
        <v>1886</v>
      </c>
      <c r="I569" s="628">
        <v>13877</v>
      </c>
      <c r="J569" s="631" t="s">
        <v>1599</v>
      </c>
      <c r="K569" s="633">
        <v>3830</v>
      </c>
      <c r="L569" s="643">
        <f t="shared" si="19"/>
        <v>10189.799999999999</v>
      </c>
      <c r="M569" s="901">
        <v>14019.8</v>
      </c>
      <c r="N569" s="912">
        <v>7660</v>
      </c>
      <c r="O569" s="618">
        <v>0</v>
      </c>
      <c r="P569" s="644">
        <v>100</v>
      </c>
    </row>
    <row r="570" spans="1:16" ht="15.75" customHeight="1">
      <c r="A570" s="634" t="s">
        <v>2412</v>
      </c>
      <c r="B570" s="635">
        <v>45166</v>
      </c>
      <c r="C570" s="636" t="s">
        <v>1597</v>
      </c>
      <c r="D570" s="636" t="s">
        <v>1598</v>
      </c>
      <c r="E570" s="637">
        <v>6.5</v>
      </c>
      <c r="F570" s="634" t="s">
        <v>1599</v>
      </c>
      <c r="G570" s="634" t="s">
        <v>1600</v>
      </c>
      <c r="H570" s="634" t="s">
        <v>1886</v>
      </c>
      <c r="I570" s="634">
        <v>13877</v>
      </c>
      <c r="J570" s="638" t="s">
        <v>1599</v>
      </c>
      <c r="K570" s="640">
        <v>3830</v>
      </c>
      <c r="L570" s="645">
        <f t="shared" si="19"/>
        <v>12014</v>
      </c>
      <c r="M570" s="902">
        <v>15844</v>
      </c>
      <c r="N570" s="911">
        <v>8988</v>
      </c>
      <c r="O570" s="636">
        <v>0</v>
      </c>
      <c r="P570" s="646">
        <v>100</v>
      </c>
    </row>
    <row r="571" spans="1:16" ht="15.75" customHeight="1">
      <c r="A571" s="628" t="s">
        <v>2413</v>
      </c>
      <c r="B571" s="629">
        <v>45166</v>
      </c>
      <c r="C571" s="618" t="s">
        <v>1597</v>
      </c>
      <c r="D571" s="618" t="s">
        <v>1598</v>
      </c>
      <c r="E571" s="630">
        <v>6.5</v>
      </c>
      <c r="F571" s="628" t="s">
        <v>1599</v>
      </c>
      <c r="G571" s="628" t="s">
        <v>1600</v>
      </c>
      <c r="H571" s="628" t="s">
        <v>1886</v>
      </c>
      <c r="I571" s="628">
        <v>13877</v>
      </c>
      <c r="J571" s="631" t="s">
        <v>1599</v>
      </c>
      <c r="K571" s="633">
        <v>3810</v>
      </c>
      <c r="L571" s="643">
        <f t="shared" si="19"/>
        <v>9774.2000000000007</v>
      </c>
      <c r="M571" s="901">
        <v>13584.2</v>
      </c>
      <c r="N571" s="912">
        <v>6917.4</v>
      </c>
      <c r="O571" s="618">
        <v>0</v>
      </c>
      <c r="P571" s="644">
        <v>100</v>
      </c>
    </row>
    <row r="572" spans="1:16" ht="15.75" customHeight="1">
      <c r="A572" s="634" t="s">
        <v>2414</v>
      </c>
      <c r="B572" s="635">
        <v>45166</v>
      </c>
      <c r="C572" s="636" t="s">
        <v>1597</v>
      </c>
      <c r="D572" s="636" t="s">
        <v>1598</v>
      </c>
      <c r="E572" s="637">
        <v>6.5</v>
      </c>
      <c r="F572" s="634" t="s">
        <v>1599</v>
      </c>
      <c r="G572" s="634" t="s">
        <v>1600</v>
      </c>
      <c r="H572" s="634" t="s">
        <v>1886</v>
      </c>
      <c r="I572" s="634">
        <v>13877</v>
      </c>
      <c r="J572" s="638" t="s">
        <v>1599</v>
      </c>
      <c r="K572" s="640">
        <v>3840</v>
      </c>
      <c r="L572" s="645">
        <f t="shared" si="19"/>
        <v>12014</v>
      </c>
      <c r="M572" s="902">
        <v>15854</v>
      </c>
      <c r="N572" s="911">
        <v>10758.84</v>
      </c>
      <c r="O572" s="636">
        <v>0</v>
      </c>
      <c r="P572" s="646">
        <v>100</v>
      </c>
    </row>
    <row r="573" spans="1:16" ht="15.75" customHeight="1">
      <c r="A573" s="628" t="s">
        <v>2415</v>
      </c>
      <c r="B573" s="629">
        <v>45167</v>
      </c>
      <c r="C573" s="618" t="s">
        <v>1597</v>
      </c>
      <c r="D573" s="618" t="s">
        <v>1598</v>
      </c>
      <c r="E573" s="630">
        <v>7.1</v>
      </c>
      <c r="F573" s="628" t="s">
        <v>1599</v>
      </c>
      <c r="G573" s="628" t="s">
        <v>1600</v>
      </c>
      <c r="H573" s="628" t="s">
        <v>1836</v>
      </c>
      <c r="I573" s="628">
        <v>14544</v>
      </c>
      <c r="J573" s="631" t="s">
        <v>1599</v>
      </c>
      <c r="K573" s="633">
        <v>3700</v>
      </c>
      <c r="L573" s="643">
        <f t="shared" si="19"/>
        <v>18257.8</v>
      </c>
      <c r="M573" s="901">
        <v>21957.8</v>
      </c>
      <c r="N573" s="912">
        <v>4481.8999999999996</v>
      </c>
      <c r="O573" s="618">
        <v>0</v>
      </c>
      <c r="P573" s="644">
        <v>100</v>
      </c>
    </row>
    <row r="574" spans="1:16" ht="15.75" customHeight="1">
      <c r="A574" s="634" t="s">
        <v>2416</v>
      </c>
      <c r="B574" s="635">
        <v>45169</v>
      </c>
      <c r="C574" s="636" t="s">
        <v>1597</v>
      </c>
      <c r="D574" s="636" t="s">
        <v>1598</v>
      </c>
      <c r="E574" s="637">
        <v>11.9</v>
      </c>
      <c r="F574" s="634" t="s">
        <v>1599</v>
      </c>
      <c r="G574" s="634" t="s">
        <v>1600</v>
      </c>
      <c r="H574" s="634" t="s">
        <v>1912</v>
      </c>
      <c r="I574" s="634">
        <v>4929</v>
      </c>
      <c r="J574" s="638" t="s">
        <v>1599</v>
      </c>
      <c r="K574" s="640">
        <v>3745</v>
      </c>
      <c r="L574" s="645">
        <f t="shared" si="19"/>
        <v>16206.150000000001</v>
      </c>
      <c r="M574" s="902">
        <v>19951.150000000001</v>
      </c>
      <c r="N574" s="911">
        <v>14572.03</v>
      </c>
      <c r="O574" s="636">
        <v>0</v>
      </c>
      <c r="P574" s="646">
        <v>100</v>
      </c>
    </row>
    <row r="575" spans="1:16" ht="15.75" customHeight="1">
      <c r="A575" s="628" t="s">
        <v>2417</v>
      </c>
      <c r="B575" s="629">
        <v>45169</v>
      </c>
      <c r="C575" s="618" t="s">
        <v>1597</v>
      </c>
      <c r="D575" s="618" t="s">
        <v>1598</v>
      </c>
      <c r="E575" s="630">
        <v>11.9</v>
      </c>
      <c r="F575" s="628" t="s">
        <v>1599</v>
      </c>
      <c r="G575" s="628" t="s">
        <v>1600</v>
      </c>
      <c r="H575" s="628" t="s">
        <v>1912</v>
      </c>
      <c r="I575" s="628">
        <v>4929</v>
      </c>
      <c r="J575" s="631" t="s">
        <v>1599</v>
      </c>
      <c r="K575" s="633">
        <v>3540</v>
      </c>
      <c r="L575" s="643">
        <f t="shared" si="19"/>
        <v>12093.68</v>
      </c>
      <c r="M575" s="901">
        <v>15633.68</v>
      </c>
      <c r="N575" s="912">
        <v>9764.1200000000008</v>
      </c>
      <c r="O575" s="618">
        <v>0</v>
      </c>
      <c r="P575" s="644">
        <v>100</v>
      </c>
    </row>
    <row r="576" spans="1:16" ht="15.75" customHeight="1">
      <c r="A576" s="634" t="s">
        <v>2418</v>
      </c>
      <c r="B576" s="635">
        <v>45169</v>
      </c>
      <c r="C576" s="636" t="s">
        <v>1597</v>
      </c>
      <c r="D576" s="636" t="s">
        <v>1598</v>
      </c>
      <c r="E576" s="637">
        <v>11.9</v>
      </c>
      <c r="F576" s="634" t="s">
        <v>1599</v>
      </c>
      <c r="G576" s="634" t="s">
        <v>1600</v>
      </c>
      <c r="H576" s="634" t="s">
        <v>1912</v>
      </c>
      <c r="I576" s="634">
        <v>4929</v>
      </c>
      <c r="J576" s="638" t="s">
        <v>1599</v>
      </c>
      <c r="K576" s="640">
        <v>2280</v>
      </c>
      <c r="L576" s="645">
        <f t="shared" si="19"/>
        <v>6613.2000000000007</v>
      </c>
      <c r="M576" s="902">
        <v>8893.2000000000007</v>
      </c>
      <c r="N576" s="911">
        <v>5488</v>
      </c>
      <c r="O576" s="636">
        <v>0</v>
      </c>
      <c r="P576" s="646">
        <v>100</v>
      </c>
    </row>
    <row r="577" spans="1:16" ht="15.75" customHeight="1">
      <c r="A577" s="660" t="s">
        <v>2419</v>
      </c>
      <c r="B577" s="629">
        <v>45171</v>
      </c>
      <c r="C577" s="618" t="s">
        <v>1597</v>
      </c>
      <c r="D577" s="618" t="s">
        <v>1598</v>
      </c>
      <c r="E577" s="630">
        <v>4.0999999999999996</v>
      </c>
      <c r="F577" s="618" t="s">
        <v>1599</v>
      </c>
      <c r="G577" s="618" t="s">
        <v>1600</v>
      </c>
      <c r="H577" s="628" t="s">
        <v>1850</v>
      </c>
      <c r="I577" s="632">
        <v>9687</v>
      </c>
      <c r="J577" s="654" t="s">
        <v>1599</v>
      </c>
      <c r="K577" s="633">
        <v>2200</v>
      </c>
      <c r="L577" s="643">
        <f t="shared" si="19"/>
        <v>5777</v>
      </c>
      <c r="M577" s="901">
        <v>7977</v>
      </c>
      <c r="N577" s="912">
        <v>4550</v>
      </c>
      <c r="O577" s="618">
        <v>0</v>
      </c>
      <c r="P577" s="644">
        <v>100</v>
      </c>
    </row>
    <row r="578" spans="1:16" ht="15.75" customHeight="1">
      <c r="A578" s="661" t="s">
        <v>2420</v>
      </c>
      <c r="B578" s="635">
        <v>45171</v>
      </c>
      <c r="C578" s="636" t="s">
        <v>1597</v>
      </c>
      <c r="D578" s="636" t="s">
        <v>1598</v>
      </c>
      <c r="E578" s="637">
        <v>4.0999999999999996</v>
      </c>
      <c r="F578" s="634" t="s">
        <v>1599</v>
      </c>
      <c r="G578" s="634" t="s">
        <v>1600</v>
      </c>
      <c r="H578" s="634" t="s">
        <v>1850</v>
      </c>
      <c r="I578" s="639">
        <v>9687</v>
      </c>
      <c r="J578" s="638" t="s">
        <v>1599</v>
      </c>
      <c r="K578" s="640">
        <v>2220</v>
      </c>
      <c r="L578" s="645">
        <f t="shared" si="19"/>
        <v>5757</v>
      </c>
      <c r="M578" s="902">
        <v>7977</v>
      </c>
      <c r="N578" s="911">
        <v>4550</v>
      </c>
      <c r="O578" s="636">
        <v>0</v>
      </c>
      <c r="P578" s="646">
        <v>100</v>
      </c>
    </row>
    <row r="579" spans="1:16" ht="15.75" customHeight="1">
      <c r="A579" s="660" t="s">
        <v>2421</v>
      </c>
      <c r="B579" s="629">
        <v>45173</v>
      </c>
      <c r="C579" s="618" t="s">
        <v>1597</v>
      </c>
      <c r="D579" s="618" t="s">
        <v>1598</v>
      </c>
      <c r="E579" s="630">
        <v>7.1</v>
      </c>
      <c r="F579" s="628" t="s">
        <v>1599</v>
      </c>
      <c r="G579" s="628" t="s">
        <v>1600</v>
      </c>
      <c r="H579" s="628" t="s">
        <v>1828</v>
      </c>
      <c r="I579" s="632">
        <v>7448</v>
      </c>
      <c r="J579" s="631" t="s">
        <v>1599</v>
      </c>
      <c r="K579" s="633">
        <v>3700</v>
      </c>
      <c r="L579" s="643">
        <f t="shared" si="19"/>
        <v>24152</v>
      </c>
      <c r="M579" s="901">
        <v>27852</v>
      </c>
      <c r="N579" s="912">
        <v>20406</v>
      </c>
      <c r="O579" s="618">
        <v>0</v>
      </c>
      <c r="P579" s="644">
        <v>100</v>
      </c>
    </row>
    <row r="580" spans="1:16" ht="15.75" customHeight="1">
      <c r="A580" s="661" t="s">
        <v>2422</v>
      </c>
      <c r="B580" s="635">
        <v>45173</v>
      </c>
      <c r="C580" s="636" t="s">
        <v>1597</v>
      </c>
      <c r="D580" s="636" t="s">
        <v>1598</v>
      </c>
      <c r="E580" s="637">
        <v>5.3</v>
      </c>
      <c r="F580" s="634" t="s">
        <v>1599</v>
      </c>
      <c r="G580" s="634" t="s">
        <v>1600</v>
      </c>
      <c r="H580" s="634" t="s">
        <v>1807</v>
      </c>
      <c r="I580" s="639">
        <v>1734</v>
      </c>
      <c r="J580" s="638" t="s">
        <v>1599</v>
      </c>
      <c r="K580" s="640">
        <v>3650</v>
      </c>
      <c r="L580" s="645">
        <f t="shared" si="19"/>
        <v>12093</v>
      </c>
      <c r="M580" s="902">
        <v>15743</v>
      </c>
      <c r="N580" s="911">
        <v>12091</v>
      </c>
      <c r="O580" s="636">
        <v>0</v>
      </c>
      <c r="P580" s="646">
        <v>100</v>
      </c>
    </row>
    <row r="581" spans="1:16" ht="15.75" customHeight="1">
      <c r="A581" s="660" t="s">
        <v>2423</v>
      </c>
      <c r="B581" s="629">
        <v>45174</v>
      </c>
      <c r="C581" s="618" t="s">
        <v>1597</v>
      </c>
      <c r="D581" s="618" t="s">
        <v>1598</v>
      </c>
      <c r="E581" s="630">
        <v>3.6</v>
      </c>
      <c r="F581" s="628" t="s">
        <v>1599</v>
      </c>
      <c r="G581" s="628" t="s">
        <v>1600</v>
      </c>
      <c r="H581" s="628" t="s">
        <v>1965</v>
      </c>
      <c r="I581" s="632">
        <v>5092</v>
      </c>
      <c r="J581" s="631" t="s">
        <v>1599</v>
      </c>
      <c r="K581" s="633">
        <v>3700</v>
      </c>
      <c r="L581" s="643">
        <f t="shared" si="19"/>
        <v>11470.25</v>
      </c>
      <c r="M581" s="901">
        <v>15170.25</v>
      </c>
      <c r="N581" s="912">
        <v>9167.51</v>
      </c>
      <c r="O581" s="618">
        <v>0</v>
      </c>
      <c r="P581" s="644">
        <v>100</v>
      </c>
    </row>
    <row r="582" spans="1:16" ht="15.75" customHeight="1">
      <c r="A582" s="661" t="s">
        <v>2424</v>
      </c>
      <c r="B582" s="635">
        <v>45175</v>
      </c>
      <c r="C582" s="636" t="s">
        <v>1597</v>
      </c>
      <c r="D582" s="636" t="s">
        <v>1598</v>
      </c>
      <c r="E582" s="637">
        <v>11.7</v>
      </c>
      <c r="F582" s="634" t="s">
        <v>1599</v>
      </c>
      <c r="G582" s="634" t="s">
        <v>1600</v>
      </c>
      <c r="H582" s="634" t="s">
        <v>1973</v>
      </c>
      <c r="I582" s="639">
        <v>4482</v>
      </c>
      <c r="J582" s="638" t="s">
        <v>1599</v>
      </c>
      <c r="K582" s="640">
        <v>2185</v>
      </c>
      <c r="L582" s="645">
        <f t="shared" si="19"/>
        <v>5442.5</v>
      </c>
      <c r="M582" s="902">
        <v>7627.5</v>
      </c>
      <c r="N582" s="911">
        <v>4321.54</v>
      </c>
      <c r="O582" s="636">
        <v>0</v>
      </c>
      <c r="P582" s="646">
        <v>100</v>
      </c>
    </row>
    <row r="583" spans="1:16" ht="15.75" customHeight="1">
      <c r="A583" s="660" t="s">
        <v>2425</v>
      </c>
      <c r="B583" s="629">
        <v>45173</v>
      </c>
      <c r="C583" s="618" t="s">
        <v>1597</v>
      </c>
      <c r="D583" s="618" t="s">
        <v>1598</v>
      </c>
      <c r="E583" s="630">
        <v>7.1</v>
      </c>
      <c r="F583" s="628" t="s">
        <v>1599</v>
      </c>
      <c r="G583" s="628" t="s">
        <v>1600</v>
      </c>
      <c r="H583" s="628" t="s">
        <v>1886</v>
      </c>
      <c r="I583" s="632">
        <v>13877</v>
      </c>
      <c r="J583" s="631" t="s">
        <v>1599</v>
      </c>
      <c r="K583" s="633">
        <v>3800</v>
      </c>
      <c r="L583" s="643">
        <f t="shared" si="19"/>
        <v>10189.799999999999</v>
      </c>
      <c r="M583" s="901">
        <v>13989.8</v>
      </c>
      <c r="N583" s="912">
        <v>7660</v>
      </c>
      <c r="O583" s="618">
        <v>0</v>
      </c>
      <c r="P583" s="644">
        <v>100</v>
      </c>
    </row>
    <row r="584" spans="1:16" ht="15.75" customHeight="1">
      <c r="A584" s="661" t="s">
        <v>2426</v>
      </c>
      <c r="B584" s="635">
        <v>45173</v>
      </c>
      <c r="C584" s="636" t="s">
        <v>1597</v>
      </c>
      <c r="D584" s="636" t="s">
        <v>1598</v>
      </c>
      <c r="E584" s="637">
        <v>7.1</v>
      </c>
      <c r="F584" s="634" t="s">
        <v>1599</v>
      </c>
      <c r="G584" s="634" t="s">
        <v>1600</v>
      </c>
      <c r="H584" s="634" t="s">
        <v>1886</v>
      </c>
      <c r="I584" s="639">
        <v>13877</v>
      </c>
      <c r="J584" s="638" t="s">
        <v>1599</v>
      </c>
      <c r="K584" s="640">
        <v>3700</v>
      </c>
      <c r="L584" s="645">
        <f t="shared" si="19"/>
        <v>19599.5</v>
      </c>
      <c r="M584" s="902">
        <v>23299.5</v>
      </c>
      <c r="N584" s="911">
        <v>15795</v>
      </c>
      <c r="O584" s="636">
        <v>0</v>
      </c>
      <c r="P584" s="646">
        <v>100</v>
      </c>
    </row>
    <row r="585" spans="1:16" ht="15.75" customHeight="1">
      <c r="A585" s="660" t="s">
        <v>2427</v>
      </c>
      <c r="B585" s="629">
        <v>45173</v>
      </c>
      <c r="C585" s="618" t="s">
        <v>1597</v>
      </c>
      <c r="D585" s="618" t="s">
        <v>1598</v>
      </c>
      <c r="E585" s="630">
        <v>7.1</v>
      </c>
      <c r="F585" s="628" t="s">
        <v>1599</v>
      </c>
      <c r="G585" s="628" t="s">
        <v>1600</v>
      </c>
      <c r="H585" s="628" t="s">
        <v>1886</v>
      </c>
      <c r="I585" s="632">
        <v>13877</v>
      </c>
      <c r="J585" s="631" t="s">
        <v>1599</v>
      </c>
      <c r="K585" s="633">
        <v>3810</v>
      </c>
      <c r="L585" s="643">
        <f t="shared" si="19"/>
        <v>12014</v>
      </c>
      <c r="M585" s="901">
        <v>15824</v>
      </c>
      <c r="N585" s="912">
        <v>8988</v>
      </c>
      <c r="O585" s="618">
        <v>0</v>
      </c>
      <c r="P585" s="644">
        <v>100</v>
      </c>
    </row>
    <row r="586" spans="1:16" ht="15.75" customHeight="1">
      <c r="A586" s="661" t="s">
        <v>2428</v>
      </c>
      <c r="B586" s="635">
        <v>45175</v>
      </c>
      <c r="C586" s="636" t="s">
        <v>1597</v>
      </c>
      <c r="D586" s="636" t="s">
        <v>1598</v>
      </c>
      <c r="E586" s="637">
        <v>7.1</v>
      </c>
      <c r="F586" s="634" t="s">
        <v>1599</v>
      </c>
      <c r="G586" s="634" t="s">
        <v>1600</v>
      </c>
      <c r="H586" s="634" t="s">
        <v>1886</v>
      </c>
      <c r="I586" s="639">
        <v>13877</v>
      </c>
      <c r="J586" s="638" t="s">
        <v>1599</v>
      </c>
      <c r="K586" s="640">
        <v>3830</v>
      </c>
      <c r="L586" s="645">
        <f t="shared" si="19"/>
        <v>10189.799999999999</v>
      </c>
      <c r="M586" s="902">
        <v>14019.8</v>
      </c>
      <c r="N586" s="911">
        <v>7660</v>
      </c>
      <c r="O586" s="636">
        <v>0</v>
      </c>
      <c r="P586" s="646">
        <v>100</v>
      </c>
    </row>
    <row r="587" spans="1:16" ht="15.75" customHeight="1">
      <c r="A587" s="660" t="s">
        <v>2429</v>
      </c>
      <c r="B587" s="629">
        <v>45176</v>
      </c>
      <c r="C587" s="618" t="s">
        <v>1597</v>
      </c>
      <c r="D587" s="618" t="s">
        <v>1598</v>
      </c>
      <c r="E587" s="630">
        <v>7.1</v>
      </c>
      <c r="F587" s="628" t="s">
        <v>1599</v>
      </c>
      <c r="G587" s="628" t="s">
        <v>1600</v>
      </c>
      <c r="H587" s="628" t="s">
        <v>1886</v>
      </c>
      <c r="I587" s="632">
        <v>13877</v>
      </c>
      <c r="J587" s="631" t="s">
        <v>1599</v>
      </c>
      <c r="K587" s="633">
        <v>3830</v>
      </c>
      <c r="L587" s="643">
        <f t="shared" si="19"/>
        <v>9774.2000000000007</v>
      </c>
      <c r="M587" s="901">
        <v>13604.2</v>
      </c>
      <c r="N587" s="912">
        <v>6917.4</v>
      </c>
      <c r="O587" s="618">
        <v>0</v>
      </c>
      <c r="P587" s="644">
        <v>100</v>
      </c>
    </row>
    <row r="588" spans="1:16" ht="15.75" customHeight="1">
      <c r="A588" s="661" t="s">
        <v>2430</v>
      </c>
      <c r="B588" s="635">
        <v>45175</v>
      </c>
      <c r="C588" s="636" t="s">
        <v>1597</v>
      </c>
      <c r="D588" s="636" t="s">
        <v>1598</v>
      </c>
      <c r="E588" s="637">
        <v>11.9</v>
      </c>
      <c r="F588" s="634" t="s">
        <v>1599</v>
      </c>
      <c r="G588" s="634" t="s">
        <v>1600</v>
      </c>
      <c r="H588" s="634" t="s">
        <v>1807</v>
      </c>
      <c r="I588" s="639">
        <v>1734</v>
      </c>
      <c r="J588" s="638" t="s">
        <v>1599</v>
      </c>
      <c r="K588" s="640">
        <v>3820</v>
      </c>
      <c r="L588" s="645">
        <f t="shared" si="19"/>
        <v>11697.3</v>
      </c>
      <c r="M588" s="902">
        <v>15517.3</v>
      </c>
      <c r="N588" s="911">
        <v>8899.2999999999993</v>
      </c>
      <c r="O588" s="636">
        <v>0</v>
      </c>
      <c r="P588" s="646">
        <v>100</v>
      </c>
    </row>
    <row r="589" spans="1:16" ht="15.75" customHeight="1">
      <c r="A589" s="660" t="s">
        <v>2431</v>
      </c>
      <c r="B589" s="629">
        <v>45177</v>
      </c>
      <c r="C589" s="618" t="s">
        <v>1597</v>
      </c>
      <c r="D589" s="618" t="s">
        <v>1598</v>
      </c>
      <c r="E589" s="630">
        <v>6.3</v>
      </c>
      <c r="F589" s="628" t="s">
        <v>1599</v>
      </c>
      <c r="G589" s="628" t="s">
        <v>1600</v>
      </c>
      <c r="H589" s="628" t="s">
        <v>1850</v>
      </c>
      <c r="I589" s="632">
        <v>9687</v>
      </c>
      <c r="J589" s="631" t="s">
        <v>1599</v>
      </c>
      <c r="K589" s="633">
        <v>3630</v>
      </c>
      <c r="L589" s="643">
        <f t="shared" si="19"/>
        <v>25027</v>
      </c>
      <c r="M589" s="901">
        <v>28657</v>
      </c>
      <c r="N589" s="912">
        <v>23842</v>
      </c>
      <c r="O589" s="618">
        <v>0</v>
      </c>
      <c r="P589" s="644">
        <v>100</v>
      </c>
    </row>
    <row r="590" spans="1:16" ht="15.75" customHeight="1">
      <c r="A590" s="661" t="s">
        <v>2432</v>
      </c>
      <c r="B590" s="635">
        <v>45174</v>
      </c>
      <c r="C590" s="636" t="s">
        <v>1597</v>
      </c>
      <c r="D590" s="636" t="s">
        <v>1598</v>
      </c>
      <c r="E590" s="637">
        <v>11.9</v>
      </c>
      <c r="F590" s="634" t="s">
        <v>1599</v>
      </c>
      <c r="G590" s="634" t="s">
        <v>1600</v>
      </c>
      <c r="H590" s="634" t="s">
        <v>1846</v>
      </c>
      <c r="I590" s="639">
        <v>5317</v>
      </c>
      <c r="J590" s="638" t="s">
        <v>1599</v>
      </c>
      <c r="K590" s="640">
        <v>3640</v>
      </c>
      <c r="L590" s="645">
        <f t="shared" si="19"/>
        <v>14019.36</v>
      </c>
      <c r="M590" s="902">
        <v>17659.36</v>
      </c>
      <c r="N590" s="911">
        <v>11742.08</v>
      </c>
      <c r="O590" s="636">
        <v>0</v>
      </c>
      <c r="P590" s="646">
        <v>100</v>
      </c>
    </row>
    <row r="591" spans="1:16" ht="15.75" customHeight="1">
      <c r="A591" s="660" t="s">
        <v>2433</v>
      </c>
      <c r="B591" s="629">
        <v>45177</v>
      </c>
      <c r="C591" s="618" t="s">
        <v>1597</v>
      </c>
      <c r="D591" s="618" t="s">
        <v>1598</v>
      </c>
      <c r="E591" s="630">
        <v>6</v>
      </c>
      <c r="F591" s="628" t="s">
        <v>1599</v>
      </c>
      <c r="G591" s="628" t="s">
        <v>1600</v>
      </c>
      <c r="H591" s="628" t="s">
        <v>1846</v>
      </c>
      <c r="I591" s="632">
        <v>5317</v>
      </c>
      <c r="J591" s="631" t="s">
        <v>1599</v>
      </c>
      <c r="K591" s="633">
        <v>2200</v>
      </c>
      <c r="L591" s="643">
        <f t="shared" si="19"/>
        <v>4039.9300000000003</v>
      </c>
      <c r="M591" s="901">
        <v>6239.93</v>
      </c>
      <c r="N591" s="912">
        <v>3003.57</v>
      </c>
      <c r="O591" s="618">
        <v>0</v>
      </c>
      <c r="P591" s="644">
        <v>100</v>
      </c>
    </row>
    <row r="592" spans="1:16" ht="15.75" customHeight="1">
      <c r="A592" s="385" t="s">
        <v>2434</v>
      </c>
      <c r="B592" s="652">
        <v>45173</v>
      </c>
      <c r="C592" s="309" t="s">
        <v>1597</v>
      </c>
      <c r="D592" s="309"/>
      <c r="E592" s="655"/>
      <c r="F592" s="385"/>
      <c r="G592" s="385" t="s">
        <v>1600</v>
      </c>
      <c r="H592" s="385" t="s">
        <v>1798</v>
      </c>
      <c r="I592" s="653">
        <v>1931</v>
      </c>
      <c r="J592" s="228"/>
      <c r="K592" s="656">
        <v>3876.1</v>
      </c>
      <c r="L592" s="657">
        <v>1445</v>
      </c>
      <c r="M592" s="903">
        <v>5321.1</v>
      </c>
      <c r="N592" s="915">
        <v>3876.1</v>
      </c>
      <c r="O592" s="309">
        <v>0</v>
      </c>
      <c r="P592" s="658">
        <v>100</v>
      </c>
    </row>
    <row r="593" spans="1:16" ht="15.75" customHeight="1">
      <c r="A593" s="660" t="s">
        <v>2435</v>
      </c>
      <c r="B593" s="629">
        <v>45184</v>
      </c>
      <c r="C593" s="618" t="s">
        <v>1597</v>
      </c>
      <c r="D593" s="618" t="s">
        <v>1598</v>
      </c>
      <c r="E593" s="630">
        <v>5.3</v>
      </c>
      <c r="F593" s="628" t="s">
        <v>1599</v>
      </c>
      <c r="G593" s="628" t="s">
        <v>1600</v>
      </c>
      <c r="H593" s="628" t="s">
        <v>1807</v>
      </c>
      <c r="I593" s="632">
        <v>1734</v>
      </c>
      <c r="J593" s="631" t="s">
        <v>1599</v>
      </c>
      <c r="K593" s="633">
        <v>3650</v>
      </c>
      <c r="L593" s="643">
        <f t="shared" ref="L593:L626" si="20">M593-K593</f>
        <v>11451.6</v>
      </c>
      <c r="M593" s="901">
        <v>15101.6</v>
      </c>
      <c r="N593" s="912">
        <v>8805.5</v>
      </c>
      <c r="O593" s="618">
        <v>0</v>
      </c>
      <c r="P593" s="644">
        <v>100</v>
      </c>
    </row>
    <row r="594" spans="1:16" ht="15.75" customHeight="1">
      <c r="A594" s="661" t="s">
        <v>2436</v>
      </c>
      <c r="B594" s="635">
        <v>45176</v>
      </c>
      <c r="C594" s="636" t="s">
        <v>1597</v>
      </c>
      <c r="D594" s="636" t="s">
        <v>1598</v>
      </c>
      <c r="E594" s="637">
        <v>11.9</v>
      </c>
      <c r="F594" s="634" t="s">
        <v>1599</v>
      </c>
      <c r="G594" s="634" t="s">
        <v>1600</v>
      </c>
      <c r="H594" s="634" t="s">
        <v>1798</v>
      </c>
      <c r="I594" s="639">
        <v>1931</v>
      </c>
      <c r="J594" s="638" t="s">
        <v>1599</v>
      </c>
      <c r="K594" s="640">
        <v>5239.8</v>
      </c>
      <c r="L594" s="645">
        <v>1007.6</v>
      </c>
      <c r="M594" s="902">
        <v>6247.4</v>
      </c>
      <c r="N594" s="911">
        <v>5239.8</v>
      </c>
      <c r="O594" s="636">
        <v>0</v>
      </c>
      <c r="P594" s="646">
        <v>100</v>
      </c>
    </row>
    <row r="595" spans="1:16" ht="15.75" customHeight="1">
      <c r="A595" s="660" t="s">
        <v>2437</v>
      </c>
      <c r="B595" s="629">
        <v>45183</v>
      </c>
      <c r="C595" s="618" t="s">
        <v>1597</v>
      </c>
      <c r="D595" s="618" t="s">
        <v>1598</v>
      </c>
      <c r="E595" s="630">
        <v>6.2</v>
      </c>
      <c r="F595" s="628" t="s">
        <v>1599</v>
      </c>
      <c r="G595" s="628" t="s">
        <v>1600</v>
      </c>
      <c r="H595" s="628" t="s">
        <v>1815</v>
      </c>
      <c r="I595" s="632">
        <v>17387</v>
      </c>
      <c r="J595" s="631" t="s">
        <v>1599</v>
      </c>
      <c r="K595" s="633">
        <v>3700</v>
      </c>
      <c r="L595" s="643">
        <f t="shared" si="20"/>
        <v>18354.599999999999</v>
      </c>
      <c r="M595" s="901">
        <v>22054.6</v>
      </c>
      <c r="N595" s="912">
        <v>15910.16</v>
      </c>
      <c r="O595" s="618">
        <v>0</v>
      </c>
      <c r="P595" s="644">
        <v>100</v>
      </c>
    </row>
    <row r="596" spans="1:16" ht="15.75" customHeight="1">
      <c r="A596" s="661" t="s">
        <v>2438</v>
      </c>
      <c r="B596" s="635">
        <v>45183</v>
      </c>
      <c r="C596" s="636" t="s">
        <v>1597</v>
      </c>
      <c r="D596" s="636" t="s">
        <v>1598</v>
      </c>
      <c r="E596" s="637">
        <v>6.2</v>
      </c>
      <c r="F596" s="634" t="s">
        <v>1599</v>
      </c>
      <c r="G596" s="634" t="s">
        <v>1600</v>
      </c>
      <c r="H596" s="634" t="s">
        <v>1815</v>
      </c>
      <c r="I596" s="639">
        <v>17387</v>
      </c>
      <c r="J596" s="638" t="s">
        <v>1599</v>
      </c>
      <c r="K596" s="640">
        <v>3870</v>
      </c>
      <c r="L596" s="645">
        <f t="shared" si="20"/>
        <v>17585.66</v>
      </c>
      <c r="M596" s="902">
        <v>21455.66</v>
      </c>
      <c r="N596" s="911">
        <v>15099.2</v>
      </c>
      <c r="O596" s="636">
        <v>0</v>
      </c>
      <c r="P596" s="646">
        <v>100</v>
      </c>
    </row>
    <row r="597" spans="1:16" ht="15.75" customHeight="1">
      <c r="A597" s="660" t="s">
        <v>2439</v>
      </c>
      <c r="B597" s="629">
        <v>45183</v>
      </c>
      <c r="C597" s="618" t="s">
        <v>1597</v>
      </c>
      <c r="D597" s="618" t="s">
        <v>1598</v>
      </c>
      <c r="E597" s="630">
        <v>6.2</v>
      </c>
      <c r="F597" s="628" t="s">
        <v>1599</v>
      </c>
      <c r="G597" s="628" t="s">
        <v>1600</v>
      </c>
      <c r="H597" s="628" t="s">
        <v>1815</v>
      </c>
      <c r="I597" s="632">
        <v>17387</v>
      </c>
      <c r="J597" s="631" t="s">
        <v>1599</v>
      </c>
      <c r="K597" s="633">
        <v>3820</v>
      </c>
      <c r="L597" s="643">
        <f t="shared" si="20"/>
        <v>18276.400000000001</v>
      </c>
      <c r="M597" s="901">
        <v>22096.400000000001</v>
      </c>
      <c r="N597" s="912">
        <v>15834.67</v>
      </c>
      <c r="O597" s="618">
        <v>0</v>
      </c>
      <c r="P597" s="644">
        <v>100</v>
      </c>
    </row>
    <row r="598" spans="1:16" ht="15.75" customHeight="1">
      <c r="A598" s="661" t="s">
        <v>2440</v>
      </c>
      <c r="B598" s="635">
        <v>45183</v>
      </c>
      <c r="C598" s="636" t="s">
        <v>1597</v>
      </c>
      <c r="D598" s="636" t="s">
        <v>1598</v>
      </c>
      <c r="E598" s="637">
        <v>6.2</v>
      </c>
      <c r="F598" s="634" t="s">
        <v>1599</v>
      </c>
      <c r="G598" s="634" t="s">
        <v>1600</v>
      </c>
      <c r="H598" s="634" t="s">
        <v>1880</v>
      </c>
      <c r="I598" s="639">
        <v>13558</v>
      </c>
      <c r="J598" s="638" t="s">
        <v>1599</v>
      </c>
      <c r="K598" s="640">
        <v>3900</v>
      </c>
      <c r="L598" s="645">
        <f t="shared" si="20"/>
        <v>14478.849999999999</v>
      </c>
      <c r="M598" s="902">
        <v>18378.849999999999</v>
      </c>
      <c r="N598" s="911">
        <v>12306.45</v>
      </c>
      <c r="O598" s="636">
        <v>0</v>
      </c>
      <c r="P598" s="646">
        <v>100</v>
      </c>
    </row>
    <row r="599" spans="1:16" ht="15.75" customHeight="1">
      <c r="A599" s="660" t="s">
        <v>2441</v>
      </c>
      <c r="B599" s="629">
        <v>45181</v>
      </c>
      <c r="C599" s="618" t="s">
        <v>1597</v>
      </c>
      <c r="D599" s="618" t="s">
        <v>1598</v>
      </c>
      <c r="E599" s="630">
        <v>7.1</v>
      </c>
      <c r="F599" s="628" t="s">
        <v>1599</v>
      </c>
      <c r="G599" s="628" t="s">
        <v>1600</v>
      </c>
      <c r="H599" s="628" t="s">
        <v>1886</v>
      </c>
      <c r="I599" s="632">
        <v>13877</v>
      </c>
      <c r="J599" s="631" t="s">
        <v>1599</v>
      </c>
      <c r="K599" s="633">
        <v>3830</v>
      </c>
      <c r="L599" s="643">
        <f t="shared" si="20"/>
        <v>151014</v>
      </c>
      <c r="M599" s="901">
        <v>154844</v>
      </c>
      <c r="N599" s="912">
        <v>8988</v>
      </c>
      <c r="O599" s="618">
        <v>0</v>
      </c>
      <c r="P599" s="644">
        <v>100</v>
      </c>
    </row>
    <row r="600" spans="1:16" ht="15.75" customHeight="1">
      <c r="A600" s="661" t="s">
        <v>2442</v>
      </c>
      <c r="B600" s="635">
        <v>45182</v>
      </c>
      <c r="C600" s="636" t="s">
        <v>1597</v>
      </c>
      <c r="D600" s="636" t="s">
        <v>1598</v>
      </c>
      <c r="E600" s="637">
        <v>7.1</v>
      </c>
      <c r="F600" s="634" t="s">
        <v>1599</v>
      </c>
      <c r="G600" s="634" t="s">
        <v>1600</v>
      </c>
      <c r="H600" s="634" t="s">
        <v>1886</v>
      </c>
      <c r="I600" s="639">
        <v>13877</v>
      </c>
      <c r="J600" s="638" t="s">
        <v>1599</v>
      </c>
      <c r="K600" s="640">
        <v>3840</v>
      </c>
      <c r="L600" s="645">
        <f t="shared" si="20"/>
        <v>10189.799999999999</v>
      </c>
      <c r="M600" s="902">
        <v>14029.8</v>
      </c>
      <c r="N600" s="911">
        <v>7660</v>
      </c>
      <c r="O600" s="636">
        <v>0</v>
      </c>
      <c r="P600" s="646">
        <v>100</v>
      </c>
    </row>
    <row r="601" spans="1:16" ht="15.75" customHeight="1">
      <c r="A601" s="660" t="s">
        <v>2443</v>
      </c>
      <c r="B601" s="629">
        <v>45182</v>
      </c>
      <c r="C601" s="618" t="s">
        <v>1597</v>
      </c>
      <c r="D601" s="618" t="s">
        <v>1598</v>
      </c>
      <c r="E601" s="630">
        <v>7.1</v>
      </c>
      <c r="F601" s="628" t="s">
        <v>1599</v>
      </c>
      <c r="G601" s="628" t="s">
        <v>1600</v>
      </c>
      <c r="H601" s="628" t="s">
        <v>1886</v>
      </c>
      <c r="I601" s="632">
        <v>13877</v>
      </c>
      <c r="J601" s="631" t="s">
        <v>1599</v>
      </c>
      <c r="K601" s="633">
        <v>3830</v>
      </c>
      <c r="L601" s="643">
        <f t="shared" si="20"/>
        <v>12014</v>
      </c>
      <c r="M601" s="901">
        <v>15844</v>
      </c>
      <c r="N601" s="912">
        <v>8988</v>
      </c>
      <c r="O601" s="618">
        <v>0</v>
      </c>
      <c r="P601" s="644">
        <v>100</v>
      </c>
    </row>
    <row r="602" spans="1:16" ht="15.75" customHeight="1">
      <c r="A602" s="662" t="s">
        <v>2444</v>
      </c>
      <c r="B602" s="663">
        <v>45183</v>
      </c>
      <c r="C602" s="664" t="s">
        <v>1597</v>
      </c>
      <c r="D602" s="664" t="s">
        <v>1598</v>
      </c>
      <c r="E602" s="665">
        <v>7.1</v>
      </c>
      <c r="F602" s="662"/>
      <c r="G602" s="662" t="s">
        <v>1600</v>
      </c>
      <c r="H602" s="662" t="s">
        <v>1822</v>
      </c>
      <c r="I602" s="666">
        <v>13787</v>
      </c>
      <c r="J602" s="667"/>
      <c r="K602" s="668">
        <v>14556</v>
      </c>
      <c r="L602" s="669">
        <v>3176</v>
      </c>
      <c r="M602" s="904">
        <v>17732</v>
      </c>
      <c r="N602" s="916">
        <v>14556</v>
      </c>
      <c r="O602" s="664">
        <v>0</v>
      </c>
      <c r="P602" s="670">
        <v>100</v>
      </c>
    </row>
    <row r="603" spans="1:16" ht="15.75" customHeight="1">
      <c r="A603" s="660" t="s">
        <v>2445</v>
      </c>
      <c r="B603" s="629">
        <v>45189</v>
      </c>
      <c r="C603" s="618" t="s">
        <v>1597</v>
      </c>
      <c r="D603" s="618" t="s">
        <v>1598</v>
      </c>
      <c r="E603" s="630">
        <v>11.9</v>
      </c>
      <c r="F603" s="628" t="s">
        <v>1599</v>
      </c>
      <c r="G603" s="628" t="s">
        <v>1600</v>
      </c>
      <c r="H603" s="628" t="s">
        <v>1831</v>
      </c>
      <c r="I603" s="632">
        <v>7283</v>
      </c>
      <c r="J603" s="631" t="s">
        <v>1599</v>
      </c>
      <c r="K603" s="633">
        <v>3640</v>
      </c>
      <c r="L603" s="643">
        <f t="shared" si="20"/>
        <v>24029.5</v>
      </c>
      <c r="M603" s="901">
        <v>27669.5</v>
      </c>
      <c r="N603" s="912">
        <v>19566.2</v>
      </c>
      <c r="O603" s="618">
        <v>0</v>
      </c>
      <c r="P603" s="644">
        <v>100</v>
      </c>
    </row>
    <row r="604" spans="1:16" ht="15.75" customHeight="1">
      <c r="A604" s="661" t="s">
        <v>2446</v>
      </c>
      <c r="B604" s="635">
        <v>45189</v>
      </c>
      <c r="C604" s="636" t="s">
        <v>1597</v>
      </c>
      <c r="D604" s="636" t="s">
        <v>1598</v>
      </c>
      <c r="E604" s="637">
        <v>11.9</v>
      </c>
      <c r="F604" s="634" t="s">
        <v>1599</v>
      </c>
      <c r="G604" s="634" t="s">
        <v>1600</v>
      </c>
      <c r="H604" s="634" t="s">
        <v>1828</v>
      </c>
      <c r="I604" s="639">
        <v>7448</v>
      </c>
      <c r="J604" s="638" t="s">
        <v>1599</v>
      </c>
      <c r="K604" s="640">
        <v>3890</v>
      </c>
      <c r="L604" s="645">
        <f t="shared" si="20"/>
        <v>21477</v>
      </c>
      <c r="M604" s="902">
        <v>25367</v>
      </c>
      <c r="N604" s="911">
        <v>17318</v>
      </c>
      <c r="O604" s="636">
        <v>0</v>
      </c>
      <c r="P604" s="646">
        <v>100</v>
      </c>
    </row>
    <row r="605" spans="1:16" ht="15.75" customHeight="1">
      <c r="A605" s="660" t="s">
        <v>2447</v>
      </c>
      <c r="B605" s="629">
        <v>45189</v>
      </c>
      <c r="C605" s="618" t="s">
        <v>1597</v>
      </c>
      <c r="D605" s="618" t="s">
        <v>1598</v>
      </c>
      <c r="E605" s="630">
        <v>11.9</v>
      </c>
      <c r="F605" s="628" t="s">
        <v>1599</v>
      </c>
      <c r="G605" s="628" t="s">
        <v>1600</v>
      </c>
      <c r="H605" s="628" t="s">
        <v>1828</v>
      </c>
      <c r="I605" s="632">
        <v>7448</v>
      </c>
      <c r="J605" s="631" t="s">
        <v>1599</v>
      </c>
      <c r="K605" s="633">
        <v>3890</v>
      </c>
      <c r="L605" s="643">
        <f t="shared" si="20"/>
        <v>23982</v>
      </c>
      <c r="M605" s="901">
        <v>27872</v>
      </c>
      <c r="N605" s="912">
        <v>18607.5</v>
      </c>
      <c r="O605" s="618">
        <v>0</v>
      </c>
      <c r="P605" s="644">
        <v>100</v>
      </c>
    </row>
    <row r="606" spans="1:16" ht="15.75" customHeight="1">
      <c r="A606" s="661" t="s">
        <v>2448</v>
      </c>
      <c r="B606" s="635">
        <v>45191</v>
      </c>
      <c r="C606" s="636" t="s">
        <v>1597</v>
      </c>
      <c r="D606" s="636" t="s">
        <v>1598</v>
      </c>
      <c r="E606" s="637">
        <v>11.9</v>
      </c>
      <c r="F606" s="634" t="s">
        <v>1599</v>
      </c>
      <c r="G606" s="634" t="s">
        <v>1600</v>
      </c>
      <c r="H606" s="634" t="s">
        <v>1828</v>
      </c>
      <c r="I606" s="639">
        <v>7448</v>
      </c>
      <c r="J606" s="638" t="s">
        <v>1599</v>
      </c>
      <c r="K606" s="640">
        <v>3640</v>
      </c>
      <c r="L606" s="645">
        <f t="shared" si="20"/>
        <v>34002</v>
      </c>
      <c r="M606" s="902">
        <v>37642</v>
      </c>
      <c r="N606" s="911">
        <v>21280</v>
      </c>
      <c r="O606" s="636">
        <v>0</v>
      </c>
      <c r="P606" s="646">
        <v>100</v>
      </c>
    </row>
    <row r="607" spans="1:16" ht="15.75" customHeight="1">
      <c r="A607" s="660" t="s">
        <v>2449</v>
      </c>
      <c r="B607" s="629">
        <v>45189</v>
      </c>
      <c r="C607" s="618" t="s">
        <v>1597</v>
      </c>
      <c r="D607" s="618" t="s">
        <v>1598</v>
      </c>
      <c r="E607" s="630">
        <v>11.9</v>
      </c>
      <c r="F607" s="628" t="s">
        <v>1599</v>
      </c>
      <c r="G607" s="628" t="s">
        <v>1600</v>
      </c>
      <c r="H607" s="628" t="s">
        <v>1828</v>
      </c>
      <c r="I607" s="632">
        <v>7448</v>
      </c>
      <c r="J607" s="631" t="s">
        <v>1599</v>
      </c>
      <c r="K607" s="633">
        <v>3780</v>
      </c>
      <c r="L607" s="643">
        <f t="shared" si="20"/>
        <v>23952</v>
      </c>
      <c r="M607" s="901">
        <v>27732</v>
      </c>
      <c r="N607" s="912">
        <v>18378</v>
      </c>
      <c r="O607" s="618">
        <v>0</v>
      </c>
      <c r="P607" s="644">
        <v>100</v>
      </c>
    </row>
    <row r="608" spans="1:16" ht="15.75" customHeight="1">
      <c r="A608" s="661" t="s">
        <v>2450</v>
      </c>
      <c r="B608" s="635">
        <v>45184</v>
      </c>
      <c r="C608" s="636" t="s">
        <v>1597</v>
      </c>
      <c r="D608" s="636" t="s">
        <v>1598</v>
      </c>
      <c r="E608" s="637">
        <v>4.0999999999999996</v>
      </c>
      <c r="F608" s="634" t="s">
        <v>1599</v>
      </c>
      <c r="G608" s="634" t="s">
        <v>1600</v>
      </c>
      <c r="H608" s="634" t="s">
        <v>1822</v>
      </c>
      <c r="I608" s="639">
        <v>13787</v>
      </c>
      <c r="J608" s="638" t="s">
        <v>1599</v>
      </c>
      <c r="K608" s="640">
        <v>7815.5</v>
      </c>
      <c r="L608" s="645">
        <f t="shared" si="20"/>
        <v>3731</v>
      </c>
      <c r="M608" s="902">
        <v>11546.5</v>
      </c>
      <c r="N608" s="911">
        <v>7815.5</v>
      </c>
      <c r="O608" s="636">
        <v>0</v>
      </c>
      <c r="P608" s="646">
        <v>100</v>
      </c>
    </row>
    <row r="609" spans="1:16" ht="15.75" customHeight="1">
      <c r="A609" s="660" t="s">
        <v>2451</v>
      </c>
      <c r="B609" s="629">
        <v>45184</v>
      </c>
      <c r="C609" s="618" t="s">
        <v>1597</v>
      </c>
      <c r="D609" s="618" t="s">
        <v>1598</v>
      </c>
      <c r="E609" s="630">
        <v>7.1</v>
      </c>
      <c r="F609" s="628" t="s">
        <v>1599</v>
      </c>
      <c r="G609" s="628" t="s">
        <v>1600</v>
      </c>
      <c r="H609" s="628" t="s">
        <v>1836</v>
      </c>
      <c r="I609" s="632">
        <v>14544</v>
      </c>
      <c r="J609" s="631" t="s">
        <v>1599</v>
      </c>
      <c r="K609" s="633">
        <v>3840</v>
      </c>
      <c r="L609" s="643">
        <f t="shared" si="20"/>
        <v>19071.599999999999</v>
      </c>
      <c r="M609" s="901">
        <v>22911.599999999999</v>
      </c>
      <c r="N609" s="912">
        <v>15602.4</v>
      </c>
      <c r="O609" s="618">
        <v>0</v>
      </c>
      <c r="P609" s="644">
        <v>100</v>
      </c>
    </row>
    <row r="610" spans="1:16" ht="15.75" customHeight="1">
      <c r="A610" s="661" t="s">
        <v>2452</v>
      </c>
      <c r="B610" s="635">
        <v>45196</v>
      </c>
      <c r="C610" s="636" t="s">
        <v>1597</v>
      </c>
      <c r="D610" s="636" t="s">
        <v>1598</v>
      </c>
      <c r="E610" s="637">
        <v>6.5</v>
      </c>
      <c r="F610" s="634" t="s">
        <v>1599</v>
      </c>
      <c r="G610" s="634" t="s">
        <v>1600</v>
      </c>
      <c r="H610" s="634" t="s">
        <v>2089</v>
      </c>
      <c r="I610" s="639">
        <v>8687</v>
      </c>
      <c r="J610" s="638" t="s">
        <v>1599</v>
      </c>
      <c r="K610" s="640">
        <v>3660</v>
      </c>
      <c r="L610" s="645">
        <f t="shared" si="20"/>
        <v>13717.900000000001</v>
      </c>
      <c r="M610" s="902">
        <v>17377.900000000001</v>
      </c>
      <c r="N610" s="911">
        <v>11188.4</v>
      </c>
      <c r="O610" s="636">
        <v>0</v>
      </c>
      <c r="P610" s="646">
        <v>100</v>
      </c>
    </row>
    <row r="611" spans="1:16" ht="15.75" customHeight="1">
      <c r="A611" s="660" t="s">
        <v>2453</v>
      </c>
      <c r="B611" s="629">
        <v>45197</v>
      </c>
      <c r="C611" s="618" t="s">
        <v>1597</v>
      </c>
      <c r="D611" s="618" t="s">
        <v>1598</v>
      </c>
      <c r="E611" s="630">
        <v>6.5</v>
      </c>
      <c r="F611" s="628" t="s">
        <v>1599</v>
      </c>
      <c r="G611" s="628" t="s">
        <v>1600</v>
      </c>
      <c r="H611" s="628" t="s">
        <v>1801</v>
      </c>
      <c r="I611" s="632">
        <v>9292</v>
      </c>
      <c r="J611" s="631" t="s">
        <v>1599</v>
      </c>
      <c r="K611" s="633">
        <v>2080</v>
      </c>
      <c r="L611" s="643">
        <f t="shared" si="20"/>
        <v>14805</v>
      </c>
      <c r="M611" s="901">
        <v>16885</v>
      </c>
      <c r="N611" s="912">
        <v>14226.6</v>
      </c>
      <c r="O611" s="618">
        <v>0</v>
      </c>
      <c r="P611" s="644">
        <v>100</v>
      </c>
    </row>
    <row r="612" spans="1:16" ht="15.75" customHeight="1">
      <c r="A612" s="661" t="s">
        <v>2454</v>
      </c>
      <c r="B612" s="635">
        <v>45197</v>
      </c>
      <c r="C612" s="636" t="s">
        <v>1597</v>
      </c>
      <c r="D612" s="636" t="s">
        <v>1598</v>
      </c>
      <c r="E612" s="637">
        <v>6.5</v>
      </c>
      <c r="F612" s="634" t="s">
        <v>1599</v>
      </c>
      <c r="G612" s="634" t="s">
        <v>1600</v>
      </c>
      <c r="H612" s="634" t="s">
        <v>1850</v>
      </c>
      <c r="I612" s="639">
        <v>9687</v>
      </c>
      <c r="J612" s="638" t="s">
        <v>1599</v>
      </c>
      <c r="K612" s="640">
        <v>2190</v>
      </c>
      <c r="L612" s="645">
        <f t="shared" si="20"/>
        <v>4152</v>
      </c>
      <c r="M612" s="902">
        <v>6342</v>
      </c>
      <c r="N612" s="911">
        <v>3280</v>
      </c>
      <c r="O612" s="636">
        <v>0</v>
      </c>
      <c r="P612" s="646">
        <v>100</v>
      </c>
    </row>
    <row r="613" spans="1:16" ht="15.75" customHeight="1">
      <c r="A613" s="660" t="s">
        <v>2455</v>
      </c>
      <c r="B613" s="629">
        <v>45189</v>
      </c>
      <c r="C613" s="618" t="s">
        <v>1597</v>
      </c>
      <c r="D613" s="618" t="s">
        <v>1598</v>
      </c>
      <c r="E613" s="630">
        <v>6.2</v>
      </c>
      <c r="F613" s="628" t="s">
        <v>1599</v>
      </c>
      <c r="G613" s="628" t="s">
        <v>1600</v>
      </c>
      <c r="H613" s="628" t="s">
        <v>1815</v>
      </c>
      <c r="I613" s="632">
        <v>17387</v>
      </c>
      <c r="J613" s="631" t="s">
        <v>1599</v>
      </c>
      <c r="K613" s="633">
        <v>3700</v>
      </c>
      <c r="L613" s="643">
        <f t="shared" si="20"/>
        <v>18130.400000000001</v>
      </c>
      <c r="M613" s="901">
        <v>21830.400000000001</v>
      </c>
      <c r="N613" s="912">
        <v>15851.52</v>
      </c>
      <c r="O613" s="618">
        <v>0</v>
      </c>
      <c r="P613" s="644">
        <v>100</v>
      </c>
    </row>
    <row r="614" spans="1:16" ht="15.75" customHeight="1">
      <c r="A614" s="661" t="s">
        <v>2456</v>
      </c>
      <c r="B614" s="635">
        <v>45187</v>
      </c>
      <c r="C614" s="636" t="s">
        <v>1597</v>
      </c>
      <c r="D614" s="636" t="s">
        <v>1598</v>
      </c>
      <c r="E614" s="637">
        <v>7.1</v>
      </c>
      <c r="F614" s="634" t="s">
        <v>1599</v>
      </c>
      <c r="G614" s="634" t="s">
        <v>1600</v>
      </c>
      <c r="H614" s="634" t="s">
        <v>1880</v>
      </c>
      <c r="I614" s="639">
        <v>13558</v>
      </c>
      <c r="J614" s="638" t="s">
        <v>1599</v>
      </c>
      <c r="K614" s="640">
        <v>3780</v>
      </c>
      <c r="L614" s="645">
        <f t="shared" si="20"/>
        <v>14875.2</v>
      </c>
      <c r="M614" s="902">
        <v>18655.2</v>
      </c>
      <c r="N614" s="911">
        <v>12262.6</v>
      </c>
      <c r="O614" s="636">
        <v>0</v>
      </c>
      <c r="P614" s="646">
        <v>100</v>
      </c>
    </row>
    <row r="615" spans="1:16" ht="15.75" customHeight="1">
      <c r="A615" s="660" t="s">
        <v>2457</v>
      </c>
      <c r="B615" s="629">
        <v>45190</v>
      </c>
      <c r="C615" s="618" t="s">
        <v>1597</v>
      </c>
      <c r="D615" s="618" t="s">
        <v>1598</v>
      </c>
      <c r="E615" s="630">
        <v>6.5</v>
      </c>
      <c r="F615" s="628" t="s">
        <v>1599</v>
      </c>
      <c r="G615" s="628" t="s">
        <v>1600</v>
      </c>
      <c r="H615" s="628" t="s">
        <v>1884</v>
      </c>
      <c r="I615" s="632">
        <v>13413</v>
      </c>
      <c r="J615" s="631" t="s">
        <v>1599</v>
      </c>
      <c r="K615" s="633">
        <v>3820</v>
      </c>
      <c r="L615" s="643">
        <f t="shared" si="20"/>
        <v>14102</v>
      </c>
      <c r="M615" s="901">
        <v>17922</v>
      </c>
      <c r="N615" s="912">
        <v>11242</v>
      </c>
      <c r="O615" s="618">
        <v>0</v>
      </c>
      <c r="P615" s="644">
        <v>100</v>
      </c>
    </row>
    <row r="616" spans="1:16" ht="15.75" customHeight="1">
      <c r="A616" s="661" t="s">
        <v>2458</v>
      </c>
      <c r="B616" s="635">
        <v>45190</v>
      </c>
      <c r="C616" s="636" t="s">
        <v>1597</v>
      </c>
      <c r="D616" s="636" t="s">
        <v>1598</v>
      </c>
      <c r="E616" s="637">
        <v>6</v>
      </c>
      <c r="F616" s="634" t="s">
        <v>1599</v>
      </c>
      <c r="G616" s="634" t="s">
        <v>1600</v>
      </c>
      <c r="H616" s="634" t="s">
        <v>1818</v>
      </c>
      <c r="I616" s="639">
        <v>14000</v>
      </c>
      <c r="J616" s="638" t="s">
        <v>1599</v>
      </c>
      <c r="K616" s="640">
        <v>3900</v>
      </c>
      <c r="L616" s="645">
        <f t="shared" si="20"/>
        <v>16635.46</v>
      </c>
      <c r="M616" s="902">
        <v>20535.46</v>
      </c>
      <c r="N616" s="911">
        <v>14384.18</v>
      </c>
      <c r="O616" s="636">
        <v>0</v>
      </c>
      <c r="P616" s="646">
        <v>100</v>
      </c>
    </row>
    <row r="617" spans="1:16" ht="15.75" customHeight="1">
      <c r="A617" s="660" t="s">
        <v>2459</v>
      </c>
      <c r="B617" s="629">
        <v>45190</v>
      </c>
      <c r="C617" s="618" t="s">
        <v>1597</v>
      </c>
      <c r="D617" s="618" t="s">
        <v>1598</v>
      </c>
      <c r="E617" s="630">
        <v>6</v>
      </c>
      <c r="F617" s="628" t="s">
        <v>1599</v>
      </c>
      <c r="G617" s="628" t="s">
        <v>1600</v>
      </c>
      <c r="H617" s="628" t="s">
        <v>1818</v>
      </c>
      <c r="I617" s="632">
        <v>14000</v>
      </c>
      <c r="J617" s="631" t="s">
        <v>1599</v>
      </c>
      <c r="K617" s="633">
        <v>3830</v>
      </c>
      <c r="L617" s="643">
        <f t="shared" si="20"/>
        <v>17825.22</v>
      </c>
      <c r="M617" s="901">
        <v>21655.22</v>
      </c>
      <c r="N617" s="912">
        <v>15572.34</v>
      </c>
      <c r="O617" s="618">
        <v>0</v>
      </c>
      <c r="P617" s="644">
        <v>100</v>
      </c>
    </row>
    <row r="618" spans="1:16" ht="15.75" customHeight="1">
      <c r="A618" s="661" t="s">
        <v>2460</v>
      </c>
      <c r="B618" s="635">
        <v>45190</v>
      </c>
      <c r="C618" s="636" t="s">
        <v>1597</v>
      </c>
      <c r="D618" s="636" t="s">
        <v>1598</v>
      </c>
      <c r="E618" s="637">
        <v>6</v>
      </c>
      <c r="F618" s="634" t="s">
        <v>1599</v>
      </c>
      <c r="G618" s="634" t="s">
        <v>1600</v>
      </c>
      <c r="H618" s="634" t="s">
        <v>1818</v>
      </c>
      <c r="I618" s="639">
        <v>14000</v>
      </c>
      <c r="J618" s="638" t="s">
        <v>1599</v>
      </c>
      <c r="K618" s="640">
        <v>3820</v>
      </c>
      <c r="L618" s="645">
        <f t="shared" si="20"/>
        <v>18289.38</v>
      </c>
      <c r="M618" s="902">
        <v>22109.38</v>
      </c>
      <c r="N618" s="911">
        <v>16058.02</v>
      </c>
      <c r="O618" s="636">
        <v>0</v>
      </c>
      <c r="P618" s="646">
        <v>100</v>
      </c>
    </row>
    <row r="619" spans="1:16" ht="15.75" customHeight="1">
      <c r="A619" s="660" t="s">
        <v>2461</v>
      </c>
      <c r="B619" s="629">
        <v>45194</v>
      </c>
      <c r="C619" s="618" t="s">
        <v>1597</v>
      </c>
      <c r="D619" s="618" t="s">
        <v>1598</v>
      </c>
      <c r="E619" s="630">
        <v>11.9</v>
      </c>
      <c r="F619" s="628" t="s">
        <v>1599</v>
      </c>
      <c r="G619" s="628" t="s">
        <v>1600</v>
      </c>
      <c r="H619" s="628" t="s">
        <v>1866</v>
      </c>
      <c r="I619" s="632">
        <v>2597</v>
      </c>
      <c r="J619" s="631" t="s">
        <v>1599</v>
      </c>
      <c r="K619" s="633">
        <v>2100</v>
      </c>
      <c r="L619" s="643">
        <f t="shared" si="20"/>
        <v>6171</v>
      </c>
      <c r="M619" s="901">
        <v>8271</v>
      </c>
      <c r="N619" s="912">
        <v>5029</v>
      </c>
      <c r="O619" s="618">
        <v>0</v>
      </c>
      <c r="P619" s="644">
        <v>100</v>
      </c>
    </row>
    <row r="620" spans="1:16" ht="15.75" customHeight="1">
      <c r="A620" s="661" t="s">
        <v>2462</v>
      </c>
      <c r="B620" s="635">
        <v>45188</v>
      </c>
      <c r="C620" s="636" t="s">
        <v>1597</v>
      </c>
      <c r="D620" s="636" t="s">
        <v>1598</v>
      </c>
      <c r="E620" s="637">
        <v>7.1</v>
      </c>
      <c r="F620" s="634" t="s">
        <v>1599</v>
      </c>
      <c r="G620" s="634" t="s">
        <v>1600</v>
      </c>
      <c r="H620" s="634" t="s">
        <v>1886</v>
      </c>
      <c r="I620" s="639">
        <v>13877</v>
      </c>
      <c r="J620" s="638" t="s">
        <v>1599</v>
      </c>
      <c r="K620" s="640">
        <v>3840</v>
      </c>
      <c r="L620" s="645">
        <f t="shared" si="20"/>
        <v>19599.5</v>
      </c>
      <c r="M620" s="902">
        <v>23439.5</v>
      </c>
      <c r="N620" s="911">
        <v>15795</v>
      </c>
      <c r="O620" s="636">
        <v>0</v>
      </c>
      <c r="P620" s="646">
        <v>100</v>
      </c>
    </row>
    <row r="621" spans="1:16" ht="15.75" customHeight="1">
      <c r="A621" s="660" t="s">
        <v>2463</v>
      </c>
      <c r="B621" s="629">
        <v>45188</v>
      </c>
      <c r="C621" s="618" t="s">
        <v>1597</v>
      </c>
      <c r="D621" s="618" t="s">
        <v>1598</v>
      </c>
      <c r="E621" s="630">
        <v>7.1</v>
      </c>
      <c r="F621" s="628" t="s">
        <v>1599</v>
      </c>
      <c r="G621" s="628" t="s">
        <v>1600</v>
      </c>
      <c r="H621" s="628" t="s">
        <v>1886</v>
      </c>
      <c r="I621" s="632">
        <v>13877</v>
      </c>
      <c r="J621" s="631" t="s">
        <v>1599</v>
      </c>
      <c r="K621" s="633">
        <v>3830</v>
      </c>
      <c r="L621" s="643">
        <f t="shared" si="20"/>
        <v>9774.2000000000007</v>
      </c>
      <c r="M621" s="901">
        <v>13604.2</v>
      </c>
      <c r="N621" s="912">
        <v>6917.4</v>
      </c>
      <c r="O621" s="618">
        <v>0</v>
      </c>
      <c r="P621" s="644">
        <v>100</v>
      </c>
    </row>
    <row r="622" spans="1:16" ht="15.75" customHeight="1">
      <c r="A622" s="661" t="s">
        <v>2464</v>
      </c>
      <c r="B622" s="635">
        <v>45188</v>
      </c>
      <c r="C622" s="636" t="s">
        <v>1597</v>
      </c>
      <c r="D622" s="636" t="s">
        <v>1598</v>
      </c>
      <c r="E622" s="637">
        <v>7.1</v>
      </c>
      <c r="F622" s="634" t="s">
        <v>1599</v>
      </c>
      <c r="G622" s="634" t="s">
        <v>1600</v>
      </c>
      <c r="H622" s="634" t="s">
        <v>1886</v>
      </c>
      <c r="I622" s="639">
        <v>13877</v>
      </c>
      <c r="J622" s="638" t="s">
        <v>1599</v>
      </c>
      <c r="K622" s="640">
        <v>3700</v>
      </c>
      <c r="L622" s="645">
        <f t="shared" si="20"/>
        <v>12014</v>
      </c>
      <c r="M622" s="902">
        <v>15714</v>
      </c>
      <c r="N622" s="911">
        <v>8988</v>
      </c>
      <c r="O622" s="636">
        <v>0</v>
      </c>
      <c r="P622" s="646">
        <v>100</v>
      </c>
    </row>
    <row r="623" spans="1:16" ht="15.75" customHeight="1">
      <c r="A623" s="660" t="s">
        <v>2465</v>
      </c>
      <c r="B623" s="629">
        <v>45191</v>
      </c>
      <c r="C623" s="618" t="s">
        <v>1597</v>
      </c>
      <c r="D623" s="618" t="s">
        <v>1598</v>
      </c>
      <c r="E623" s="630">
        <v>7.1</v>
      </c>
      <c r="F623" s="628" t="s">
        <v>1599</v>
      </c>
      <c r="G623" s="628" t="s">
        <v>1600</v>
      </c>
      <c r="H623" s="628" t="s">
        <v>1886</v>
      </c>
      <c r="I623" s="632">
        <v>13877</v>
      </c>
      <c r="J623" s="631" t="s">
        <v>1599</v>
      </c>
      <c r="K623" s="633">
        <v>3830</v>
      </c>
      <c r="L623" s="643">
        <f t="shared" si="20"/>
        <v>12014</v>
      </c>
      <c r="M623" s="901">
        <v>15844</v>
      </c>
      <c r="N623" s="912">
        <v>8988</v>
      </c>
      <c r="O623" s="618">
        <v>0</v>
      </c>
      <c r="P623" s="644">
        <v>100</v>
      </c>
    </row>
    <row r="624" spans="1:16" ht="15.75" customHeight="1">
      <c r="A624" s="661" t="s">
        <v>2466</v>
      </c>
      <c r="B624" s="635">
        <v>45190</v>
      </c>
      <c r="C624" s="636" t="s">
        <v>1597</v>
      </c>
      <c r="D624" s="636" t="s">
        <v>1598</v>
      </c>
      <c r="E624" s="637">
        <v>7.1</v>
      </c>
      <c r="F624" s="634" t="s">
        <v>1599</v>
      </c>
      <c r="G624" s="634" t="s">
        <v>1600</v>
      </c>
      <c r="H624" s="634" t="s">
        <v>1941</v>
      </c>
      <c r="I624" s="639">
        <v>1588</v>
      </c>
      <c r="J624" s="638" t="s">
        <v>1599</v>
      </c>
      <c r="K624" s="640">
        <v>2180</v>
      </c>
      <c r="L624" s="645">
        <f t="shared" si="20"/>
        <v>4025.7200000000003</v>
      </c>
      <c r="M624" s="902">
        <v>6205.72</v>
      </c>
      <c r="N624" s="911">
        <v>2998.74</v>
      </c>
      <c r="O624" s="636">
        <v>0</v>
      </c>
      <c r="P624" s="646">
        <v>100</v>
      </c>
    </row>
    <row r="625" spans="1:16" ht="15.75" customHeight="1">
      <c r="A625" s="660" t="s">
        <v>2467</v>
      </c>
      <c r="B625" s="629">
        <v>45189</v>
      </c>
      <c r="C625" s="618" t="s">
        <v>1597</v>
      </c>
      <c r="D625" s="618" t="s">
        <v>1598</v>
      </c>
      <c r="E625" s="630">
        <v>6.5</v>
      </c>
      <c r="F625" s="628" t="s">
        <v>1599</v>
      </c>
      <c r="G625" s="628" t="s">
        <v>1600</v>
      </c>
      <c r="H625" s="628" t="s">
        <v>1963</v>
      </c>
      <c r="I625" s="632">
        <v>14253</v>
      </c>
      <c r="J625" s="631" t="s">
        <v>1599</v>
      </c>
      <c r="K625" s="633">
        <v>3700</v>
      </c>
      <c r="L625" s="643">
        <f t="shared" si="20"/>
        <v>11555.03</v>
      </c>
      <c r="M625" s="901">
        <v>15255.03</v>
      </c>
      <c r="N625" s="912">
        <v>8234.73</v>
      </c>
      <c r="O625" s="618">
        <v>0</v>
      </c>
      <c r="P625" s="644">
        <v>100</v>
      </c>
    </row>
    <row r="626" spans="1:16" ht="15.75" customHeight="1">
      <c r="A626" s="661" t="s">
        <v>2468</v>
      </c>
      <c r="B626" s="635">
        <v>45189</v>
      </c>
      <c r="C626" s="636" t="s">
        <v>1597</v>
      </c>
      <c r="D626" s="636" t="s">
        <v>1598</v>
      </c>
      <c r="E626" s="637">
        <v>6.5</v>
      </c>
      <c r="F626" s="634" t="s">
        <v>1599</v>
      </c>
      <c r="G626" s="634" t="s">
        <v>1600</v>
      </c>
      <c r="H626" s="634" t="s">
        <v>1822</v>
      </c>
      <c r="I626" s="639">
        <v>13787</v>
      </c>
      <c r="J626" s="638" t="s">
        <v>1599</v>
      </c>
      <c r="K626" s="640">
        <v>8943.5</v>
      </c>
      <c r="L626" s="645">
        <f t="shared" si="20"/>
        <v>3275</v>
      </c>
      <c r="M626" s="902">
        <v>12218.5</v>
      </c>
      <c r="N626" s="911">
        <v>8943.5</v>
      </c>
      <c r="O626" s="636">
        <v>0</v>
      </c>
      <c r="P626" s="646">
        <v>100</v>
      </c>
    </row>
    <row r="627" spans="1:16" ht="15.75" customHeight="1">
      <c r="A627" s="385" t="s">
        <v>2469</v>
      </c>
      <c r="B627" s="652">
        <v>45202</v>
      </c>
      <c r="C627" s="309" t="s">
        <v>1597</v>
      </c>
      <c r="D627" s="309" t="s">
        <v>1598</v>
      </c>
      <c r="E627" s="655">
        <v>5.8</v>
      </c>
      <c r="F627" s="385" t="s">
        <v>1599</v>
      </c>
      <c r="G627" s="385" t="s">
        <v>1600</v>
      </c>
      <c r="H627" s="385" t="s">
        <v>1841</v>
      </c>
      <c r="I627" s="653">
        <v>9486</v>
      </c>
      <c r="J627" s="228" t="s">
        <v>1599</v>
      </c>
      <c r="K627" s="656">
        <v>3770</v>
      </c>
      <c r="L627" s="657">
        <v>16726.45</v>
      </c>
      <c r="M627" s="903">
        <v>20496.45</v>
      </c>
      <c r="N627" s="915">
        <v>13407.1</v>
      </c>
      <c r="O627" s="309">
        <v>0</v>
      </c>
      <c r="P627" s="658">
        <v>100</v>
      </c>
    </row>
    <row r="628" spans="1:16" ht="15.75" customHeight="1">
      <c r="A628" s="671" t="s">
        <v>2470</v>
      </c>
      <c r="B628" s="652">
        <v>45189</v>
      </c>
      <c r="C628" s="309" t="s">
        <v>1597</v>
      </c>
      <c r="D628" s="309" t="s">
        <v>1598</v>
      </c>
      <c r="E628" s="655">
        <v>6.2</v>
      </c>
      <c r="F628" s="385" t="s">
        <v>1599</v>
      </c>
      <c r="G628" s="385" t="s">
        <v>1600</v>
      </c>
      <c r="H628" s="385" t="s">
        <v>1836</v>
      </c>
      <c r="I628" s="653">
        <v>14544</v>
      </c>
      <c r="J628" s="228" t="s">
        <v>1599</v>
      </c>
      <c r="K628" s="656">
        <v>3840</v>
      </c>
      <c r="L628" s="657">
        <f>M628-K628</f>
        <v>13786</v>
      </c>
      <c r="M628" s="903">
        <v>17626</v>
      </c>
      <c r="N628" s="915">
        <v>11230</v>
      </c>
      <c r="O628" s="309">
        <v>0</v>
      </c>
      <c r="P628" s="658">
        <v>100</v>
      </c>
    </row>
    <row r="629" spans="1:16" ht="15.75" customHeight="1">
      <c r="A629" s="385" t="s">
        <v>2471</v>
      </c>
      <c r="B629" s="652">
        <v>45202</v>
      </c>
      <c r="C629" s="309" t="s">
        <v>1597</v>
      </c>
      <c r="D629" s="309" t="s">
        <v>1598</v>
      </c>
      <c r="E629" s="655">
        <v>5.8</v>
      </c>
      <c r="F629" s="385" t="s">
        <v>1599</v>
      </c>
      <c r="G629" s="385" t="s">
        <v>1600</v>
      </c>
      <c r="H629" s="385" t="s">
        <v>1841</v>
      </c>
      <c r="I629" s="653">
        <v>9486</v>
      </c>
      <c r="J629" s="228" t="s">
        <v>1599</v>
      </c>
      <c r="K629" s="656">
        <v>3840</v>
      </c>
      <c r="L629" s="657">
        <v>15770.55</v>
      </c>
      <c r="M629" s="903">
        <v>19610.55</v>
      </c>
      <c r="N629" s="915">
        <v>10973.5</v>
      </c>
      <c r="O629" s="309">
        <v>0</v>
      </c>
      <c r="P629" s="658">
        <v>100</v>
      </c>
    </row>
    <row r="630" spans="1:16" ht="15.75" customHeight="1">
      <c r="A630" s="661" t="s">
        <v>2472</v>
      </c>
      <c r="B630" s="635">
        <v>45189</v>
      </c>
      <c r="C630" s="636" t="s">
        <v>1597</v>
      </c>
      <c r="D630" s="636" t="s">
        <v>1598</v>
      </c>
      <c r="E630" s="637">
        <v>7.5</v>
      </c>
      <c r="F630" s="634" t="s">
        <v>1599</v>
      </c>
      <c r="G630" s="634" t="s">
        <v>1600</v>
      </c>
      <c r="H630" s="634" t="s">
        <v>1941</v>
      </c>
      <c r="I630" s="639">
        <v>1588</v>
      </c>
      <c r="J630" s="638" t="s">
        <v>1599</v>
      </c>
      <c r="K630" s="640">
        <v>2120</v>
      </c>
      <c r="L630" s="645">
        <f t="shared" ref="L630:L693" si="21">M630-K630</f>
        <v>3994.8999999999996</v>
      </c>
      <c r="M630" s="902">
        <v>6114.9</v>
      </c>
      <c r="N630" s="911">
        <v>2748.9</v>
      </c>
      <c r="O630" s="636">
        <v>0</v>
      </c>
      <c r="P630" s="646">
        <v>100</v>
      </c>
    </row>
    <row r="631" spans="1:16" ht="15.75" customHeight="1">
      <c r="A631" s="660" t="s">
        <v>2473</v>
      </c>
      <c r="B631" s="629">
        <v>45197</v>
      </c>
      <c r="C631" s="618" t="s">
        <v>1597</v>
      </c>
      <c r="D631" s="618" t="s">
        <v>1598</v>
      </c>
      <c r="E631" s="630">
        <v>11.9</v>
      </c>
      <c r="F631" s="628" t="s">
        <v>1599</v>
      </c>
      <c r="G631" s="628" t="s">
        <v>1600</v>
      </c>
      <c r="H631" s="628" t="s">
        <v>2003</v>
      </c>
      <c r="I631" s="632">
        <v>9292</v>
      </c>
      <c r="J631" s="631" t="s">
        <v>1599</v>
      </c>
      <c r="K631" s="633">
        <v>3750</v>
      </c>
      <c r="L631" s="643">
        <f t="shared" si="21"/>
        <v>11418</v>
      </c>
      <c r="M631" s="901">
        <v>15168</v>
      </c>
      <c r="N631" s="912">
        <v>7386</v>
      </c>
      <c r="O631" s="618">
        <v>0</v>
      </c>
      <c r="P631" s="644">
        <v>100</v>
      </c>
    </row>
    <row r="632" spans="1:16" ht="15.75" customHeight="1">
      <c r="A632" s="661" t="s">
        <v>2474</v>
      </c>
      <c r="B632" s="635">
        <v>45194</v>
      </c>
      <c r="C632" s="636" t="s">
        <v>1597</v>
      </c>
      <c r="D632" s="636" t="s">
        <v>1598</v>
      </c>
      <c r="E632" s="637">
        <v>11.9</v>
      </c>
      <c r="F632" s="634" t="s">
        <v>1599</v>
      </c>
      <c r="G632" s="634" t="s">
        <v>1600</v>
      </c>
      <c r="H632" s="634" t="s">
        <v>1807</v>
      </c>
      <c r="I632" s="639">
        <v>1734</v>
      </c>
      <c r="J632" s="638" t="s">
        <v>1599</v>
      </c>
      <c r="K632" s="640">
        <v>3600</v>
      </c>
      <c r="L632" s="645">
        <f t="shared" si="21"/>
        <v>12398.5</v>
      </c>
      <c r="M632" s="902">
        <v>15998.5</v>
      </c>
      <c r="N632" s="911">
        <v>9594</v>
      </c>
      <c r="O632" s="636">
        <v>0</v>
      </c>
      <c r="P632" s="646">
        <v>100</v>
      </c>
    </row>
    <row r="633" spans="1:16" ht="15.75" customHeight="1">
      <c r="A633" s="660" t="s">
        <v>2475</v>
      </c>
      <c r="B633" s="629">
        <v>45195</v>
      </c>
      <c r="C633" s="618" t="s">
        <v>1597</v>
      </c>
      <c r="D633" s="618" t="s">
        <v>1598</v>
      </c>
      <c r="E633" s="630">
        <v>7.5</v>
      </c>
      <c r="F633" s="628" t="s">
        <v>1599</v>
      </c>
      <c r="G633" s="628" t="s">
        <v>1600</v>
      </c>
      <c r="H633" s="628" t="s">
        <v>1798</v>
      </c>
      <c r="I633" s="632">
        <v>1931</v>
      </c>
      <c r="J633" s="631" t="s">
        <v>1599</v>
      </c>
      <c r="K633" s="633">
        <v>5214</v>
      </c>
      <c r="L633" s="643">
        <f t="shared" si="21"/>
        <v>912</v>
      </c>
      <c r="M633" s="901">
        <v>6126</v>
      </c>
      <c r="N633" s="912">
        <v>5214</v>
      </c>
      <c r="O633" s="618">
        <v>0</v>
      </c>
      <c r="P633" s="644">
        <v>100</v>
      </c>
    </row>
    <row r="634" spans="1:16" ht="15.75" customHeight="1">
      <c r="A634" s="661" t="s">
        <v>2476</v>
      </c>
      <c r="B634" s="635">
        <v>45195</v>
      </c>
      <c r="C634" s="636" t="s">
        <v>1597</v>
      </c>
      <c r="D634" s="636" t="s">
        <v>1598</v>
      </c>
      <c r="E634" s="637">
        <v>11.9</v>
      </c>
      <c r="F634" s="634" t="s">
        <v>1599</v>
      </c>
      <c r="G634" s="634" t="s">
        <v>1600</v>
      </c>
      <c r="H634" s="634" t="s">
        <v>1844</v>
      </c>
      <c r="I634" s="639">
        <v>5727</v>
      </c>
      <c r="J634" s="638" t="s">
        <v>1599</v>
      </c>
      <c r="K634" s="640">
        <v>2280</v>
      </c>
      <c r="L634" s="645">
        <f t="shared" si="21"/>
        <v>6756.7800000000007</v>
      </c>
      <c r="M634" s="902">
        <v>9036.7800000000007</v>
      </c>
      <c r="N634" s="911">
        <v>5815.21</v>
      </c>
      <c r="O634" s="636">
        <v>0</v>
      </c>
      <c r="P634" s="646">
        <v>100</v>
      </c>
    </row>
    <row r="635" spans="1:16" ht="15.75" customHeight="1">
      <c r="A635" s="660" t="s">
        <v>2477</v>
      </c>
      <c r="B635" s="629">
        <v>45195</v>
      </c>
      <c r="C635" s="618" t="s">
        <v>1597</v>
      </c>
      <c r="D635" s="618" t="s">
        <v>1598</v>
      </c>
      <c r="E635" s="630">
        <v>11.9</v>
      </c>
      <c r="F635" s="628" t="s">
        <v>1599</v>
      </c>
      <c r="G635" s="628" t="s">
        <v>1600</v>
      </c>
      <c r="H635" s="628" t="s">
        <v>1846</v>
      </c>
      <c r="I635" s="632">
        <v>5317</v>
      </c>
      <c r="J635" s="631" t="s">
        <v>1599</v>
      </c>
      <c r="K635" s="633">
        <v>2180</v>
      </c>
      <c r="L635" s="643">
        <f t="shared" si="21"/>
        <v>6717.7999999999993</v>
      </c>
      <c r="M635" s="901">
        <v>8897.7999999999993</v>
      </c>
      <c r="N635" s="912">
        <v>5665.63</v>
      </c>
      <c r="O635" s="618">
        <v>0</v>
      </c>
      <c r="P635" s="644">
        <v>100</v>
      </c>
    </row>
    <row r="636" spans="1:16" ht="15.75" customHeight="1">
      <c r="A636" s="661" t="s">
        <v>2478</v>
      </c>
      <c r="B636" s="635">
        <v>45194</v>
      </c>
      <c r="C636" s="636" t="s">
        <v>1597</v>
      </c>
      <c r="D636" s="636" t="s">
        <v>1598</v>
      </c>
      <c r="E636" s="637">
        <v>11.9</v>
      </c>
      <c r="F636" s="634" t="s">
        <v>1599</v>
      </c>
      <c r="G636" s="634" t="s">
        <v>1600</v>
      </c>
      <c r="H636" s="634" t="s">
        <v>1912</v>
      </c>
      <c r="I636" s="639">
        <v>4929</v>
      </c>
      <c r="J636" s="638" t="s">
        <v>1599</v>
      </c>
      <c r="K636" s="640">
        <v>2220</v>
      </c>
      <c r="L636" s="645">
        <f t="shared" si="21"/>
        <v>7760.18</v>
      </c>
      <c r="M636" s="902">
        <v>9980.18</v>
      </c>
      <c r="N636" s="911">
        <v>6845.63</v>
      </c>
      <c r="O636" s="636">
        <v>0</v>
      </c>
      <c r="P636" s="646">
        <v>100</v>
      </c>
    </row>
    <row r="637" spans="1:16" ht="15.75" customHeight="1">
      <c r="A637" s="660" t="s">
        <v>2479</v>
      </c>
      <c r="B637" s="629">
        <v>45197</v>
      </c>
      <c r="C637" s="618" t="s">
        <v>1597</v>
      </c>
      <c r="D637" s="618" t="s">
        <v>1598</v>
      </c>
      <c r="E637" s="630">
        <v>11.9</v>
      </c>
      <c r="F637" s="628" t="s">
        <v>1599</v>
      </c>
      <c r="G637" s="628" t="s">
        <v>1600</v>
      </c>
      <c r="H637" s="628" t="s">
        <v>1912</v>
      </c>
      <c r="I637" s="632">
        <v>4929</v>
      </c>
      <c r="J637" s="631" t="s">
        <v>1599</v>
      </c>
      <c r="K637" s="633">
        <v>3690</v>
      </c>
      <c r="L637" s="643">
        <f t="shared" si="21"/>
        <v>14134.900000000001</v>
      </c>
      <c r="M637" s="901">
        <v>17824.900000000001</v>
      </c>
      <c r="N637" s="912">
        <v>13767.9</v>
      </c>
      <c r="O637" s="618">
        <v>0</v>
      </c>
      <c r="P637" s="644">
        <v>100</v>
      </c>
    </row>
    <row r="638" spans="1:16" ht="15.75" customHeight="1">
      <c r="A638" s="661" t="s">
        <v>2480</v>
      </c>
      <c r="B638" s="635">
        <v>45197</v>
      </c>
      <c r="C638" s="636" t="s">
        <v>1597</v>
      </c>
      <c r="D638" s="636" t="s">
        <v>1598</v>
      </c>
      <c r="E638" s="637">
        <v>6</v>
      </c>
      <c r="F638" s="634" t="s">
        <v>1599</v>
      </c>
      <c r="G638" s="634" t="s">
        <v>1600</v>
      </c>
      <c r="H638" s="634" t="s">
        <v>1818</v>
      </c>
      <c r="I638" s="639">
        <v>14000</v>
      </c>
      <c r="J638" s="638" t="s">
        <v>1599</v>
      </c>
      <c r="K638" s="640">
        <v>3820</v>
      </c>
      <c r="L638" s="645">
        <f t="shared" si="21"/>
        <v>17938.439999999999</v>
      </c>
      <c r="M638" s="902">
        <v>21758.44</v>
      </c>
      <c r="N638" s="911">
        <v>15296.18</v>
      </c>
      <c r="O638" s="636">
        <v>0</v>
      </c>
      <c r="P638" s="646">
        <v>100</v>
      </c>
    </row>
    <row r="639" spans="1:16" ht="15.75" customHeight="1">
      <c r="A639" s="660" t="s">
        <v>2481</v>
      </c>
      <c r="B639" s="629">
        <v>45196</v>
      </c>
      <c r="C639" s="618" t="s">
        <v>1597</v>
      </c>
      <c r="D639" s="618" t="s">
        <v>1598</v>
      </c>
      <c r="E639" s="630">
        <v>6.2</v>
      </c>
      <c r="F639" s="628" t="s">
        <v>1599</v>
      </c>
      <c r="G639" s="628" t="s">
        <v>1600</v>
      </c>
      <c r="H639" s="628" t="s">
        <v>1884</v>
      </c>
      <c r="I639" s="632">
        <v>13413</v>
      </c>
      <c r="J639" s="631" t="s">
        <v>1599</v>
      </c>
      <c r="K639" s="633">
        <v>3860</v>
      </c>
      <c r="L639" s="643">
        <f t="shared" si="21"/>
        <v>11979</v>
      </c>
      <c r="M639" s="901">
        <v>15839</v>
      </c>
      <c r="N639" s="912">
        <v>11977</v>
      </c>
      <c r="O639" s="618">
        <v>0</v>
      </c>
      <c r="P639" s="644">
        <v>100</v>
      </c>
    </row>
    <row r="640" spans="1:16" ht="15.75" customHeight="1">
      <c r="A640" s="661" t="s">
        <v>2482</v>
      </c>
      <c r="B640" s="635">
        <v>45197</v>
      </c>
      <c r="C640" s="636" t="s">
        <v>1597</v>
      </c>
      <c r="D640" s="636" t="s">
        <v>1598</v>
      </c>
      <c r="E640" s="637">
        <v>11.9</v>
      </c>
      <c r="F640" s="634" t="s">
        <v>1599</v>
      </c>
      <c r="G640" s="634" t="s">
        <v>1600</v>
      </c>
      <c r="H640" s="634" t="s">
        <v>1828</v>
      </c>
      <c r="I640" s="639">
        <v>7448</v>
      </c>
      <c r="J640" s="638" t="s">
        <v>1599</v>
      </c>
      <c r="K640" s="640">
        <v>3660</v>
      </c>
      <c r="L640" s="645">
        <f t="shared" si="21"/>
        <v>20777</v>
      </c>
      <c r="M640" s="902">
        <v>24437</v>
      </c>
      <c r="N640" s="911">
        <v>18485</v>
      </c>
      <c r="O640" s="636">
        <v>0</v>
      </c>
      <c r="P640" s="646">
        <v>100</v>
      </c>
    </row>
    <row r="641" spans="1:16" ht="15.75" customHeight="1">
      <c r="A641" s="660" t="s">
        <v>2483</v>
      </c>
      <c r="B641" s="629">
        <v>45195</v>
      </c>
      <c r="C641" s="618" t="s">
        <v>1597</v>
      </c>
      <c r="D641" s="618" t="s">
        <v>1598</v>
      </c>
      <c r="E641" s="630">
        <v>7.1</v>
      </c>
      <c r="F641" s="628" t="s">
        <v>1599</v>
      </c>
      <c r="G641" s="628" t="s">
        <v>1600</v>
      </c>
      <c r="H641" s="628" t="s">
        <v>1886</v>
      </c>
      <c r="I641" s="632">
        <v>13877</v>
      </c>
      <c r="J641" s="631" t="s">
        <v>1599</v>
      </c>
      <c r="K641" s="633">
        <v>3840</v>
      </c>
      <c r="L641" s="643">
        <f t="shared" si="21"/>
        <v>10189.799999999999</v>
      </c>
      <c r="M641" s="901">
        <v>14029.8</v>
      </c>
      <c r="N641" s="912">
        <v>7660</v>
      </c>
      <c r="O641" s="618">
        <v>0</v>
      </c>
      <c r="P641" s="644">
        <v>100</v>
      </c>
    </row>
    <row r="642" spans="1:16" ht="15.75" customHeight="1">
      <c r="A642" s="661" t="s">
        <v>2484</v>
      </c>
      <c r="B642" s="635">
        <v>45195</v>
      </c>
      <c r="C642" s="636" t="s">
        <v>1597</v>
      </c>
      <c r="D642" s="636" t="s">
        <v>1598</v>
      </c>
      <c r="E642" s="637">
        <v>7.1</v>
      </c>
      <c r="F642" s="634" t="s">
        <v>1599</v>
      </c>
      <c r="G642" s="634" t="s">
        <v>1600</v>
      </c>
      <c r="H642" s="634" t="s">
        <v>1886</v>
      </c>
      <c r="I642" s="639">
        <v>13877</v>
      </c>
      <c r="J642" s="638" t="s">
        <v>1599</v>
      </c>
      <c r="K642" s="640">
        <v>3700</v>
      </c>
      <c r="L642" s="645">
        <f t="shared" si="21"/>
        <v>9774.2000000000007</v>
      </c>
      <c r="M642" s="902">
        <v>13474.2</v>
      </c>
      <c r="N642" s="911">
        <v>6917.4</v>
      </c>
      <c r="O642" s="636">
        <v>0</v>
      </c>
      <c r="P642" s="646">
        <v>100</v>
      </c>
    </row>
    <row r="643" spans="1:16" ht="15.75" customHeight="1">
      <c r="A643" s="660" t="s">
        <v>2485</v>
      </c>
      <c r="B643" s="629">
        <v>45197</v>
      </c>
      <c r="C643" s="618" t="s">
        <v>1597</v>
      </c>
      <c r="D643" s="618" t="s">
        <v>1598</v>
      </c>
      <c r="E643" s="630">
        <v>7.1</v>
      </c>
      <c r="F643" s="628" t="s">
        <v>1599</v>
      </c>
      <c r="G643" s="628" t="s">
        <v>1600</v>
      </c>
      <c r="H643" s="628" t="s">
        <v>1886</v>
      </c>
      <c r="I643" s="632">
        <v>13877</v>
      </c>
      <c r="J643" s="631" t="s">
        <v>1599</v>
      </c>
      <c r="K643" s="633">
        <v>3760</v>
      </c>
      <c r="L643" s="643">
        <f t="shared" si="21"/>
        <v>10726</v>
      </c>
      <c r="M643" s="901">
        <v>14486</v>
      </c>
      <c r="N643" s="912">
        <v>8196.2000000000007</v>
      </c>
      <c r="O643" s="618">
        <v>0</v>
      </c>
      <c r="P643" s="644">
        <v>100</v>
      </c>
    </row>
    <row r="644" spans="1:16" ht="15.75" customHeight="1">
      <c r="A644" s="661" t="s">
        <v>2486</v>
      </c>
      <c r="B644" s="635">
        <v>45195</v>
      </c>
      <c r="C644" s="636" t="s">
        <v>1597</v>
      </c>
      <c r="D644" s="636" t="s">
        <v>1598</v>
      </c>
      <c r="E644" s="637">
        <v>7.1</v>
      </c>
      <c r="F644" s="634" t="s">
        <v>1599</v>
      </c>
      <c r="G644" s="634" t="s">
        <v>1600</v>
      </c>
      <c r="H644" s="634" t="s">
        <v>1886</v>
      </c>
      <c r="I644" s="639">
        <v>13877</v>
      </c>
      <c r="J644" s="638" t="s">
        <v>1599</v>
      </c>
      <c r="K644" s="640">
        <v>3900</v>
      </c>
      <c r="L644" s="645">
        <f t="shared" si="21"/>
        <v>11294</v>
      </c>
      <c r="M644" s="902">
        <v>15194</v>
      </c>
      <c r="N644" s="911">
        <v>8988</v>
      </c>
      <c r="O644" s="636">
        <v>0</v>
      </c>
      <c r="P644" s="646">
        <v>100</v>
      </c>
    </row>
    <row r="645" spans="1:16" ht="15.75" customHeight="1">
      <c r="A645" s="660" t="s">
        <v>2487</v>
      </c>
      <c r="B645" s="629">
        <v>45195</v>
      </c>
      <c r="C645" s="618" t="s">
        <v>1597</v>
      </c>
      <c r="D645" s="618" t="s">
        <v>1598</v>
      </c>
      <c r="E645" s="630">
        <v>7.1</v>
      </c>
      <c r="F645" s="628" t="s">
        <v>1599</v>
      </c>
      <c r="G645" s="628" t="s">
        <v>1600</v>
      </c>
      <c r="H645" s="628" t="s">
        <v>1886</v>
      </c>
      <c r="I645" s="632">
        <v>13877</v>
      </c>
      <c r="J645" s="631" t="s">
        <v>1599</v>
      </c>
      <c r="K645" s="633">
        <v>3770</v>
      </c>
      <c r="L645" s="643">
        <f t="shared" si="21"/>
        <v>10189.799999999999</v>
      </c>
      <c r="M645" s="901">
        <v>13959.8</v>
      </c>
      <c r="N645" s="912">
        <v>7660</v>
      </c>
      <c r="O645" s="618">
        <v>0</v>
      </c>
      <c r="P645" s="644">
        <v>100</v>
      </c>
    </row>
    <row r="646" spans="1:16" ht="15.75" customHeight="1">
      <c r="A646" s="661" t="s">
        <v>2488</v>
      </c>
      <c r="B646" s="635">
        <v>45196</v>
      </c>
      <c r="C646" s="636" t="s">
        <v>1597</v>
      </c>
      <c r="D646" s="636" t="s">
        <v>1598</v>
      </c>
      <c r="E646" s="637">
        <v>11.9</v>
      </c>
      <c r="F646" s="634" t="s">
        <v>1599</v>
      </c>
      <c r="G646" s="634" t="s">
        <v>1600</v>
      </c>
      <c r="H646" s="634" t="s">
        <v>1825</v>
      </c>
      <c r="I646" s="639">
        <v>15486</v>
      </c>
      <c r="J646" s="638" t="s">
        <v>1599</v>
      </c>
      <c r="K646" s="640">
        <v>3800</v>
      </c>
      <c r="L646" s="645">
        <f t="shared" si="21"/>
        <v>11362</v>
      </c>
      <c r="M646" s="902">
        <v>15162</v>
      </c>
      <c r="N646" s="911">
        <v>8658</v>
      </c>
      <c r="O646" s="636">
        <v>0</v>
      </c>
      <c r="P646" s="646">
        <v>100</v>
      </c>
    </row>
    <row r="647" spans="1:16" ht="15.75" customHeight="1">
      <c r="A647" s="660" t="s">
        <v>2489</v>
      </c>
      <c r="B647" s="629">
        <v>45197</v>
      </c>
      <c r="C647" s="618" t="s">
        <v>1597</v>
      </c>
      <c r="D647" s="618" t="s">
        <v>1598</v>
      </c>
      <c r="E647" s="630">
        <v>6.2</v>
      </c>
      <c r="F647" s="628" t="s">
        <v>1599</v>
      </c>
      <c r="G647" s="628" t="s">
        <v>1600</v>
      </c>
      <c r="H647" s="628" t="s">
        <v>1880</v>
      </c>
      <c r="I647" s="632">
        <v>13558</v>
      </c>
      <c r="J647" s="631" t="s">
        <v>1599</v>
      </c>
      <c r="K647" s="633">
        <v>3870</v>
      </c>
      <c r="L647" s="643">
        <f t="shared" si="21"/>
        <v>14514</v>
      </c>
      <c r="M647" s="901">
        <v>18384</v>
      </c>
      <c r="N647" s="912">
        <v>10844</v>
      </c>
      <c r="O647" s="618">
        <v>0</v>
      </c>
      <c r="P647" s="644">
        <v>100</v>
      </c>
    </row>
    <row r="648" spans="1:16" ht="15.75" customHeight="1">
      <c r="A648" s="661" t="s">
        <v>2490</v>
      </c>
      <c r="B648" s="635">
        <v>45196</v>
      </c>
      <c r="C648" s="636" t="s">
        <v>1597</v>
      </c>
      <c r="D648" s="636" t="s">
        <v>1598</v>
      </c>
      <c r="E648" s="637">
        <v>6.5</v>
      </c>
      <c r="F648" s="634" t="s">
        <v>1599</v>
      </c>
      <c r="G648" s="634" t="s">
        <v>1600</v>
      </c>
      <c r="H648" s="634" t="s">
        <v>1850</v>
      </c>
      <c r="I648" s="639">
        <v>9687</v>
      </c>
      <c r="J648" s="638" t="s">
        <v>1599</v>
      </c>
      <c r="K648" s="640">
        <v>3570</v>
      </c>
      <c r="L648" s="645">
        <f t="shared" si="21"/>
        <v>19877.3</v>
      </c>
      <c r="M648" s="902">
        <v>23447.3</v>
      </c>
      <c r="N648" s="911">
        <v>18582.3</v>
      </c>
      <c r="O648" s="636">
        <v>0</v>
      </c>
      <c r="P648" s="646">
        <v>100</v>
      </c>
    </row>
    <row r="649" spans="1:16" ht="15.75" customHeight="1">
      <c r="A649" s="660" t="s">
        <v>2491</v>
      </c>
      <c r="B649" s="629">
        <v>45196</v>
      </c>
      <c r="C649" s="618" t="s">
        <v>1597</v>
      </c>
      <c r="D649" s="618" t="s">
        <v>1598</v>
      </c>
      <c r="E649" s="630">
        <v>6.5</v>
      </c>
      <c r="F649" s="628" t="s">
        <v>1599</v>
      </c>
      <c r="G649" s="628" t="s">
        <v>1600</v>
      </c>
      <c r="H649" s="628" t="s">
        <v>1850</v>
      </c>
      <c r="I649" s="632">
        <v>9687</v>
      </c>
      <c r="J649" s="631" t="s">
        <v>1599</v>
      </c>
      <c r="K649" s="633">
        <v>3570</v>
      </c>
      <c r="L649" s="643">
        <f t="shared" si="21"/>
        <v>19897</v>
      </c>
      <c r="M649" s="901">
        <v>23467</v>
      </c>
      <c r="N649" s="912">
        <v>18561</v>
      </c>
      <c r="O649" s="618">
        <v>0</v>
      </c>
      <c r="P649" s="644">
        <v>100</v>
      </c>
    </row>
    <row r="650" spans="1:16" ht="15.75" customHeight="1">
      <c r="A650" s="661" t="s">
        <v>2492</v>
      </c>
      <c r="B650" s="635">
        <v>45196</v>
      </c>
      <c r="C650" s="636" t="s">
        <v>1597</v>
      </c>
      <c r="D650" s="636" t="s">
        <v>1598</v>
      </c>
      <c r="E650" s="637">
        <v>6.5</v>
      </c>
      <c r="F650" s="634" t="s">
        <v>1599</v>
      </c>
      <c r="G650" s="634" t="s">
        <v>1600</v>
      </c>
      <c r="H650" s="634" t="s">
        <v>1850</v>
      </c>
      <c r="I650" s="639">
        <v>9687</v>
      </c>
      <c r="J650" s="638" t="s">
        <v>1599</v>
      </c>
      <c r="K650" s="640">
        <v>3640</v>
      </c>
      <c r="L650" s="645">
        <f t="shared" si="21"/>
        <v>19897</v>
      </c>
      <c r="M650" s="902">
        <v>23537</v>
      </c>
      <c r="N650" s="911">
        <v>18561</v>
      </c>
      <c r="O650" s="636">
        <v>0</v>
      </c>
      <c r="P650" s="646">
        <v>100</v>
      </c>
    </row>
    <row r="651" spans="1:16" ht="15.75" customHeight="1">
      <c r="A651" s="628" t="s">
        <v>2493</v>
      </c>
      <c r="B651" s="629">
        <v>45204</v>
      </c>
      <c r="C651" s="618" t="s">
        <v>1597</v>
      </c>
      <c r="D651" s="618" t="s">
        <v>1598</v>
      </c>
      <c r="E651" s="630">
        <v>11.9</v>
      </c>
      <c r="F651" s="628" t="s">
        <v>1599</v>
      </c>
      <c r="G651" s="628" t="s">
        <v>1600</v>
      </c>
      <c r="H651" s="628" t="s">
        <v>1831</v>
      </c>
      <c r="I651" s="632">
        <v>7283</v>
      </c>
      <c r="J651" s="631" t="s">
        <v>1599</v>
      </c>
      <c r="K651" s="633">
        <v>3540</v>
      </c>
      <c r="L651" s="643">
        <f t="shared" si="21"/>
        <v>23902</v>
      </c>
      <c r="M651" s="901">
        <v>27442</v>
      </c>
      <c r="N651" s="912">
        <v>20473</v>
      </c>
      <c r="O651" s="618">
        <v>0</v>
      </c>
      <c r="P651" s="644">
        <v>100</v>
      </c>
    </row>
    <row r="652" spans="1:16" ht="15.75" customHeight="1">
      <c r="A652" s="634" t="s">
        <v>2494</v>
      </c>
      <c r="B652" s="635">
        <v>45204</v>
      </c>
      <c r="C652" s="636" t="s">
        <v>1597</v>
      </c>
      <c r="D652" s="636" t="s">
        <v>1598</v>
      </c>
      <c r="E652" s="637">
        <v>11.9</v>
      </c>
      <c r="F652" s="634" t="s">
        <v>1599</v>
      </c>
      <c r="G652" s="634" t="s">
        <v>1600</v>
      </c>
      <c r="H652" s="634" t="s">
        <v>1831</v>
      </c>
      <c r="I652" s="639">
        <v>7283</v>
      </c>
      <c r="J652" s="638" t="s">
        <v>1599</v>
      </c>
      <c r="K652" s="640">
        <v>3640</v>
      </c>
      <c r="L652" s="645">
        <f t="shared" si="21"/>
        <v>23952</v>
      </c>
      <c r="M652" s="902">
        <v>27592</v>
      </c>
      <c r="N652" s="911">
        <v>19071</v>
      </c>
      <c r="O652" s="636">
        <v>0</v>
      </c>
      <c r="P652" s="646">
        <v>100</v>
      </c>
    </row>
    <row r="653" spans="1:16" ht="15.75" customHeight="1">
      <c r="A653" s="628" t="s">
        <v>2495</v>
      </c>
      <c r="B653" s="629">
        <v>45204</v>
      </c>
      <c r="C653" s="618" t="s">
        <v>1597</v>
      </c>
      <c r="D653" s="618" t="s">
        <v>1598</v>
      </c>
      <c r="E653" s="630">
        <v>11.9</v>
      </c>
      <c r="F653" s="628" t="s">
        <v>1599</v>
      </c>
      <c r="G653" s="628" t="s">
        <v>1600</v>
      </c>
      <c r="H653" s="628" t="s">
        <v>1831</v>
      </c>
      <c r="I653" s="632">
        <v>7283</v>
      </c>
      <c r="J653" s="631" t="s">
        <v>1599</v>
      </c>
      <c r="K653" s="633">
        <v>3540</v>
      </c>
      <c r="L653" s="643">
        <f t="shared" si="21"/>
        <v>23952</v>
      </c>
      <c r="M653" s="901">
        <v>27492</v>
      </c>
      <c r="N653" s="912">
        <v>20286</v>
      </c>
      <c r="O653" s="618">
        <v>0</v>
      </c>
      <c r="P653" s="644">
        <v>100</v>
      </c>
    </row>
    <row r="654" spans="1:16" ht="15.75" customHeight="1">
      <c r="A654" s="634" t="s">
        <v>2496</v>
      </c>
      <c r="B654" s="635">
        <v>45201</v>
      </c>
      <c r="C654" s="636" t="s">
        <v>1597</v>
      </c>
      <c r="D654" s="636" t="s">
        <v>1598</v>
      </c>
      <c r="E654" s="637">
        <v>7.1</v>
      </c>
      <c r="F654" s="634" t="s">
        <v>1599</v>
      </c>
      <c r="G654" s="634" t="s">
        <v>1600</v>
      </c>
      <c r="H654" s="634" t="s">
        <v>1886</v>
      </c>
      <c r="I654" s="639">
        <v>13877</v>
      </c>
      <c r="J654" s="638" t="s">
        <v>1599</v>
      </c>
      <c r="K654" s="640">
        <v>3770</v>
      </c>
      <c r="L654" s="645">
        <f t="shared" si="21"/>
        <v>9774.2000000000007</v>
      </c>
      <c r="M654" s="902">
        <v>13544.2</v>
      </c>
      <c r="N654" s="911">
        <v>6917.4</v>
      </c>
      <c r="O654" s="636">
        <v>0</v>
      </c>
      <c r="P654" s="646">
        <v>100</v>
      </c>
    </row>
    <row r="655" spans="1:16" ht="15.75" customHeight="1">
      <c r="A655" s="628" t="s">
        <v>2497</v>
      </c>
      <c r="B655" s="629">
        <v>45201</v>
      </c>
      <c r="C655" s="618" t="s">
        <v>1597</v>
      </c>
      <c r="D655" s="618" t="s">
        <v>1598</v>
      </c>
      <c r="E655" s="630">
        <v>7.1</v>
      </c>
      <c r="F655" s="628" t="s">
        <v>1599</v>
      </c>
      <c r="G655" s="628" t="s">
        <v>1600</v>
      </c>
      <c r="H655" s="628" t="s">
        <v>1886</v>
      </c>
      <c r="I655" s="632">
        <v>13877</v>
      </c>
      <c r="J655" s="631" t="s">
        <v>1599</v>
      </c>
      <c r="K655" s="633">
        <v>3820</v>
      </c>
      <c r="L655" s="643">
        <f t="shared" si="21"/>
        <v>12014</v>
      </c>
      <c r="M655" s="901">
        <v>15834</v>
      </c>
      <c r="N655" s="912">
        <v>8988</v>
      </c>
      <c r="O655" s="618">
        <v>0</v>
      </c>
      <c r="P655" s="644">
        <v>100</v>
      </c>
    </row>
    <row r="656" spans="1:16" ht="15.75" customHeight="1">
      <c r="A656" s="634" t="s">
        <v>2498</v>
      </c>
      <c r="B656" s="635">
        <v>45201</v>
      </c>
      <c r="C656" s="636" t="s">
        <v>1597</v>
      </c>
      <c r="D656" s="636" t="s">
        <v>1598</v>
      </c>
      <c r="E656" s="637">
        <v>6.5</v>
      </c>
      <c r="F656" s="634" t="s">
        <v>1599</v>
      </c>
      <c r="G656" s="634" t="s">
        <v>1600</v>
      </c>
      <c r="H656" s="634" t="s">
        <v>1884</v>
      </c>
      <c r="I656" s="639">
        <v>13413</v>
      </c>
      <c r="J656" s="638" t="s">
        <v>1599</v>
      </c>
      <c r="K656" s="640">
        <v>3910</v>
      </c>
      <c r="L656" s="645">
        <f t="shared" si="21"/>
        <v>12483</v>
      </c>
      <c r="M656" s="902">
        <v>16393</v>
      </c>
      <c r="N656" s="911">
        <v>9027</v>
      </c>
      <c r="O656" s="636">
        <v>0</v>
      </c>
      <c r="P656" s="646">
        <v>100</v>
      </c>
    </row>
    <row r="657" spans="1:16" ht="15.75" customHeight="1">
      <c r="A657" s="628" t="s">
        <v>2499</v>
      </c>
      <c r="B657" s="629">
        <v>45201</v>
      </c>
      <c r="C657" s="618" t="s">
        <v>1597</v>
      </c>
      <c r="D657" s="618" t="s">
        <v>1598</v>
      </c>
      <c r="E657" s="630">
        <v>11.9</v>
      </c>
      <c r="F657" s="618" t="s">
        <v>1599</v>
      </c>
      <c r="G657" s="618" t="s">
        <v>1600</v>
      </c>
      <c r="H657" s="628" t="s">
        <v>1807</v>
      </c>
      <c r="I657" s="632">
        <v>1734</v>
      </c>
      <c r="J657" s="654" t="s">
        <v>1599</v>
      </c>
      <c r="K657" s="633">
        <v>2140</v>
      </c>
      <c r="L657" s="643">
        <f t="shared" si="21"/>
        <v>6064</v>
      </c>
      <c r="M657" s="901">
        <v>8204</v>
      </c>
      <c r="N657" s="912">
        <v>4737</v>
      </c>
      <c r="O657" s="618">
        <v>0</v>
      </c>
      <c r="P657" s="644">
        <v>100</v>
      </c>
    </row>
    <row r="658" spans="1:16" ht="15.75" customHeight="1">
      <c r="A658" s="634" t="s">
        <v>2500</v>
      </c>
      <c r="B658" s="635">
        <v>45203</v>
      </c>
      <c r="C658" s="636" t="s">
        <v>1597</v>
      </c>
      <c r="D658" s="636" t="s">
        <v>1598</v>
      </c>
      <c r="E658" s="637">
        <v>6.2</v>
      </c>
      <c r="F658" s="634" t="s">
        <v>1599</v>
      </c>
      <c r="G658" s="634" t="s">
        <v>1600</v>
      </c>
      <c r="H658" s="634" t="s">
        <v>1815</v>
      </c>
      <c r="I658" s="639">
        <v>17387</v>
      </c>
      <c r="J658" s="638" t="s">
        <v>1599</v>
      </c>
      <c r="K658" s="640">
        <v>3700</v>
      </c>
      <c r="L658" s="645">
        <f t="shared" si="21"/>
        <v>18099.28</v>
      </c>
      <c r="M658" s="902">
        <v>21799.279999999999</v>
      </c>
      <c r="N658" s="911">
        <v>15536</v>
      </c>
      <c r="O658" s="636">
        <v>0</v>
      </c>
      <c r="P658" s="646">
        <v>100</v>
      </c>
    </row>
    <row r="659" spans="1:16" ht="15.75" customHeight="1">
      <c r="A659" s="628" t="s">
        <v>2501</v>
      </c>
      <c r="B659" s="629">
        <v>45203</v>
      </c>
      <c r="C659" s="618" t="s">
        <v>1597</v>
      </c>
      <c r="D659" s="618" t="s">
        <v>1598</v>
      </c>
      <c r="E659" s="630">
        <v>6.2</v>
      </c>
      <c r="F659" s="628" t="s">
        <v>1599</v>
      </c>
      <c r="G659" s="628" t="s">
        <v>1600</v>
      </c>
      <c r="H659" s="628" t="s">
        <v>1815</v>
      </c>
      <c r="I659" s="632">
        <v>17387</v>
      </c>
      <c r="J659" s="631" t="s">
        <v>1599</v>
      </c>
      <c r="K659" s="633">
        <v>3900</v>
      </c>
      <c r="L659" s="643">
        <f t="shared" si="21"/>
        <v>17963.48</v>
      </c>
      <c r="M659" s="901">
        <v>21863.48</v>
      </c>
      <c r="N659" s="912">
        <v>15403.24</v>
      </c>
      <c r="O659" s="618">
        <v>0</v>
      </c>
      <c r="P659" s="644">
        <v>100</v>
      </c>
    </row>
    <row r="660" spans="1:16" ht="15.75" customHeight="1">
      <c r="A660" s="634" t="s">
        <v>2502</v>
      </c>
      <c r="B660" s="635">
        <v>45201</v>
      </c>
      <c r="C660" s="636" t="s">
        <v>1597</v>
      </c>
      <c r="D660" s="636" t="s">
        <v>1598</v>
      </c>
      <c r="E660" s="637">
        <v>11.9</v>
      </c>
      <c r="F660" s="634" t="s">
        <v>1599</v>
      </c>
      <c r="G660" s="634" t="s">
        <v>1600</v>
      </c>
      <c r="H660" s="634" t="s">
        <v>1854</v>
      </c>
      <c r="I660" s="639">
        <v>8865</v>
      </c>
      <c r="J660" s="638" t="s">
        <v>1599</v>
      </c>
      <c r="K660" s="640">
        <v>2280</v>
      </c>
      <c r="L660" s="645">
        <f t="shared" si="21"/>
        <v>11845.2</v>
      </c>
      <c r="M660" s="902">
        <v>14125.2</v>
      </c>
      <c r="N660" s="911">
        <v>8398</v>
      </c>
      <c r="O660" s="636">
        <v>0</v>
      </c>
      <c r="P660" s="646">
        <v>100</v>
      </c>
    </row>
    <row r="661" spans="1:16" ht="15.75" customHeight="1">
      <c r="A661" s="628" t="s">
        <v>2503</v>
      </c>
      <c r="B661" s="629">
        <v>45204</v>
      </c>
      <c r="C661" s="618" t="s">
        <v>1597</v>
      </c>
      <c r="D661" s="618" t="s">
        <v>1598</v>
      </c>
      <c r="E661" s="630">
        <v>6.2</v>
      </c>
      <c r="F661" s="628" t="s">
        <v>1599</v>
      </c>
      <c r="G661" s="628" t="s">
        <v>1600</v>
      </c>
      <c r="H661" s="628" t="s">
        <v>1880</v>
      </c>
      <c r="I661" s="632">
        <v>13558</v>
      </c>
      <c r="J661" s="631" t="s">
        <v>1599</v>
      </c>
      <c r="K661" s="633">
        <v>3840</v>
      </c>
      <c r="L661" s="643">
        <f t="shared" si="21"/>
        <v>13432</v>
      </c>
      <c r="M661" s="901">
        <v>17272</v>
      </c>
      <c r="N661" s="912">
        <v>10172</v>
      </c>
      <c r="O661" s="618">
        <v>0</v>
      </c>
      <c r="P661" s="644">
        <v>100</v>
      </c>
    </row>
    <row r="662" spans="1:16" ht="15.75" customHeight="1">
      <c r="A662" s="634" t="s">
        <v>2504</v>
      </c>
      <c r="B662" s="635">
        <v>45211</v>
      </c>
      <c r="C662" s="636" t="s">
        <v>1597</v>
      </c>
      <c r="D662" s="636" t="s">
        <v>1598</v>
      </c>
      <c r="E662" s="637">
        <v>11.9</v>
      </c>
      <c r="F662" s="634" t="s">
        <v>1599</v>
      </c>
      <c r="G662" s="634" t="s">
        <v>1600</v>
      </c>
      <c r="H662" s="634" t="s">
        <v>1873</v>
      </c>
      <c r="I662" s="639">
        <v>3824</v>
      </c>
      <c r="J662" s="638" t="s">
        <v>1599</v>
      </c>
      <c r="K662" s="640">
        <v>3750</v>
      </c>
      <c r="L662" s="645">
        <f t="shared" si="21"/>
        <v>10321.4</v>
      </c>
      <c r="M662" s="902">
        <v>14071.4</v>
      </c>
      <c r="N662" s="911">
        <v>10319.4</v>
      </c>
      <c r="O662" s="636">
        <v>0</v>
      </c>
      <c r="P662" s="646">
        <v>100</v>
      </c>
    </row>
    <row r="663" spans="1:16" ht="15.75" customHeight="1">
      <c r="A663" s="628" t="s">
        <v>2505</v>
      </c>
      <c r="B663" s="629">
        <v>45208</v>
      </c>
      <c r="C663" s="618" t="s">
        <v>1597</v>
      </c>
      <c r="D663" s="618" t="s">
        <v>1598</v>
      </c>
      <c r="E663" s="630">
        <v>7.1</v>
      </c>
      <c r="F663" s="628" t="s">
        <v>1599</v>
      </c>
      <c r="G663" s="628" t="s">
        <v>1600</v>
      </c>
      <c r="H663" s="628" t="s">
        <v>1798</v>
      </c>
      <c r="I663" s="632">
        <v>1931</v>
      </c>
      <c r="J663" s="631" t="s">
        <v>1599</v>
      </c>
      <c r="K663" s="633">
        <v>4801.2</v>
      </c>
      <c r="L663" s="643">
        <f t="shared" si="21"/>
        <v>1186.8000000000002</v>
      </c>
      <c r="M663" s="901">
        <v>5988</v>
      </c>
      <c r="N663" s="912">
        <v>4801.2</v>
      </c>
      <c r="O663" s="618">
        <v>0</v>
      </c>
      <c r="P663" s="644">
        <v>100</v>
      </c>
    </row>
    <row r="664" spans="1:16" ht="15.75" customHeight="1">
      <c r="A664" s="634" t="s">
        <v>2506</v>
      </c>
      <c r="B664" s="635">
        <v>45208</v>
      </c>
      <c r="C664" s="636" t="s">
        <v>1597</v>
      </c>
      <c r="D664" s="636" t="s">
        <v>1598</v>
      </c>
      <c r="E664" s="637">
        <v>5.3</v>
      </c>
      <c r="F664" s="634" t="s">
        <v>1599</v>
      </c>
      <c r="G664" s="634" t="s">
        <v>1600</v>
      </c>
      <c r="H664" s="634" t="s">
        <v>1932</v>
      </c>
      <c r="I664" s="639">
        <v>4823</v>
      </c>
      <c r="J664" s="638" t="s">
        <v>1599</v>
      </c>
      <c r="K664" s="640">
        <v>2180</v>
      </c>
      <c r="L664" s="645">
        <f t="shared" si="21"/>
        <v>5543.05</v>
      </c>
      <c r="M664" s="902">
        <v>7723.05</v>
      </c>
      <c r="N664" s="911">
        <v>4472.8500000000004</v>
      </c>
      <c r="O664" s="636">
        <v>0</v>
      </c>
      <c r="P664" s="646">
        <v>100</v>
      </c>
    </row>
    <row r="665" spans="1:16" ht="15.75" customHeight="1">
      <c r="A665" s="628" t="s">
        <v>2507</v>
      </c>
      <c r="B665" s="629">
        <v>45215</v>
      </c>
      <c r="C665" s="618" t="s">
        <v>1597</v>
      </c>
      <c r="D665" s="618" t="s">
        <v>1598</v>
      </c>
      <c r="E665" s="630">
        <v>3.6</v>
      </c>
      <c r="F665" s="628" t="s">
        <v>1599</v>
      </c>
      <c r="G665" s="628" t="s">
        <v>1600</v>
      </c>
      <c r="H665" s="628" t="s">
        <v>1965</v>
      </c>
      <c r="I665" s="632">
        <v>5092</v>
      </c>
      <c r="J665" s="631" t="s">
        <v>1599</v>
      </c>
      <c r="K665" s="633">
        <v>2180</v>
      </c>
      <c r="L665" s="643">
        <f t="shared" si="21"/>
        <v>5551.55</v>
      </c>
      <c r="M665" s="901">
        <v>7731.55</v>
      </c>
      <c r="N665" s="912">
        <v>4482.51</v>
      </c>
      <c r="O665" s="618">
        <v>0</v>
      </c>
      <c r="P665" s="644">
        <v>100</v>
      </c>
    </row>
    <row r="666" spans="1:16" ht="15.75" customHeight="1">
      <c r="A666" s="634" t="s">
        <v>2508</v>
      </c>
      <c r="B666" s="635">
        <v>45213</v>
      </c>
      <c r="C666" s="636" t="s">
        <v>1597</v>
      </c>
      <c r="D666" s="636" t="s">
        <v>1598</v>
      </c>
      <c r="E666" s="637">
        <v>6</v>
      </c>
      <c r="F666" s="634" t="s">
        <v>1599</v>
      </c>
      <c r="G666" s="634" t="s">
        <v>1600</v>
      </c>
      <c r="H666" s="634" t="s">
        <v>1818</v>
      </c>
      <c r="I666" s="639">
        <v>14000</v>
      </c>
      <c r="J666" s="638" t="s">
        <v>1599</v>
      </c>
      <c r="K666" s="640">
        <v>3750</v>
      </c>
      <c r="L666" s="645">
        <f t="shared" si="21"/>
        <v>18069.560000000001</v>
      </c>
      <c r="M666" s="902">
        <v>21819.56</v>
      </c>
      <c r="N666" s="911">
        <v>15720.96</v>
      </c>
      <c r="O666" s="636">
        <v>0</v>
      </c>
      <c r="P666" s="646">
        <v>100</v>
      </c>
    </row>
    <row r="667" spans="1:16" ht="15.75" customHeight="1">
      <c r="A667" s="628" t="s">
        <v>2509</v>
      </c>
      <c r="B667" s="629">
        <v>45213</v>
      </c>
      <c r="C667" s="618" t="s">
        <v>1597</v>
      </c>
      <c r="D667" s="618" t="s">
        <v>1598</v>
      </c>
      <c r="E667" s="630">
        <v>6</v>
      </c>
      <c r="F667" s="628" t="s">
        <v>1599</v>
      </c>
      <c r="G667" s="628" t="s">
        <v>1600</v>
      </c>
      <c r="H667" s="628" t="s">
        <v>1818</v>
      </c>
      <c r="I667" s="632">
        <v>14000</v>
      </c>
      <c r="J667" s="631" t="s">
        <v>1599</v>
      </c>
      <c r="K667" s="633">
        <v>3700</v>
      </c>
      <c r="L667" s="643">
        <f t="shared" si="21"/>
        <v>17743.599999999999</v>
      </c>
      <c r="M667" s="901">
        <v>21443.599999999999</v>
      </c>
      <c r="N667" s="912">
        <v>15139.84</v>
      </c>
      <c r="O667" s="618">
        <v>0</v>
      </c>
      <c r="P667" s="644">
        <v>100</v>
      </c>
    </row>
    <row r="668" spans="1:16" ht="15.75" customHeight="1">
      <c r="A668" s="634" t="s">
        <v>2510</v>
      </c>
      <c r="B668" s="635">
        <v>45213</v>
      </c>
      <c r="C668" s="636" t="s">
        <v>1597</v>
      </c>
      <c r="D668" s="636" t="s">
        <v>1598</v>
      </c>
      <c r="E668" s="637">
        <v>6</v>
      </c>
      <c r="F668" s="634" t="s">
        <v>1599</v>
      </c>
      <c r="G668" s="634" t="s">
        <v>1600</v>
      </c>
      <c r="H668" s="634" t="s">
        <v>1818</v>
      </c>
      <c r="I668" s="639">
        <v>14000</v>
      </c>
      <c r="J668" s="638" t="s">
        <v>1599</v>
      </c>
      <c r="K668" s="640">
        <v>3820</v>
      </c>
      <c r="L668" s="645">
        <f t="shared" si="21"/>
        <v>17976.3</v>
      </c>
      <c r="M668" s="902">
        <v>21796.3</v>
      </c>
      <c r="N668" s="911">
        <v>15445.6</v>
      </c>
      <c r="O668" s="636">
        <v>0</v>
      </c>
      <c r="P668" s="646">
        <v>100</v>
      </c>
    </row>
    <row r="669" spans="1:16" ht="15.75" customHeight="1">
      <c r="A669" s="628" t="s">
        <v>2511</v>
      </c>
      <c r="B669" s="629">
        <v>45218</v>
      </c>
      <c r="C669" s="618" t="s">
        <v>1597</v>
      </c>
      <c r="D669" s="618" t="s">
        <v>1598</v>
      </c>
      <c r="E669" s="630">
        <v>6.5</v>
      </c>
      <c r="F669" s="628" t="s">
        <v>1599</v>
      </c>
      <c r="G669" s="628" t="s">
        <v>1600</v>
      </c>
      <c r="H669" s="628" t="s">
        <v>1850</v>
      </c>
      <c r="I669" s="632">
        <v>9687</v>
      </c>
      <c r="J669" s="631" t="s">
        <v>1599</v>
      </c>
      <c r="K669" s="633">
        <v>3670</v>
      </c>
      <c r="L669" s="643">
        <f t="shared" si="21"/>
        <v>25027</v>
      </c>
      <c r="M669" s="901">
        <v>28697</v>
      </c>
      <c r="N669" s="912">
        <v>23842</v>
      </c>
      <c r="O669" s="618">
        <v>0</v>
      </c>
      <c r="P669" s="644">
        <v>100</v>
      </c>
    </row>
    <row r="670" spans="1:16" ht="15.75" customHeight="1">
      <c r="A670" s="634" t="s">
        <v>2512</v>
      </c>
      <c r="B670" s="635">
        <v>45226</v>
      </c>
      <c r="C670" s="636" t="s">
        <v>1597</v>
      </c>
      <c r="D670" s="636" t="s">
        <v>1598</v>
      </c>
      <c r="E670" s="637">
        <v>7.1</v>
      </c>
      <c r="F670" s="634" t="s">
        <v>1599</v>
      </c>
      <c r="G670" s="634" t="s">
        <v>1600</v>
      </c>
      <c r="H670" s="634" t="s">
        <v>1846</v>
      </c>
      <c r="I670" s="639">
        <v>5317</v>
      </c>
      <c r="J670" s="638" t="s">
        <v>1599</v>
      </c>
      <c r="K670" s="640">
        <v>2200</v>
      </c>
      <c r="L670" s="645">
        <f t="shared" si="21"/>
        <v>4233.2</v>
      </c>
      <c r="M670" s="902">
        <v>6433.2</v>
      </c>
      <c r="N670" s="911">
        <v>3230.64</v>
      </c>
      <c r="O670" s="636">
        <v>0</v>
      </c>
      <c r="P670" s="646">
        <v>100</v>
      </c>
    </row>
    <row r="671" spans="1:16" ht="15.75" customHeight="1">
      <c r="A671" s="628" t="s">
        <v>2513</v>
      </c>
      <c r="B671" s="629">
        <v>45215</v>
      </c>
      <c r="C671" s="618" t="s">
        <v>1597</v>
      </c>
      <c r="D671" s="618" t="s">
        <v>1598</v>
      </c>
      <c r="E671" s="630">
        <v>7.1</v>
      </c>
      <c r="F671" s="628" t="s">
        <v>1599</v>
      </c>
      <c r="G671" s="628" t="s">
        <v>1600</v>
      </c>
      <c r="H671" s="628" t="s">
        <v>1807</v>
      </c>
      <c r="I671" s="632">
        <v>1734</v>
      </c>
      <c r="J671" s="631" t="s">
        <v>1599</v>
      </c>
      <c r="K671" s="633">
        <v>3600</v>
      </c>
      <c r="L671" s="643">
        <f t="shared" si="21"/>
        <v>11771.8</v>
      </c>
      <c r="M671" s="901">
        <v>15371.8</v>
      </c>
      <c r="N671" s="912">
        <v>9253.6</v>
      </c>
      <c r="O671" s="618">
        <v>0</v>
      </c>
      <c r="P671" s="644">
        <v>100</v>
      </c>
    </row>
    <row r="672" spans="1:16" ht="15.75" customHeight="1">
      <c r="A672" s="634" t="s">
        <v>2514</v>
      </c>
      <c r="B672" s="635">
        <v>45226</v>
      </c>
      <c r="C672" s="636" t="s">
        <v>1597</v>
      </c>
      <c r="D672" s="636" t="s">
        <v>1598</v>
      </c>
      <c r="E672" s="637">
        <v>6</v>
      </c>
      <c r="F672" s="634" t="s">
        <v>1599</v>
      </c>
      <c r="G672" s="634" t="s">
        <v>1600</v>
      </c>
      <c r="H672" s="634" t="s">
        <v>1846</v>
      </c>
      <c r="I672" s="639">
        <v>5317</v>
      </c>
      <c r="J672" s="638" t="s">
        <v>1599</v>
      </c>
      <c r="K672" s="640">
        <v>2160</v>
      </c>
      <c r="L672" s="645">
        <f t="shared" si="21"/>
        <v>6861.7000000000007</v>
      </c>
      <c r="M672" s="902">
        <v>9021.7000000000007</v>
      </c>
      <c r="N672" s="911">
        <v>5743.62</v>
      </c>
      <c r="O672" s="636">
        <v>0</v>
      </c>
      <c r="P672" s="646">
        <v>100</v>
      </c>
    </row>
    <row r="673" spans="1:16" ht="15.75" customHeight="1">
      <c r="A673" s="628" t="s">
        <v>2515</v>
      </c>
      <c r="B673" s="629">
        <v>45217</v>
      </c>
      <c r="C673" s="618" t="s">
        <v>1597</v>
      </c>
      <c r="D673" s="618" t="s">
        <v>1598</v>
      </c>
      <c r="E673" s="630">
        <v>6.2</v>
      </c>
      <c r="F673" s="628" t="s">
        <v>1599</v>
      </c>
      <c r="G673" s="628" t="s">
        <v>1600</v>
      </c>
      <c r="H673" s="628" t="s">
        <v>1809</v>
      </c>
      <c r="I673" s="632">
        <v>15168</v>
      </c>
      <c r="J673" s="631" t="s">
        <v>1599</v>
      </c>
      <c r="K673" s="633">
        <v>3300</v>
      </c>
      <c r="L673" s="643">
        <f t="shared" si="21"/>
        <v>20824.599999999999</v>
      </c>
      <c r="M673" s="901">
        <v>24124.6</v>
      </c>
      <c r="N673" s="912">
        <v>15523.2</v>
      </c>
      <c r="O673" s="618">
        <v>0</v>
      </c>
      <c r="P673" s="644">
        <v>100</v>
      </c>
    </row>
    <row r="674" spans="1:16" ht="15.75" customHeight="1">
      <c r="A674" s="634" t="s">
        <v>2516</v>
      </c>
      <c r="B674" s="635">
        <v>45213</v>
      </c>
      <c r="C674" s="636" t="s">
        <v>1597</v>
      </c>
      <c r="D674" s="636" t="s">
        <v>1598</v>
      </c>
      <c r="E674" s="637">
        <v>11.9</v>
      </c>
      <c r="F674" s="634" t="s">
        <v>1599</v>
      </c>
      <c r="G674" s="634" t="s">
        <v>1600</v>
      </c>
      <c r="H674" s="634" t="s">
        <v>1854</v>
      </c>
      <c r="I674" s="639">
        <v>8865</v>
      </c>
      <c r="J674" s="638" t="s">
        <v>1599</v>
      </c>
      <c r="K674" s="640">
        <v>2160</v>
      </c>
      <c r="L674" s="645">
        <f t="shared" si="21"/>
        <v>11107.25</v>
      </c>
      <c r="M674" s="902">
        <v>13267.25</v>
      </c>
      <c r="N674" s="911">
        <v>10472.950000000001</v>
      </c>
      <c r="O674" s="636">
        <v>0</v>
      </c>
      <c r="P674" s="646">
        <v>100</v>
      </c>
    </row>
    <row r="675" spans="1:16" ht="15.75" customHeight="1">
      <c r="A675" s="628" t="s">
        <v>2517</v>
      </c>
      <c r="B675" s="629">
        <v>45230</v>
      </c>
      <c r="C675" s="618" t="s">
        <v>1597</v>
      </c>
      <c r="D675" s="618" t="s">
        <v>1598</v>
      </c>
      <c r="E675" s="630">
        <v>7.1</v>
      </c>
      <c r="F675" s="628" t="s">
        <v>1599</v>
      </c>
      <c r="G675" s="628" t="s">
        <v>1600</v>
      </c>
      <c r="H675" s="628" t="s">
        <v>1809</v>
      </c>
      <c r="I675" s="632">
        <v>15168</v>
      </c>
      <c r="J675" s="631" t="s">
        <v>1599</v>
      </c>
      <c r="K675" s="633">
        <v>3700</v>
      </c>
      <c r="L675" s="643">
        <f t="shared" si="21"/>
        <v>20662.599999999999</v>
      </c>
      <c r="M675" s="901">
        <v>24362.6</v>
      </c>
      <c r="N675" s="912">
        <v>16464</v>
      </c>
      <c r="O675" s="618">
        <v>0</v>
      </c>
      <c r="P675" s="644">
        <v>100</v>
      </c>
    </row>
    <row r="676" spans="1:16" ht="15.75" customHeight="1">
      <c r="A676" s="634" t="s">
        <v>2518</v>
      </c>
      <c r="B676" s="635">
        <v>45219</v>
      </c>
      <c r="C676" s="636" t="s">
        <v>1597</v>
      </c>
      <c r="D676" s="636" t="s">
        <v>1598</v>
      </c>
      <c r="E676" s="637">
        <v>6</v>
      </c>
      <c r="F676" s="634" t="s">
        <v>1599</v>
      </c>
      <c r="G676" s="634" t="s">
        <v>1600</v>
      </c>
      <c r="H676" s="634" t="s">
        <v>1818</v>
      </c>
      <c r="I676" s="639">
        <v>14000</v>
      </c>
      <c r="J676" s="638" t="s">
        <v>1599</v>
      </c>
      <c r="K676" s="640">
        <v>3900</v>
      </c>
      <c r="L676" s="645">
        <f t="shared" si="21"/>
        <v>16738.490000000002</v>
      </c>
      <c r="M676" s="902">
        <v>20638.490000000002</v>
      </c>
      <c r="N676" s="911">
        <v>14450.05</v>
      </c>
      <c r="O676" s="636">
        <v>0</v>
      </c>
      <c r="P676" s="646">
        <v>100</v>
      </c>
    </row>
    <row r="677" spans="1:16" ht="15.75" customHeight="1">
      <c r="A677" s="628" t="s">
        <v>2519</v>
      </c>
      <c r="B677" s="629">
        <v>45219</v>
      </c>
      <c r="C677" s="618" t="s">
        <v>1597</v>
      </c>
      <c r="D677" s="618" t="s">
        <v>1598</v>
      </c>
      <c r="E677" s="630">
        <v>6</v>
      </c>
      <c r="F677" s="628" t="s">
        <v>1599</v>
      </c>
      <c r="G677" s="628" t="s">
        <v>1600</v>
      </c>
      <c r="H677" s="628" t="s">
        <v>1818</v>
      </c>
      <c r="I677" s="632">
        <v>14000</v>
      </c>
      <c r="J677" s="631" t="s">
        <v>1599</v>
      </c>
      <c r="K677" s="633">
        <v>3900</v>
      </c>
      <c r="L677" s="643">
        <f t="shared" si="21"/>
        <v>18548.560000000001</v>
      </c>
      <c r="M677" s="901">
        <v>22448.560000000001</v>
      </c>
      <c r="N677" s="912">
        <v>15930.62</v>
      </c>
      <c r="O677" s="618">
        <v>0</v>
      </c>
      <c r="P677" s="644">
        <v>100</v>
      </c>
    </row>
    <row r="678" spans="1:16" ht="15.75" customHeight="1">
      <c r="A678" s="634" t="s">
        <v>2520</v>
      </c>
      <c r="B678" s="635">
        <v>45230</v>
      </c>
      <c r="C678" s="636" t="s">
        <v>1597</v>
      </c>
      <c r="D678" s="636" t="s">
        <v>1598</v>
      </c>
      <c r="E678" s="637">
        <v>7.1</v>
      </c>
      <c r="F678" s="634" t="s">
        <v>1599</v>
      </c>
      <c r="G678" s="634" t="s">
        <v>1600</v>
      </c>
      <c r="H678" s="634" t="s">
        <v>1809</v>
      </c>
      <c r="I678" s="639">
        <v>15168</v>
      </c>
      <c r="J678" s="638" t="s">
        <v>1599</v>
      </c>
      <c r="K678" s="640">
        <v>3840</v>
      </c>
      <c r="L678" s="645">
        <f t="shared" si="21"/>
        <v>20662.599999999999</v>
      </c>
      <c r="M678" s="902">
        <v>24502.6</v>
      </c>
      <c r="N678" s="911">
        <v>16464</v>
      </c>
      <c r="O678" s="636">
        <v>0</v>
      </c>
      <c r="P678" s="646">
        <v>100</v>
      </c>
    </row>
    <row r="679" spans="1:16" ht="15.75" customHeight="1">
      <c r="A679" s="628" t="s">
        <v>2521</v>
      </c>
      <c r="B679" s="629">
        <v>45216</v>
      </c>
      <c r="C679" s="618" t="s">
        <v>1597</v>
      </c>
      <c r="D679" s="618" t="s">
        <v>1598</v>
      </c>
      <c r="E679" s="630">
        <v>7.1</v>
      </c>
      <c r="F679" s="628" t="s">
        <v>1599</v>
      </c>
      <c r="G679" s="628" t="s">
        <v>1600</v>
      </c>
      <c r="H679" s="628" t="s">
        <v>1886</v>
      </c>
      <c r="I679" s="632">
        <v>13877</v>
      </c>
      <c r="J679" s="631" t="s">
        <v>1599</v>
      </c>
      <c r="K679" s="633">
        <v>3840</v>
      </c>
      <c r="L679" s="643">
        <f t="shared" si="21"/>
        <v>19599.5</v>
      </c>
      <c r="M679" s="901">
        <v>23439.5</v>
      </c>
      <c r="N679" s="912">
        <v>15795</v>
      </c>
      <c r="O679" s="618">
        <v>0</v>
      </c>
      <c r="P679" s="644">
        <v>100</v>
      </c>
    </row>
    <row r="680" spans="1:16" ht="15.75" customHeight="1">
      <c r="A680" s="634" t="s">
        <v>2522</v>
      </c>
      <c r="B680" s="635">
        <v>45230</v>
      </c>
      <c r="C680" s="636" t="s">
        <v>1597</v>
      </c>
      <c r="D680" s="636" t="s">
        <v>1598</v>
      </c>
      <c r="E680" s="637">
        <v>5.8</v>
      </c>
      <c r="F680" s="634" t="s">
        <v>1599</v>
      </c>
      <c r="G680" s="634" t="s">
        <v>1600</v>
      </c>
      <c r="H680" s="634" t="s">
        <v>2523</v>
      </c>
      <c r="I680" s="639">
        <v>3782</v>
      </c>
      <c r="J680" s="638" t="s">
        <v>1599</v>
      </c>
      <c r="K680" s="637">
        <v>2220</v>
      </c>
      <c r="L680" s="645">
        <f t="shared" si="21"/>
        <v>4440.5</v>
      </c>
      <c r="M680" s="902">
        <v>6660.5</v>
      </c>
      <c r="N680" s="914">
        <v>12460.53</v>
      </c>
      <c r="O680" s="636">
        <v>0</v>
      </c>
      <c r="P680" s="646">
        <v>100</v>
      </c>
    </row>
    <row r="681" spans="1:16" ht="15.75" customHeight="1">
      <c r="A681" s="628" t="s">
        <v>2524</v>
      </c>
      <c r="B681" s="629">
        <v>45229</v>
      </c>
      <c r="C681" s="618" t="s">
        <v>1597</v>
      </c>
      <c r="D681" s="618" t="s">
        <v>1598</v>
      </c>
      <c r="E681" s="630">
        <v>7.1</v>
      </c>
      <c r="F681" s="628" t="s">
        <v>1599</v>
      </c>
      <c r="G681" s="628" t="s">
        <v>1600</v>
      </c>
      <c r="H681" s="628" t="s">
        <v>1893</v>
      </c>
      <c r="I681" s="632">
        <v>2167</v>
      </c>
      <c r="J681" s="631" t="s">
        <v>1599</v>
      </c>
      <c r="K681" s="633">
        <v>3640</v>
      </c>
      <c r="L681" s="643">
        <f t="shared" si="21"/>
        <v>9492.2999999999993</v>
      </c>
      <c r="M681" s="901">
        <v>13132.3</v>
      </c>
      <c r="N681" s="912">
        <v>7156.7</v>
      </c>
      <c r="O681" s="618">
        <v>0</v>
      </c>
      <c r="P681" s="644">
        <v>100</v>
      </c>
    </row>
    <row r="682" spans="1:16" ht="15.75" customHeight="1">
      <c r="A682" s="634" t="s">
        <v>2525</v>
      </c>
      <c r="B682" s="635">
        <v>45224</v>
      </c>
      <c r="C682" s="636" t="s">
        <v>1597</v>
      </c>
      <c r="D682" s="636" t="s">
        <v>1598</v>
      </c>
      <c r="E682" s="637">
        <v>6.2</v>
      </c>
      <c r="F682" s="634" t="s">
        <v>1599</v>
      </c>
      <c r="G682" s="634" t="s">
        <v>1600</v>
      </c>
      <c r="H682" s="634" t="s">
        <v>1880</v>
      </c>
      <c r="I682" s="639">
        <v>13558</v>
      </c>
      <c r="J682" s="638" t="s">
        <v>1599</v>
      </c>
      <c r="K682" s="640">
        <v>3900</v>
      </c>
      <c r="L682" s="645">
        <f t="shared" si="21"/>
        <v>9714.5</v>
      </c>
      <c r="M682" s="902">
        <v>13614.5</v>
      </c>
      <c r="N682" s="911">
        <v>6937.5</v>
      </c>
      <c r="O682" s="636">
        <v>0</v>
      </c>
      <c r="P682" s="646">
        <v>100</v>
      </c>
    </row>
    <row r="683" spans="1:16" ht="15.75" customHeight="1">
      <c r="A683" s="628" t="s">
        <v>2526</v>
      </c>
      <c r="B683" s="629">
        <v>45224</v>
      </c>
      <c r="C683" s="618" t="s">
        <v>1597</v>
      </c>
      <c r="D683" s="618" t="s">
        <v>1598</v>
      </c>
      <c r="E683" s="630">
        <v>11.9</v>
      </c>
      <c r="F683" s="628" t="s">
        <v>1599</v>
      </c>
      <c r="G683" s="628" t="s">
        <v>1600</v>
      </c>
      <c r="H683" s="628" t="s">
        <v>1828</v>
      </c>
      <c r="I683" s="632">
        <v>7448</v>
      </c>
      <c r="J683" s="631" t="s">
        <v>1599</v>
      </c>
      <c r="K683" s="633">
        <v>3740</v>
      </c>
      <c r="L683" s="643">
        <f t="shared" si="21"/>
        <v>23627</v>
      </c>
      <c r="M683" s="901">
        <v>27367</v>
      </c>
      <c r="N683" s="912">
        <v>21681</v>
      </c>
      <c r="O683" s="618">
        <v>0</v>
      </c>
      <c r="P683" s="644">
        <v>100</v>
      </c>
    </row>
    <row r="684" spans="1:16" ht="15.75" customHeight="1">
      <c r="A684" s="634" t="s">
        <v>2527</v>
      </c>
      <c r="B684" s="635">
        <v>45224</v>
      </c>
      <c r="C684" s="636" t="s">
        <v>1597</v>
      </c>
      <c r="D684" s="636" t="s">
        <v>1598</v>
      </c>
      <c r="E684" s="637">
        <v>11.9</v>
      </c>
      <c r="F684" s="634" t="s">
        <v>1599</v>
      </c>
      <c r="G684" s="634" t="s">
        <v>1600</v>
      </c>
      <c r="H684" s="634" t="s">
        <v>1828</v>
      </c>
      <c r="I684" s="639">
        <v>7448</v>
      </c>
      <c r="J684" s="638" t="s">
        <v>1599</v>
      </c>
      <c r="K684" s="640">
        <v>2540</v>
      </c>
      <c r="L684" s="645">
        <f t="shared" si="21"/>
        <v>25102</v>
      </c>
      <c r="M684" s="902">
        <v>27642</v>
      </c>
      <c r="N684" s="911">
        <v>20794</v>
      </c>
      <c r="O684" s="636">
        <v>0</v>
      </c>
      <c r="P684" s="646">
        <v>100</v>
      </c>
    </row>
    <row r="685" spans="1:16" ht="15.75" customHeight="1">
      <c r="A685" s="628" t="s">
        <v>2528</v>
      </c>
      <c r="B685" s="629">
        <v>45224</v>
      </c>
      <c r="C685" s="618" t="s">
        <v>1597</v>
      </c>
      <c r="D685" s="618" t="s">
        <v>1598</v>
      </c>
      <c r="E685" s="630">
        <v>11.9</v>
      </c>
      <c r="F685" s="628" t="s">
        <v>1599</v>
      </c>
      <c r="G685" s="628" t="s">
        <v>1600</v>
      </c>
      <c r="H685" s="628" t="s">
        <v>1828</v>
      </c>
      <c r="I685" s="632">
        <v>7448</v>
      </c>
      <c r="J685" s="631" t="s">
        <v>1599</v>
      </c>
      <c r="K685" s="633">
        <v>3700</v>
      </c>
      <c r="L685" s="643">
        <f t="shared" si="21"/>
        <v>23652</v>
      </c>
      <c r="M685" s="901">
        <v>27352</v>
      </c>
      <c r="N685" s="912">
        <v>17565</v>
      </c>
      <c r="O685" s="618">
        <v>0</v>
      </c>
      <c r="P685" s="644">
        <v>100</v>
      </c>
    </row>
    <row r="686" spans="1:16" ht="15.75" customHeight="1">
      <c r="A686" s="634" t="s">
        <v>2529</v>
      </c>
      <c r="B686" s="635">
        <v>45209</v>
      </c>
      <c r="C686" s="636" t="s">
        <v>1597</v>
      </c>
      <c r="D686" s="636" t="s">
        <v>1598</v>
      </c>
      <c r="E686" s="637">
        <v>7.1</v>
      </c>
      <c r="F686" s="634" t="s">
        <v>1599</v>
      </c>
      <c r="G686" s="634" t="s">
        <v>1600</v>
      </c>
      <c r="H686" s="634" t="s">
        <v>1825</v>
      </c>
      <c r="I686" s="639">
        <v>15486</v>
      </c>
      <c r="J686" s="638" t="s">
        <v>1599</v>
      </c>
      <c r="K686" s="640">
        <v>3890</v>
      </c>
      <c r="L686" s="645">
        <f t="shared" si="21"/>
        <v>10323.6</v>
      </c>
      <c r="M686" s="902">
        <v>14213.6</v>
      </c>
      <c r="N686" s="911">
        <v>10472.950000000001</v>
      </c>
      <c r="O686" s="636">
        <v>0</v>
      </c>
      <c r="P686" s="646">
        <v>100</v>
      </c>
    </row>
    <row r="687" spans="1:16" ht="15.75" customHeight="1">
      <c r="A687" s="628" t="s">
        <v>2530</v>
      </c>
      <c r="B687" s="629">
        <v>45224</v>
      </c>
      <c r="C687" s="618" t="s">
        <v>1597</v>
      </c>
      <c r="D687" s="618" t="s">
        <v>1598</v>
      </c>
      <c r="E687" s="630">
        <v>11.9</v>
      </c>
      <c r="F687" s="628" t="s">
        <v>1599</v>
      </c>
      <c r="G687" s="628" t="s">
        <v>1600</v>
      </c>
      <c r="H687" s="628" t="s">
        <v>1815</v>
      </c>
      <c r="I687" s="632">
        <v>17387</v>
      </c>
      <c r="J687" s="631" t="s">
        <v>1599</v>
      </c>
      <c r="K687" s="633">
        <v>3830</v>
      </c>
      <c r="L687" s="643">
        <f t="shared" si="21"/>
        <v>18134.16</v>
      </c>
      <c r="M687" s="901">
        <v>21964.16</v>
      </c>
      <c r="N687" s="912">
        <v>15814.32</v>
      </c>
      <c r="O687" s="618">
        <v>0</v>
      </c>
      <c r="P687" s="644">
        <v>100</v>
      </c>
    </row>
    <row r="688" spans="1:16" ht="15.75" customHeight="1">
      <c r="A688" s="634" t="s">
        <v>2531</v>
      </c>
      <c r="B688" s="635">
        <v>45224</v>
      </c>
      <c r="C688" s="636" t="s">
        <v>1597</v>
      </c>
      <c r="D688" s="636" t="s">
        <v>1598</v>
      </c>
      <c r="E688" s="637">
        <v>6.2</v>
      </c>
      <c r="F688" s="634" t="s">
        <v>1599</v>
      </c>
      <c r="G688" s="634" t="s">
        <v>1600</v>
      </c>
      <c r="H688" s="634" t="s">
        <v>1815</v>
      </c>
      <c r="I688" s="639">
        <v>17387</v>
      </c>
      <c r="J688" s="638" t="s">
        <v>1599</v>
      </c>
      <c r="K688" s="640">
        <v>3860</v>
      </c>
      <c r="L688" s="645">
        <f t="shared" si="21"/>
        <v>19095.28</v>
      </c>
      <c r="M688" s="902">
        <v>22955.279999999999</v>
      </c>
      <c r="N688" s="911">
        <v>16791.82</v>
      </c>
      <c r="O688" s="636">
        <v>0</v>
      </c>
      <c r="P688" s="646">
        <v>100</v>
      </c>
    </row>
    <row r="689" spans="1:16" ht="15.75" customHeight="1">
      <c r="A689" s="628" t="s">
        <v>2532</v>
      </c>
      <c r="B689" s="629">
        <v>45215</v>
      </c>
      <c r="C689" s="618" t="s">
        <v>1597</v>
      </c>
      <c r="D689" s="618" t="s">
        <v>1598</v>
      </c>
      <c r="E689" s="630">
        <v>3.6</v>
      </c>
      <c r="F689" s="628" t="s">
        <v>1599</v>
      </c>
      <c r="G689" s="628" t="s">
        <v>1600</v>
      </c>
      <c r="H689" s="628" t="s">
        <v>2043</v>
      </c>
      <c r="I689" s="632">
        <v>4220</v>
      </c>
      <c r="J689" s="631" t="s">
        <v>1599</v>
      </c>
      <c r="K689" s="633">
        <v>2210</v>
      </c>
      <c r="L689" s="643">
        <f t="shared" si="21"/>
        <v>5640</v>
      </c>
      <c r="M689" s="901">
        <v>7850</v>
      </c>
      <c r="N689" s="912">
        <v>4491.6400000000003</v>
      </c>
      <c r="O689" s="618">
        <v>0</v>
      </c>
      <c r="P689" s="644">
        <v>100</v>
      </c>
    </row>
    <row r="690" spans="1:16" ht="15.75" customHeight="1">
      <c r="A690" s="634" t="s">
        <v>2533</v>
      </c>
      <c r="B690" s="635">
        <v>45218</v>
      </c>
      <c r="C690" s="636" t="s">
        <v>1597</v>
      </c>
      <c r="D690" s="636" t="s">
        <v>1598</v>
      </c>
      <c r="E690" s="637">
        <v>6.5</v>
      </c>
      <c r="F690" s="634" t="s">
        <v>1599</v>
      </c>
      <c r="G690" s="634" t="s">
        <v>1600</v>
      </c>
      <c r="H690" s="634" t="s">
        <v>1801</v>
      </c>
      <c r="I690" s="639">
        <v>9292</v>
      </c>
      <c r="J690" s="638" t="s">
        <v>1599</v>
      </c>
      <c r="K690" s="640">
        <v>2230</v>
      </c>
      <c r="L690" s="645">
        <f t="shared" si="21"/>
        <v>14805</v>
      </c>
      <c r="M690" s="902">
        <v>17035</v>
      </c>
      <c r="N690" s="911">
        <v>14226</v>
      </c>
      <c r="O690" s="636">
        <v>0</v>
      </c>
      <c r="P690" s="646">
        <v>100</v>
      </c>
    </row>
    <row r="691" spans="1:16" ht="15.75" customHeight="1">
      <c r="A691" s="628" t="s">
        <v>2534</v>
      </c>
      <c r="B691" s="629">
        <v>45226</v>
      </c>
      <c r="C691" s="618" t="s">
        <v>1597</v>
      </c>
      <c r="D691" s="618" t="s">
        <v>1598</v>
      </c>
      <c r="E691" s="630">
        <v>4.0999999999999996</v>
      </c>
      <c r="F691" s="628" t="s">
        <v>1599</v>
      </c>
      <c r="G691" s="628" t="s">
        <v>1600</v>
      </c>
      <c r="H691" s="628" t="s">
        <v>1850</v>
      </c>
      <c r="I691" s="632">
        <v>9687</v>
      </c>
      <c r="J691" s="631" t="s">
        <v>1599</v>
      </c>
      <c r="K691" s="633">
        <v>2200</v>
      </c>
      <c r="L691" s="643">
        <f t="shared" si="21"/>
        <v>5777</v>
      </c>
      <c r="M691" s="901">
        <v>7977</v>
      </c>
      <c r="N691" s="912">
        <v>4550</v>
      </c>
      <c r="O691" s="618">
        <v>0</v>
      </c>
      <c r="P691" s="644">
        <v>100</v>
      </c>
    </row>
    <row r="692" spans="1:16" ht="15.75" customHeight="1">
      <c r="A692" s="634" t="s">
        <v>2535</v>
      </c>
      <c r="B692" s="635">
        <v>45216</v>
      </c>
      <c r="C692" s="636" t="s">
        <v>1597</v>
      </c>
      <c r="D692" s="636" t="s">
        <v>1598</v>
      </c>
      <c r="E692" s="637">
        <v>11.9</v>
      </c>
      <c r="F692" s="634" t="s">
        <v>1599</v>
      </c>
      <c r="G692" s="634" t="s">
        <v>1600</v>
      </c>
      <c r="H692" s="634" t="s">
        <v>2536</v>
      </c>
      <c r="I692" s="639">
        <v>3943</v>
      </c>
      <c r="J692" s="638" t="s">
        <v>1599</v>
      </c>
      <c r="K692" s="640">
        <v>3900</v>
      </c>
      <c r="L692" s="645">
        <f t="shared" si="21"/>
        <v>13492.599999999999</v>
      </c>
      <c r="M692" s="902">
        <v>17392.599999999999</v>
      </c>
      <c r="N692" s="911">
        <v>10281.6</v>
      </c>
      <c r="O692" s="636">
        <v>0</v>
      </c>
      <c r="P692" s="646">
        <v>100</v>
      </c>
    </row>
    <row r="693" spans="1:16" ht="15.75" customHeight="1">
      <c r="A693" s="628" t="s">
        <v>2537</v>
      </c>
      <c r="B693" s="629">
        <v>45219</v>
      </c>
      <c r="C693" s="618" t="s">
        <v>1597</v>
      </c>
      <c r="D693" s="618" t="s">
        <v>1598</v>
      </c>
      <c r="E693" s="630">
        <v>11.9</v>
      </c>
      <c r="F693" s="628" t="s">
        <v>1599</v>
      </c>
      <c r="G693" s="628" t="s">
        <v>1600</v>
      </c>
      <c r="H693" s="628" t="s">
        <v>2536</v>
      </c>
      <c r="I693" s="632">
        <v>3943</v>
      </c>
      <c r="J693" s="631" t="s">
        <v>1599</v>
      </c>
      <c r="K693" s="633">
        <v>3830</v>
      </c>
      <c r="L693" s="643">
        <f t="shared" si="21"/>
        <v>13491.599999999999</v>
      </c>
      <c r="M693" s="901">
        <v>17321.599999999999</v>
      </c>
      <c r="N693" s="912">
        <v>10281.6</v>
      </c>
      <c r="O693" s="618">
        <v>0</v>
      </c>
      <c r="P693" s="644">
        <v>100</v>
      </c>
    </row>
    <row r="694" spans="1:16" ht="15.75" customHeight="1">
      <c r="A694" s="634" t="s">
        <v>2538</v>
      </c>
      <c r="B694" s="635">
        <v>45223</v>
      </c>
      <c r="C694" s="636" t="s">
        <v>1597</v>
      </c>
      <c r="D694" s="636" t="s">
        <v>1598</v>
      </c>
      <c r="E694" s="637">
        <v>11.9</v>
      </c>
      <c r="F694" s="634" t="s">
        <v>1599</v>
      </c>
      <c r="G694" s="634" t="s">
        <v>1600</v>
      </c>
      <c r="H694" s="634" t="s">
        <v>2539</v>
      </c>
      <c r="I694" s="639">
        <v>2687</v>
      </c>
      <c r="J694" s="638" t="s">
        <v>1599</v>
      </c>
      <c r="K694" s="640">
        <v>3830</v>
      </c>
      <c r="L694" s="645">
        <f t="shared" ref="L694:L714" si="22">M694-K694</f>
        <v>13491.599999999999</v>
      </c>
      <c r="M694" s="902">
        <v>17321.599999999999</v>
      </c>
      <c r="N694" s="911">
        <v>10281.6</v>
      </c>
      <c r="O694" s="636">
        <v>0</v>
      </c>
      <c r="P694" s="646">
        <v>100</v>
      </c>
    </row>
    <row r="695" spans="1:16" ht="15.75" customHeight="1">
      <c r="A695" s="628" t="s">
        <v>2540</v>
      </c>
      <c r="B695" s="629">
        <v>45224</v>
      </c>
      <c r="C695" s="618" t="s">
        <v>1597</v>
      </c>
      <c r="D695" s="618" t="s">
        <v>1598</v>
      </c>
      <c r="E695" s="630">
        <v>11.9</v>
      </c>
      <c r="F695" s="628" t="s">
        <v>1599</v>
      </c>
      <c r="G695" s="628" t="s">
        <v>1600</v>
      </c>
      <c r="H695" s="628" t="s">
        <v>1798</v>
      </c>
      <c r="I695" s="632">
        <v>1931</v>
      </c>
      <c r="J695" s="631" t="s">
        <v>1599</v>
      </c>
      <c r="K695" s="633">
        <v>5293</v>
      </c>
      <c r="L695" s="643">
        <f t="shared" si="22"/>
        <v>891</v>
      </c>
      <c r="M695" s="901">
        <v>6184</v>
      </c>
      <c r="N695" s="912">
        <v>5293</v>
      </c>
      <c r="O695" s="618">
        <v>0</v>
      </c>
      <c r="P695" s="644">
        <v>100</v>
      </c>
    </row>
    <row r="696" spans="1:16" ht="15.75" customHeight="1">
      <c r="A696" s="634" t="s">
        <v>2541</v>
      </c>
      <c r="B696" s="635">
        <v>45227</v>
      </c>
      <c r="C696" s="636" t="s">
        <v>1597</v>
      </c>
      <c r="D696" s="636" t="s">
        <v>1598</v>
      </c>
      <c r="E696" s="637">
        <v>6.5</v>
      </c>
      <c r="F696" s="634" t="s">
        <v>1599</v>
      </c>
      <c r="G696" s="634" t="s">
        <v>1600</v>
      </c>
      <c r="H696" s="634" t="s">
        <v>1884</v>
      </c>
      <c r="I696" s="639">
        <v>13413</v>
      </c>
      <c r="J696" s="638" t="s">
        <v>1599</v>
      </c>
      <c r="K696" s="640">
        <v>3700</v>
      </c>
      <c r="L696" s="645">
        <f t="shared" si="22"/>
        <v>9714.5</v>
      </c>
      <c r="M696" s="902">
        <v>13414.5</v>
      </c>
      <c r="N696" s="911">
        <v>6937.5</v>
      </c>
      <c r="O696" s="636">
        <v>0</v>
      </c>
      <c r="P696" s="646">
        <v>100</v>
      </c>
    </row>
    <row r="697" spans="1:16" ht="15.75" customHeight="1">
      <c r="A697" s="628" t="s">
        <v>2542</v>
      </c>
      <c r="B697" s="629">
        <v>45230</v>
      </c>
      <c r="C697" s="618" t="s">
        <v>1597</v>
      </c>
      <c r="D697" s="618" t="s">
        <v>1598</v>
      </c>
      <c r="E697" s="630">
        <v>11.9</v>
      </c>
      <c r="F697" s="628" t="s">
        <v>1599</v>
      </c>
      <c r="G697" s="628" t="s">
        <v>1600</v>
      </c>
      <c r="H697" s="628" t="s">
        <v>2539</v>
      </c>
      <c r="I697" s="632">
        <v>2687</v>
      </c>
      <c r="J697" s="631" t="s">
        <v>1599</v>
      </c>
      <c r="K697" s="633">
        <v>3620</v>
      </c>
      <c r="L697" s="643">
        <f t="shared" si="22"/>
        <v>13492.599999999999</v>
      </c>
      <c r="M697" s="901">
        <v>17112.599999999999</v>
      </c>
      <c r="N697" s="913">
        <v>10281.6</v>
      </c>
      <c r="O697" s="618">
        <v>0</v>
      </c>
      <c r="P697" s="644">
        <v>100</v>
      </c>
    </row>
    <row r="698" spans="1:16" ht="15.75" customHeight="1">
      <c r="A698" s="634" t="s">
        <v>2543</v>
      </c>
      <c r="B698" s="635">
        <v>45230</v>
      </c>
      <c r="C698" s="636" t="s">
        <v>1597</v>
      </c>
      <c r="D698" s="636" t="s">
        <v>1598</v>
      </c>
      <c r="E698" s="637">
        <v>6.2</v>
      </c>
      <c r="F698" s="634" t="s">
        <v>1599</v>
      </c>
      <c r="G698" s="634" t="s">
        <v>1600</v>
      </c>
      <c r="H698" s="634" t="s">
        <v>1836</v>
      </c>
      <c r="I698" s="639">
        <v>14544</v>
      </c>
      <c r="J698" s="638" t="s">
        <v>1599</v>
      </c>
      <c r="K698" s="640">
        <v>3870</v>
      </c>
      <c r="L698" s="645">
        <f t="shared" si="22"/>
        <v>15719.150000000001</v>
      </c>
      <c r="M698" s="902">
        <v>19589.150000000001</v>
      </c>
      <c r="N698" s="911">
        <v>12460.53</v>
      </c>
      <c r="O698" s="636">
        <v>0</v>
      </c>
      <c r="P698" s="646">
        <v>100</v>
      </c>
    </row>
    <row r="699" spans="1:16" ht="15.75" customHeight="1">
      <c r="A699" s="628" t="s">
        <v>2544</v>
      </c>
      <c r="B699" s="629">
        <v>45226</v>
      </c>
      <c r="C699" s="618" t="s">
        <v>1597</v>
      </c>
      <c r="D699" s="618" t="s">
        <v>1598</v>
      </c>
      <c r="E699" s="630">
        <v>6</v>
      </c>
      <c r="F699" s="628" t="s">
        <v>1599</v>
      </c>
      <c r="G699" s="628" t="s">
        <v>1600</v>
      </c>
      <c r="H699" s="628" t="s">
        <v>1844</v>
      </c>
      <c r="I699" s="632">
        <v>5727</v>
      </c>
      <c r="J699" s="631" t="s">
        <v>1599</v>
      </c>
      <c r="K699" s="633">
        <v>2185</v>
      </c>
      <c r="L699" s="643">
        <f t="shared" si="22"/>
        <v>6823.5300000000007</v>
      </c>
      <c r="M699" s="901">
        <v>9008.5300000000007</v>
      </c>
      <c r="N699" s="912">
        <v>5744.38</v>
      </c>
      <c r="O699" s="618">
        <v>0</v>
      </c>
      <c r="P699" s="644">
        <v>100</v>
      </c>
    </row>
    <row r="700" spans="1:16" ht="15.75" customHeight="1">
      <c r="A700" s="634" t="s">
        <v>2545</v>
      </c>
      <c r="B700" s="635">
        <v>45215</v>
      </c>
      <c r="C700" s="636" t="s">
        <v>1597</v>
      </c>
      <c r="D700" s="636" t="s">
        <v>1598</v>
      </c>
      <c r="E700" s="637">
        <v>6</v>
      </c>
      <c r="F700" s="634" t="s">
        <v>1599</v>
      </c>
      <c r="G700" s="634" t="s">
        <v>1600</v>
      </c>
      <c r="H700" s="634" t="s">
        <v>1833</v>
      </c>
      <c r="I700" s="639">
        <v>4795</v>
      </c>
      <c r="J700" s="638" t="s">
        <v>1599</v>
      </c>
      <c r="K700" s="640">
        <v>2150</v>
      </c>
      <c r="L700" s="645">
        <f t="shared" si="22"/>
        <v>3764.29</v>
      </c>
      <c r="M700" s="902">
        <v>5914.29</v>
      </c>
      <c r="N700" s="911">
        <v>2762.28</v>
      </c>
      <c r="O700" s="636">
        <v>0</v>
      </c>
      <c r="P700" s="646">
        <v>100</v>
      </c>
    </row>
    <row r="701" spans="1:16" ht="15.75" customHeight="1">
      <c r="A701" s="628" t="s">
        <v>2546</v>
      </c>
      <c r="B701" s="629">
        <v>45218</v>
      </c>
      <c r="C701" s="618" t="s">
        <v>1597</v>
      </c>
      <c r="D701" s="618" t="s">
        <v>1598</v>
      </c>
      <c r="E701" s="630">
        <v>6.5</v>
      </c>
      <c r="F701" s="628" t="s">
        <v>1599</v>
      </c>
      <c r="G701" s="628" t="s">
        <v>1600</v>
      </c>
      <c r="H701" s="628" t="s">
        <v>1822</v>
      </c>
      <c r="I701" s="632">
        <v>13787</v>
      </c>
      <c r="J701" s="631" t="s">
        <v>1599</v>
      </c>
      <c r="K701" s="633">
        <v>3700</v>
      </c>
      <c r="L701" s="643">
        <f t="shared" si="22"/>
        <v>9602</v>
      </c>
      <c r="M701" s="901">
        <v>13302</v>
      </c>
      <c r="N701" s="912">
        <v>5376</v>
      </c>
      <c r="O701" s="618">
        <v>0</v>
      </c>
      <c r="P701" s="644">
        <v>100</v>
      </c>
    </row>
    <row r="702" spans="1:16" ht="15.75" customHeight="1">
      <c r="A702" s="634" t="s">
        <v>2547</v>
      </c>
      <c r="B702" s="635">
        <v>45219</v>
      </c>
      <c r="C702" s="636" t="s">
        <v>1597</v>
      </c>
      <c r="D702" s="636" t="s">
        <v>1598</v>
      </c>
      <c r="E702" s="637">
        <v>6</v>
      </c>
      <c r="F702" s="634" t="s">
        <v>1599</v>
      </c>
      <c r="G702" s="634" t="s">
        <v>1600</v>
      </c>
      <c r="H702" s="634" t="s">
        <v>2548</v>
      </c>
      <c r="I702" s="639">
        <v>4353</v>
      </c>
      <c r="J702" s="638" t="s">
        <v>1599</v>
      </c>
      <c r="K702" s="640">
        <v>3820</v>
      </c>
      <c r="L702" s="645">
        <f t="shared" si="22"/>
        <v>13491.599999999999</v>
      </c>
      <c r="M702" s="902">
        <v>17311.599999999999</v>
      </c>
      <c r="N702" s="911">
        <v>10281.6</v>
      </c>
      <c r="O702" s="636">
        <v>0</v>
      </c>
      <c r="P702" s="646">
        <v>100</v>
      </c>
    </row>
    <row r="703" spans="1:16" ht="15.75" customHeight="1">
      <c r="A703" s="660" t="s">
        <v>2549</v>
      </c>
      <c r="B703" s="629">
        <v>45237</v>
      </c>
      <c r="C703" s="618" t="s">
        <v>1597</v>
      </c>
      <c r="D703" s="618" t="s">
        <v>1598</v>
      </c>
      <c r="E703" s="630">
        <v>5.8</v>
      </c>
      <c r="F703" s="628" t="s">
        <v>1599</v>
      </c>
      <c r="G703" s="628" t="s">
        <v>1600</v>
      </c>
      <c r="H703" s="628" t="s">
        <v>1841</v>
      </c>
      <c r="I703" s="632">
        <v>9486</v>
      </c>
      <c r="J703" s="631" t="s">
        <v>1599</v>
      </c>
      <c r="K703" s="633">
        <v>3900</v>
      </c>
      <c r="L703" s="643">
        <f t="shared" si="22"/>
        <v>19324.5</v>
      </c>
      <c r="M703" s="901">
        <v>23224.5</v>
      </c>
      <c r="N703" s="912">
        <v>14807.72</v>
      </c>
      <c r="O703" s="618">
        <v>0</v>
      </c>
      <c r="P703" s="644">
        <v>100</v>
      </c>
    </row>
    <row r="704" spans="1:16" ht="15.75" customHeight="1">
      <c r="A704" s="661" t="s">
        <v>2550</v>
      </c>
      <c r="B704" s="635">
        <v>45237</v>
      </c>
      <c r="C704" s="636" t="s">
        <v>1597</v>
      </c>
      <c r="D704" s="636" t="s">
        <v>1598</v>
      </c>
      <c r="E704" s="637">
        <v>5.8</v>
      </c>
      <c r="F704" s="634" t="s">
        <v>1599</v>
      </c>
      <c r="G704" s="634" t="s">
        <v>1600</v>
      </c>
      <c r="H704" s="634" t="s">
        <v>1841</v>
      </c>
      <c r="I704" s="639">
        <v>9486</v>
      </c>
      <c r="J704" s="638" t="s">
        <v>1599</v>
      </c>
      <c r="K704" s="640">
        <v>3830</v>
      </c>
      <c r="L704" s="645">
        <f t="shared" si="22"/>
        <v>21039.599999999999</v>
      </c>
      <c r="M704" s="902">
        <v>24869.599999999999</v>
      </c>
      <c r="N704" s="911">
        <v>16092.98</v>
      </c>
      <c r="O704" s="636">
        <v>0</v>
      </c>
      <c r="P704" s="646">
        <v>100</v>
      </c>
    </row>
    <row r="705" spans="1:16" ht="15.75" customHeight="1">
      <c r="A705" s="660" t="s">
        <v>2551</v>
      </c>
      <c r="B705" s="629">
        <v>45237</v>
      </c>
      <c r="C705" s="618" t="s">
        <v>1597</v>
      </c>
      <c r="D705" s="618" t="s">
        <v>1598</v>
      </c>
      <c r="E705" s="630">
        <v>5.8</v>
      </c>
      <c r="F705" s="628" t="s">
        <v>1599</v>
      </c>
      <c r="G705" s="628" t="s">
        <v>1600</v>
      </c>
      <c r="H705" s="628" t="s">
        <v>1841</v>
      </c>
      <c r="I705" s="632">
        <v>9486</v>
      </c>
      <c r="J705" s="631" t="s">
        <v>1599</v>
      </c>
      <c r="K705" s="633">
        <v>3830</v>
      </c>
      <c r="L705" s="643">
        <f t="shared" si="22"/>
        <v>17656.900000000001</v>
      </c>
      <c r="M705" s="901">
        <v>21486.9</v>
      </c>
      <c r="N705" s="912">
        <v>14193.56</v>
      </c>
      <c r="O705" s="618">
        <v>0</v>
      </c>
      <c r="P705" s="644">
        <v>100</v>
      </c>
    </row>
    <row r="706" spans="1:16" ht="15.75" customHeight="1">
      <c r="A706" s="661" t="s">
        <v>2552</v>
      </c>
      <c r="B706" s="635">
        <v>45236</v>
      </c>
      <c r="C706" s="636" t="s">
        <v>1597</v>
      </c>
      <c r="D706" s="636" t="s">
        <v>1598</v>
      </c>
      <c r="E706" s="637">
        <v>6.2</v>
      </c>
      <c r="F706" s="634" t="s">
        <v>1599</v>
      </c>
      <c r="G706" s="634" t="s">
        <v>1600</v>
      </c>
      <c r="H706" s="634" t="s">
        <v>1807</v>
      </c>
      <c r="I706" s="639">
        <v>1734</v>
      </c>
      <c r="J706" s="638" t="s">
        <v>1599</v>
      </c>
      <c r="K706" s="640">
        <v>3650</v>
      </c>
      <c r="L706" s="645">
        <f t="shared" si="22"/>
        <v>12058.1</v>
      </c>
      <c r="M706" s="902">
        <v>15708.1</v>
      </c>
      <c r="N706" s="911">
        <v>9256.7999999999993</v>
      </c>
      <c r="O706" s="636">
        <v>0</v>
      </c>
      <c r="P706" s="646">
        <v>100</v>
      </c>
    </row>
    <row r="707" spans="1:16" ht="15.75" customHeight="1">
      <c r="A707" s="660" t="s">
        <v>2553</v>
      </c>
      <c r="B707" s="629">
        <v>45232</v>
      </c>
      <c r="C707" s="618" t="s">
        <v>1597</v>
      </c>
      <c r="D707" s="618" t="s">
        <v>1598</v>
      </c>
      <c r="E707" s="630">
        <v>11.9</v>
      </c>
      <c r="F707" s="618" t="s">
        <v>1599</v>
      </c>
      <c r="G707" s="618" t="s">
        <v>1600</v>
      </c>
      <c r="H707" s="628" t="s">
        <v>1912</v>
      </c>
      <c r="I707" s="632">
        <v>4929</v>
      </c>
      <c r="J707" s="654" t="s">
        <v>1599</v>
      </c>
      <c r="K707" s="633">
        <v>3640</v>
      </c>
      <c r="L707" s="643">
        <f t="shared" si="22"/>
        <v>15631.7</v>
      </c>
      <c r="M707" s="901">
        <v>19271.7</v>
      </c>
      <c r="N707" s="912">
        <v>14031.23</v>
      </c>
      <c r="O707" s="618">
        <v>0</v>
      </c>
      <c r="P707" s="644">
        <v>100</v>
      </c>
    </row>
    <row r="708" spans="1:16" ht="15.75" customHeight="1">
      <c r="A708" s="661" t="s">
        <v>2554</v>
      </c>
      <c r="B708" s="635">
        <v>45232</v>
      </c>
      <c r="C708" s="636" t="s">
        <v>1597</v>
      </c>
      <c r="D708" s="636" t="s">
        <v>1598</v>
      </c>
      <c r="E708" s="637">
        <v>11.9</v>
      </c>
      <c r="F708" s="634" t="s">
        <v>1599</v>
      </c>
      <c r="G708" s="634" t="s">
        <v>1600</v>
      </c>
      <c r="H708" s="634" t="s">
        <v>1912</v>
      </c>
      <c r="I708" s="639">
        <v>4929</v>
      </c>
      <c r="J708" s="638" t="s">
        <v>1599</v>
      </c>
      <c r="K708" s="640">
        <v>3640</v>
      </c>
      <c r="L708" s="645">
        <f t="shared" si="22"/>
        <v>12675</v>
      </c>
      <c r="M708" s="902">
        <v>16315</v>
      </c>
      <c r="N708" s="911">
        <v>10099.799999999999</v>
      </c>
      <c r="O708" s="636">
        <v>0</v>
      </c>
      <c r="P708" s="646">
        <v>100</v>
      </c>
    </row>
    <row r="709" spans="1:16" ht="15.75" customHeight="1">
      <c r="A709" s="660" t="s">
        <v>2555</v>
      </c>
      <c r="B709" s="629">
        <v>45239</v>
      </c>
      <c r="C709" s="618" t="s">
        <v>1597</v>
      </c>
      <c r="D709" s="618" t="s">
        <v>1598</v>
      </c>
      <c r="E709" s="630">
        <v>6.2</v>
      </c>
      <c r="F709" s="628" t="s">
        <v>1599</v>
      </c>
      <c r="G709" s="628" t="s">
        <v>1600</v>
      </c>
      <c r="H709" s="628" t="s">
        <v>1815</v>
      </c>
      <c r="I709" s="632">
        <v>17387</v>
      </c>
      <c r="J709" s="631" t="s">
        <v>1599</v>
      </c>
      <c r="K709" s="633">
        <v>3870</v>
      </c>
      <c r="L709" s="643">
        <f t="shared" si="22"/>
        <v>17889.580000000002</v>
      </c>
      <c r="M709" s="901">
        <v>21759.58</v>
      </c>
      <c r="N709" s="912">
        <v>15350.84</v>
      </c>
      <c r="O709" s="618">
        <v>0</v>
      </c>
      <c r="P709" s="644">
        <v>100</v>
      </c>
    </row>
    <row r="710" spans="1:16" ht="15.75" customHeight="1">
      <c r="A710" s="661" t="s">
        <v>2556</v>
      </c>
      <c r="B710" s="635">
        <v>45239</v>
      </c>
      <c r="C710" s="636" t="s">
        <v>1597</v>
      </c>
      <c r="D710" s="636" t="s">
        <v>1598</v>
      </c>
      <c r="E710" s="637">
        <v>6.2</v>
      </c>
      <c r="F710" s="634" t="s">
        <v>1599</v>
      </c>
      <c r="G710" s="634" t="s">
        <v>1600</v>
      </c>
      <c r="H710" s="634" t="s">
        <v>1815</v>
      </c>
      <c r="I710" s="639">
        <v>17387</v>
      </c>
      <c r="J710" s="638" t="s">
        <v>1599</v>
      </c>
      <c r="K710" s="640">
        <v>3700</v>
      </c>
      <c r="L710" s="645">
        <f t="shared" si="22"/>
        <v>18137.150000000001</v>
      </c>
      <c r="M710" s="902">
        <v>21837.15</v>
      </c>
      <c r="N710" s="911">
        <v>15547.19</v>
      </c>
      <c r="O710" s="636">
        <v>0</v>
      </c>
      <c r="P710" s="646">
        <v>100</v>
      </c>
    </row>
    <row r="711" spans="1:16" ht="15.75" customHeight="1">
      <c r="A711" s="660" t="s">
        <v>2557</v>
      </c>
      <c r="B711" s="629">
        <v>45240</v>
      </c>
      <c r="C711" s="618" t="s">
        <v>1597</v>
      </c>
      <c r="D711" s="618" t="s">
        <v>1598</v>
      </c>
      <c r="E711" s="630">
        <v>10.199999999999999</v>
      </c>
      <c r="F711" s="628" t="s">
        <v>1599</v>
      </c>
      <c r="G711" s="628" t="s">
        <v>1600</v>
      </c>
      <c r="H711" s="628" t="s">
        <v>1818</v>
      </c>
      <c r="I711" s="632">
        <v>14000</v>
      </c>
      <c r="J711" s="631" t="s">
        <v>1599</v>
      </c>
      <c r="K711" s="633">
        <v>3840</v>
      </c>
      <c r="L711" s="643">
        <f t="shared" si="22"/>
        <v>17601.740000000002</v>
      </c>
      <c r="M711" s="901">
        <v>21441.74</v>
      </c>
      <c r="N711" s="912">
        <v>15351.92</v>
      </c>
      <c r="O711" s="618">
        <v>0</v>
      </c>
      <c r="P711" s="644">
        <v>100</v>
      </c>
    </row>
    <row r="712" spans="1:16" ht="15.75" customHeight="1">
      <c r="A712" s="661" t="s">
        <v>2558</v>
      </c>
      <c r="B712" s="635">
        <v>45238</v>
      </c>
      <c r="C712" s="636" t="s">
        <v>1597</v>
      </c>
      <c r="D712" s="636" t="s">
        <v>1598</v>
      </c>
      <c r="E712" s="637">
        <v>11.9</v>
      </c>
      <c r="F712" s="634" t="s">
        <v>1599</v>
      </c>
      <c r="G712" s="634" t="s">
        <v>1600</v>
      </c>
      <c r="H712" s="634" t="s">
        <v>1831</v>
      </c>
      <c r="I712" s="639">
        <v>7283</v>
      </c>
      <c r="J712" s="638" t="s">
        <v>1599</v>
      </c>
      <c r="K712" s="640">
        <v>3640</v>
      </c>
      <c r="L712" s="645">
        <f t="shared" si="22"/>
        <v>23982</v>
      </c>
      <c r="M712" s="902">
        <v>27622</v>
      </c>
      <c r="N712" s="911">
        <v>20039</v>
      </c>
      <c r="O712" s="636">
        <v>0</v>
      </c>
      <c r="P712" s="646">
        <v>100</v>
      </c>
    </row>
    <row r="713" spans="1:16" ht="15.75" customHeight="1">
      <c r="A713" s="660" t="s">
        <v>2559</v>
      </c>
      <c r="B713" s="629">
        <v>45239</v>
      </c>
      <c r="C713" s="618" t="s">
        <v>1597</v>
      </c>
      <c r="D713" s="618" t="s">
        <v>1598</v>
      </c>
      <c r="E713" s="630">
        <v>11.9</v>
      </c>
      <c r="F713" s="628" t="s">
        <v>1599</v>
      </c>
      <c r="G713" s="628" t="s">
        <v>1600</v>
      </c>
      <c r="H713" s="628" t="s">
        <v>1831</v>
      </c>
      <c r="I713" s="632">
        <v>7283</v>
      </c>
      <c r="J713" s="631" t="s">
        <v>1599</v>
      </c>
      <c r="K713" s="633">
        <v>3740</v>
      </c>
      <c r="L713" s="643">
        <f t="shared" si="22"/>
        <v>23902</v>
      </c>
      <c r="M713" s="901">
        <v>27642</v>
      </c>
      <c r="N713" s="912">
        <v>19612</v>
      </c>
      <c r="O713" s="618">
        <v>0</v>
      </c>
      <c r="P713" s="644">
        <v>100</v>
      </c>
    </row>
    <row r="714" spans="1:16" ht="15.75" customHeight="1">
      <c r="A714" s="661" t="s">
        <v>2560</v>
      </c>
      <c r="B714" s="635">
        <v>45239</v>
      </c>
      <c r="C714" s="636" t="s">
        <v>1597</v>
      </c>
      <c r="D714" s="636" t="s">
        <v>1598</v>
      </c>
      <c r="E714" s="637">
        <v>11.9</v>
      </c>
      <c r="F714" s="634" t="s">
        <v>1599</v>
      </c>
      <c r="G714" s="634" t="s">
        <v>1600</v>
      </c>
      <c r="H714" s="634" t="s">
        <v>1831</v>
      </c>
      <c r="I714" s="639">
        <v>7283</v>
      </c>
      <c r="J714" s="638" t="s">
        <v>1599</v>
      </c>
      <c r="K714" s="640">
        <v>3625</v>
      </c>
      <c r="L714" s="645">
        <f t="shared" si="22"/>
        <v>24014.5</v>
      </c>
      <c r="M714" s="902">
        <v>27639.5</v>
      </c>
      <c r="N714" s="911">
        <v>21094</v>
      </c>
      <c r="O714" s="636">
        <v>0</v>
      </c>
      <c r="P714" s="646">
        <v>100</v>
      </c>
    </row>
    <row r="715" spans="1:16" ht="15.75" customHeight="1">
      <c r="A715" s="628" t="s">
        <v>2561</v>
      </c>
      <c r="B715" s="629">
        <v>45598</v>
      </c>
      <c r="C715" s="618" t="s">
        <v>1597</v>
      </c>
      <c r="D715" s="618"/>
      <c r="E715" s="630"/>
      <c r="F715" s="628"/>
      <c r="G715" s="628" t="s">
        <v>1600</v>
      </c>
      <c r="H715" s="628" t="s">
        <v>1798</v>
      </c>
      <c r="I715" s="632">
        <v>1931</v>
      </c>
      <c r="J715" s="631"/>
      <c r="K715" s="633">
        <v>4119.88</v>
      </c>
      <c r="L715" s="643">
        <v>1330.98</v>
      </c>
      <c r="M715" s="901">
        <v>5450.86</v>
      </c>
      <c r="N715" s="912">
        <v>4119.88</v>
      </c>
      <c r="O715" s="618">
        <v>0</v>
      </c>
      <c r="P715" s="644">
        <v>100</v>
      </c>
    </row>
    <row r="716" spans="1:16" ht="15.75" customHeight="1">
      <c r="A716" s="661" t="s">
        <v>2562</v>
      </c>
      <c r="B716" s="635">
        <v>45246</v>
      </c>
      <c r="C716" s="636" t="s">
        <v>1597</v>
      </c>
      <c r="D716" s="636" t="s">
        <v>1598</v>
      </c>
      <c r="E716" s="637">
        <v>6.5</v>
      </c>
      <c r="F716" s="634" t="s">
        <v>1599</v>
      </c>
      <c r="G716" s="634" t="s">
        <v>1600</v>
      </c>
      <c r="H716" s="634" t="s">
        <v>1854</v>
      </c>
      <c r="I716" s="639">
        <v>8865</v>
      </c>
      <c r="J716" s="638" t="s">
        <v>1599</v>
      </c>
      <c r="K716" s="640">
        <v>2220</v>
      </c>
      <c r="L716" s="645">
        <f t="shared" ref="L716:L763" si="23">M716-K716</f>
        <v>14157</v>
      </c>
      <c r="M716" s="902">
        <v>16377</v>
      </c>
      <c r="N716" s="911">
        <v>12925.5</v>
      </c>
      <c r="O716" s="636">
        <v>0</v>
      </c>
      <c r="P716" s="646">
        <v>100</v>
      </c>
    </row>
    <row r="717" spans="1:16" ht="15.75" customHeight="1">
      <c r="A717" s="660" t="s">
        <v>2563</v>
      </c>
      <c r="B717" s="629">
        <v>45236</v>
      </c>
      <c r="C717" s="618" t="s">
        <v>1597</v>
      </c>
      <c r="D717" s="618" t="s">
        <v>1598</v>
      </c>
      <c r="E717" s="630">
        <v>7.1</v>
      </c>
      <c r="F717" s="628" t="s">
        <v>1599</v>
      </c>
      <c r="G717" s="628" t="s">
        <v>1600</v>
      </c>
      <c r="H717" s="628" t="s">
        <v>1809</v>
      </c>
      <c r="I717" s="632">
        <v>15168</v>
      </c>
      <c r="J717" s="631" t="s">
        <v>1599</v>
      </c>
      <c r="K717" s="633">
        <v>3910</v>
      </c>
      <c r="L717" s="643">
        <f t="shared" si="23"/>
        <v>20824.599999999999</v>
      </c>
      <c r="M717" s="901">
        <v>24734.6</v>
      </c>
      <c r="N717" s="912">
        <v>15523.2</v>
      </c>
      <c r="O717" s="618">
        <v>0</v>
      </c>
      <c r="P717" s="644">
        <v>100</v>
      </c>
    </row>
    <row r="718" spans="1:16" ht="15.75" customHeight="1">
      <c r="A718" s="661" t="s">
        <v>2564</v>
      </c>
      <c r="B718" s="635">
        <v>45237</v>
      </c>
      <c r="C718" s="636" t="s">
        <v>1597</v>
      </c>
      <c r="D718" s="636" t="s">
        <v>1598</v>
      </c>
      <c r="E718" s="637">
        <v>7.1</v>
      </c>
      <c r="F718" s="634" t="s">
        <v>1599</v>
      </c>
      <c r="G718" s="634" t="s">
        <v>1600</v>
      </c>
      <c r="H718" s="634" t="s">
        <v>1809</v>
      </c>
      <c r="I718" s="639">
        <v>15168</v>
      </c>
      <c r="J718" s="638" t="s">
        <v>1599</v>
      </c>
      <c r="K718" s="640">
        <v>3860</v>
      </c>
      <c r="L718" s="645">
        <f t="shared" si="23"/>
        <v>20224.2</v>
      </c>
      <c r="M718" s="902">
        <v>24084.2</v>
      </c>
      <c r="N718" s="911">
        <v>16320</v>
      </c>
      <c r="O718" s="636">
        <v>0</v>
      </c>
      <c r="P718" s="646">
        <v>100</v>
      </c>
    </row>
    <row r="719" spans="1:16" ht="15.75" customHeight="1">
      <c r="A719" s="660" t="s">
        <v>2565</v>
      </c>
      <c r="B719" s="629">
        <v>45236</v>
      </c>
      <c r="C719" s="618" t="s">
        <v>1597</v>
      </c>
      <c r="D719" s="618" t="s">
        <v>1598</v>
      </c>
      <c r="E719" s="630">
        <v>7.1</v>
      </c>
      <c r="F719" s="628" t="s">
        <v>1599</v>
      </c>
      <c r="G719" s="628" t="s">
        <v>1600</v>
      </c>
      <c r="H719" s="628" t="s">
        <v>1836</v>
      </c>
      <c r="I719" s="632">
        <v>14544</v>
      </c>
      <c r="J719" s="631" t="s">
        <v>1599</v>
      </c>
      <c r="K719" s="633">
        <v>3800</v>
      </c>
      <c r="L719" s="643">
        <f t="shared" si="23"/>
        <v>16362.8</v>
      </c>
      <c r="M719" s="901">
        <v>20162.8</v>
      </c>
      <c r="N719" s="912">
        <v>14035</v>
      </c>
      <c r="O719" s="618">
        <v>0</v>
      </c>
      <c r="P719" s="644">
        <v>100</v>
      </c>
    </row>
    <row r="720" spans="1:16" ht="15.75" customHeight="1">
      <c r="A720" s="661" t="s">
        <v>2566</v>
      </c>
      <c r="B720" s="635">
        <v>45237</v>
      </c>
      <c r="C720" s="636" t="s">
        <v>1597</v>
      </c>
      <c r="D720" s="636" t="s">
        <v>1598</v>
      </c>
      <c r="E720" s="637">
        <v>4.0999999999999996</v>
      </c>
      <c r="F720" s="634" t="s">
        <v>1599</v>
      </c>
      <c r="G720" s="634" t="s">
        <v>1600</v>
      </c>
      <c r="H720" s="634" t="s">
        <v>1822</v>
      </c>
      <c r="I720" s="639">
        <v>13787</v>
      </c>
      <c r="J720" s="638" t="s">
        <v>1599</v>
      </c>
      <c r="K720" s="640">
        <v>3700</v>
      </c>
      <c r="L720" s="645">
        <f t="shared" si="23"/>
        <v>16362.8</v>
      </c>
      <c r="M720" s="902">
        <v>20062.8</v>
      </c>
      <c r="N720" s="911">
        <v>14035</v>
      </c>
      <c r="O720" s="636">
        <v>0</v>
      </c>
      <c r="P720" s="646">
        <v>100</v>
      </c>
    </row>
    <row r="721" spans="1:16" ht="15.75" customHeight="1">
      <c r="A721" s="660" t="s">
        <v>2567</v>
      </c>
      <c r="B721" s="629">
        <v>45246</v>
      </c>
      <c r="C721" s="618" t="s">
        <v>1597</v>
      </c>
      <c r="D721" s="618" t="s">
        <v>1598</v>
      </c>
      <c r="E721" s="630">
        <v>6.2</v>
      </c>
      <c r="F721" s="628" t="s">
        <v>1599</v>
      </c>
      <c r="G721" s="628" t="s">
        <v>1600</v>
      </c>
      <c r="H721" s="628" t="s">
        <v>1815</v>
      </c>
      <c r="I721" s="632">
        <v>17387</v>
      </c>
      <c r="J721" s="631" t="s">
        <v>1599</v>
      </c>
      <c r="K721" s="633">
        <v>3700</v>
      </c>
      <c r="L721" s="643">
        <f t="shared" si="23"/>
        <v>18179.96</v>
      </c>
      <c r="M721" s="901">
        <v>21879.96</v>
      </c>
      <c r="N721" s="912">
        <v>15644.64</v>
      </c>
      <c r="O721" s="618">
        <v>0</v>
      </c>
      <c r="P721" s="644">
        <v>100</v>
      </c>
    </row>
    <row r="722" spans="1:16" ht="15.75" customHeight="1">
      <c r="A722" s="661" t="s">
        <v>2568</v>
      </c>
      <c r="B722" s="635">
        <v>45246</v>
      </c>
      <c r="C722" s="636" t="s">
        <v>1597</v>
      </c>
      <c r="D722" s="636" t="s">
        <v>1598</v>
      </c>
      <c r="E722" s="637">
        <v>6.2</v>
      </c>
      <c r="F722" s="634" t="s">
        <v>1599</v>
      </c>
      <c r="G722" s="634" t="s">
        <v>1600</v>
      </c>
      <c r="H722" s="634" t="s">
        <v>1815</v>
      </c>
      <c r="I722" s="639">
        <v>17387</v>
      </c>
      <c r="J722" s="638" t="s">
        <v>1599</v>
      </c>
      <c r="K722" s="640">
        <v>3900</v>
      </c>
      <c r="L722" s="645">
        <f t="shared" si="23"/>
        <v>18539.82</v>
      </c>
      <c r="M722" s="902">
        <v>22439.82</v>
      </c>
      <c r="N722" s="911">
        <v>15857.96</v>
      </c>
      <c r="O722" s="636">
        <v>0</v>
      </c>
      <c r="P722" s="646">
        <v>100</v>
      </c>
    </row>
    <row r="723" spans="1:16" ht="15.75" customHeight="1">
      <c r="A723" s="660" t="s">
        <v>2569</v>
      </c>
      <c r="B723" s="629">
        <v>45238</v>
      </c>
      <c r="C723" s="618" t="s">
        <v>1597</v>
      </c>
      <c r="D723" s="618" t="s">
        <v>1598</v>
      </c>
      <c r="E723" s="630">
        <v>7.1</v>
      </c>
      <c r="F723" s="628" t="s">
        <v>1599</v>
      </c>
      <c r="G723" s="628" t="s">
        <v>1600</v>
      </c>
      <c r="H723" s="628" t="s">
        <v>1880</v>
      </c>
      <c r="I723" s="632">
        <v>13558</v>
      </c>
      <c r="J723" s="631" t="s">
        <v>1599</v>
      </c>
      <c r="K723" s="633">
        <v>3700</v>
      </c>
      <c r="L723" s="643">
        <f t="shared" si="23"/>
        <v>16362.8</v>
      </c>
      <c r="M723" s="901">
        <v>20062.8</v>
      </c>
      <c r="N723" s="912">
        <v>14035</v>
      </c>
      <c r="O723" s="618">
        <v>0</v>
      </c>
      <c r="P723" s="644">
        <v>100</v>
      </c>
    </row>
    <row r="724" spans="1:16" ht="15.75" customHeight="1">
      <c r="A724" s="661" t="s">
        <v>2570</v>
      </c>
      <c r="B724" s="635">
        <v>45241</v>
      </c>
      <c r="C724" s="636" t="s">
        <v>1597</v>
      </c>
      <c r="D724" s="636" t="s">
        <v>1598</v>
      </c>
      <c r="E724" s="637">
        <v>6.5</v>
      </c>
      <c r="F724" s="634" t="s">
        <v>1599</v>
      </c>
      <c r="G724" s="634" t="s">
        <v>1600</v>
      </c>
      <c r="H724" s="634" t="s">
        <v>1884</v>
      </c>
      <c r="I724" s="639">
        <v>13413</v>
      </c>
      <c r="J724" s="638" t="s">
        <v>1599</v>
      </c>
      <c r="K724" s="640">
        <v>3700</v>
      </c>
      <c r="L724" s="645">
        <f t="shared" si="23"/>
        <v>16362.8</v>
      </c>
      <c r="M724" s="902">
        <v>20062.8</v>
      </c>
      <c r="N724" s="911">
        <v>14035</v>
      </c>
      <c r="O724" s="636">
        <v>0</v>
      </c>
      <c r="P724" s="646">
        <v>100</v>
      </c>
    </row>
    <row r="725" spans="1:16" ht="15.75" customHeight="1">
      <c r="A725" s="660" t="s">
        <v>2571</v>
      </c>
      <c r="B725" s="629">
        <v>45238</v>
      </c>
      <c r="C725" s="618" t="s">
        <v>1597</v>
      </c>
      <c r="D725" s="618" t="s">
        <v>1598</v>
      </c>
      <c r="E725" s="630">
        <v>7.1</v>
      </c>
      <c r="F725" s="628" t="s">
        <v>1599</v>
      </c>
      <c r="G725" s="628" t="s">
        <v>1600</v>
      </c>
      <c r="H725" s="628" t="s">
        <v>1886</v>
      </c>
      <c r="I725" s="632">
        <v>13877</v>
      </c>
      <c r="J725" s="631" t="s">
        <v>1599</v>
      </c>
      <c r="K725" s="633">
        <v>3840</v>
      </c>
      <c r="L725" s="643">
        <f t="shared" si="23"/>
        <v>19599.5</v>
      </c>
      <c r="M725" s="901">
        <v>23439.5</v>
      </c>
      <c r="N725" s="912">
        <v>15795</v>
      </c>
      <c r="O725" s="618">
        <v>0</v>
      </c>
      <c r="P725" s="644">
        <v>100</v>
      </c>
    </row>
    <row r="726" spans="1:16" ht="15.75" customHeight="1">
      <c r="A726" s="661" t="s">
        <v>2572</v>
      </c>
      <c r="B726" s="635">
        <v>45240</v>
      </c>
      <c r="C726" s="636" t="s">
        <v>1597</v>
      </c>
      <c r="D726" s="636" t="s">
        <v>1598</v>
      </c>
      <c r="E726" s="637">
        <v>6.2</v>
      </c>
      <c r="F726" s="634" t="s">
        <v>1599</v>
      </c>
      <c r="G726" s="634" t="s">
        <v>1600</v>
      </c>
      <c r="H726" s="634" t="s">
        <v>1886</v>
      </c>
      <c r="I726" s="639">
        <v>13877</v>
      </c>
      <c r="J726" s="638" t="s">
        <v>1599</v>
      </c>
      <c r="K726" s="640">
        <v>3840</v>
      </c>
      <c r="L726" s="645">
        <f t="shared" si="23"/>
        <v>9774.2000000000007</v>
      </c>
      <c r="M726" s="902">
        <v>13614.2</v>
      </c>
      <c r="N726" s="911">
        <v>6917.4</v>
      </c>
      <c r="O726" s="636">
        <v>0</v>
      </c>
      <c r="P726" s="646">
        <v>100</v>
      </c>
    </row>
    <row r="727" spans="1:16" ht="15.75" customHeight="1">
      <c r="A727" s="660" t="s">
        <v>2573</v>
      </c>
      <c r="B727" s="629">
        <v>45237</v>
      </c>
      <c r="C727" s="618" t="s">
        <v>1597</v>
      </c>
      <c r="D727" s="618" t="s">
        <v>1598</v>
      </c>
      <c r="E727" s="630">
        <v>6.5</v>
      </c>
      <c r="F727" s="628" t="s">
        <v>1599</v>
      </c>
      <c r="G727" s="628" t="s">
        <v>1600</v>
      </c>
      <c r="H727" s="628" t="s">
        <v>1825</v>
      </c>
      <c r="I727" s="632">
        <v>15486</v>
      </c>
      <c r="J727" s="631" t="s">
        <v>1599</v>
      </c>
      <c r="K727" s="633">
        <v>3700</v>
      </c>
      <c r="L727" s="643">
        <f t="shared" si="23"/>
        <v>10487</v>
      </c>
      <c r="M727" s="901">
        <v>14187</v>
      </c>
      <c r="N727" s="912">
        <v>7830</v>
      </c>
      <c r="O727" s="618">
        <v>0</v>
      </c>
      <c r="P727" s="644">
        <v>100</v>
      </c>
    </row>
    <row r="728" spans="1:16" ht="15.75" customHeight="1">
      <c r="A728" s="661" t="s">
        <v>2574</v>
      </c>
      <c r="B728" s="635">
        <v>45238</v>
      </c>
      <c r="C728" s="636" t="s">
        <v>1597</v>
      </c>
      <c r="D728" s="636" t="s">
        <v>1598</v>
      </c>
      <c r="E728" s="637">
        <v>11.9</v>
      </c>
      <c r="F728" s="634" t="s">
        <v>1599</v>
      </c>
      <c r="G728" s="634" t="s">
        <v>1600</v>
      </c>
      <c r="H728" s="634" t="s">
        <v>1825</v>
      </c>
      <c r="I728" s="639">
        <v>15486</v>
      </c>
      <c r="J728" s="638" t="s">
        <v>1599</v>
      </c>
      <c r="K728" s="640">
        <v>3840</v>
      </c>
      <c r="L728" s="645">
        <f t="shared" si="23"/>
        <v>8632.5</v>
      </c>
      <c r="M728" s="902">
        <v>12472.5</v>
      </c>
      <c r="N728" s="911">
        <v>5936.1</v>
      </c>
      <c r="O728" s="636">
        <v>0</v>
      </c>
      <c r="P728" s="646">
        <v>100</v>
      </c>
    </row>
    <row r="729" spans="1:16" ht="15.75" customHeight="1">
      <c r="A729" s="660" t="s">
        <v>2575</v>
      </c>
      <c r="B729" s="629">
        <v>45247</v>
      </c>
      <c r="C729" s="618" t="s">
        <v>1597</v>
      </c>
      <c r="D729" s="618" t="s">
        <v>1598</v>
      </c>
      <c r="E729" s="630">
        <v>10.199999999999999</v>
      </c>
      <c r="F729" s="628" t="s">
        <v>1599</v>
      </c>
      <c r="G729" s="628" t="s">
        <v>1600</v>
      </c>
      <c r="H729" s="628" t="s">
        <v>1941</v>
      </c>
      <c r="I729" s="632">
        <v>1588</v>
      </c>
      <c r="J729" s="631" t="s">
        <v>1599</v>
      </c>
      <c r="K729" s="633">
        <v>3700</v>
      </c>
      <c r="L729" s="643">
        <f t="shared" si="23"/>
        <v>9755.75</v>
      </c>
      <c r="M729" s="901">
        <v>13455.75</v>
      </c>
      <c r="N729" s="912">
        <v>6885.95</v>
      </c>
      <c r="O729" s="618">
        <v>0</v>
      </c>
      <c r="P729" s="644">
        <v>100</v>
      </c>
    </row>
    <row r="730" spans="1:16" ht="15.75" customHeight="1">
      <c r="A730" s="661" t="s">
        <v>2576</v>
      </c>
      <c r="B730" s="635">
        <v>45246</v>
      </c>
      <c r="C730" s="636" t="s">
        <v>1597</v>
      </c>
      <c r="D730" s="636" t="s">
        <v>1598</v>
      </c>
      <c r="E730" s="637">
        <v>6</v>
      </c>
      <c r="F730" s="634" t="s">
        <v>1599</v>
      </c>
      <c r="G730" s="634" t="s">
        <v>1600</v>
      </c>
      <c r="H730" s="634" t="s">
        <v>1818</v>
      </c>
      <c r="I730" s="639">
        <v>14000</v>
      </c>
      <c r="J730" s="638" t="s">
        <v>1599</v>
      </c>
      <c r="K730" s="640">
        <v>3700</v>
      </c>
      <c r="L730" s="645">
        <f t="shared" si="23"/>
        <v>18449.29</v>
      </c>
      <c r="M730" s="902">
        <v>22149.29</v>
      </c>
      <c r="N730" s="911">
        <v>16007.49</v>
      </c>
      <c r="O730" s="636">
        <v>0</v>
      </c>
      <c r="P730" s="646">
        <v>100</v>
      </c>
    </row>
    <row r="731" spans="1:16" ht="15.75" customHeight="1">
      <c r="A731" s="660" t="s">
        <v>2577</v>
      </c>
      <c r="B731" s="629">
        <v>45246</v>
      </c>
      <c r="C731" s="618" t="s">
        <v>1597</v>
      </c>
      <c r="D731" s="618" t="s">
        <v>1598</v>
      </c>
      <c r="E731" s="630">
        <v>6</v>
      </c>
      <c r="F731" s="628" t="s">
        <v>1599</v>
      </c>
      <c r="G731" s="628" t="s">
        <v>1600</v>
      </c>
      <c r="H731" s="628" t="s">
        <v>1818</v>
      </c>
      <c r="I731" s="632">
        <v>14000</v>
      </c>
      <c r="J731" s="631" t="s">
        <v>1599</v>
      </c>
      <c r="K731" s="633">
        <v>3700</v>
      </c>
      <c r="L731" s="643">
        <f t="shared" si="23"/>
        <v>17723.259999999998</v>
      </c>
      <c r="M731" s="901">
        <v>21423.26</v>
      </c>
      <c r="N731" s="912">
        <v>15479.3</v>
      </c>
      <c r="O731" s="618">
        <v>0</v>
      </c>
      <c r="P731" s="644">
        <v>100</v>
      </c>
    </row>
    <row r="732" spans="1:16" ht="15.75" customHeight="1">
      <c r="A732" s="661" t="s">
        <v>2578</v>
      </c>
      <c r="B732" s="635">
        <v>45245</v>
      </c>
      <c r="C732" s="636" t="s">
        <v>1597</v>
      </c>
      <c r="D732" s="636" t="s">
        <v>1598</v>
      </c>
      <c r="E732" s="637">
        <v>7.1</v>
      </c>
      <c r="F732" s="634" t="s">
        <v>1599</v>
      </c>
      <c r="G732" s="634" t="s">
        <v>1600</v>
      </c>
      <c r="H732" s="634" t="s">
        <v>1850</v>
      </c>
      <c r="I732" s="639">
        <v>9687</v>
      </c>
      <c r="J732" s="638" t="s">
        <v>1599</v>
      </c>
      <c r="K732" s="640">
        <v>3640</v>
      </c>
      <c r="L732" s="645">
        <f t="shared" si="23"/>
        <v>25027</v>
      </c>
      <c r="M732" s="902">
        <v>28667</v>
      </c>
      <c r="N732" s="911">
        <v>23842</v>
      </c>
      <c r="O732" s="636">
        <v>0</v>
      </c>
      <c r="P732" s="646">
        <v>100</v>
      </c>
    </row>
    <row r="733" spans="1:16" ht="15.75" customHeight="1">
      <c r="A733" s="660" t="s">
        <v>2579</v>
      </c>
      <c r="B733" s="629">
        <v>45258</v>
      </c>
      <c r="C733" s="618" t="s">
        <v>1597</v>
      </c>
      <c r="D733" s="618" t="s">
        <v>1598</v>
      </c>
      <c r="E733" s="630">
        <v>6.5</v>
      </c>
      <c r="F733" s="628" t="s">
        <v>1599</v>
      </c>
      <c r="G733" s="628" t="s">
        <v>1600</v>
      </c>
      <c r="H733" s="628" t="s">
        <v>1809</v>
      </c>
      <c r="I733" s="632">
        <v>15168</v>
      </c>
      <c r="J733" s="631" t="s">
        <v>1599</v>
      </c>
      <c r="K733" s="633">
        <v>3700</v>
      </c>
      <c r="L733" s="643">
        <f t="shared" si="23"/>
        <v>20224.2</v>
      </c>
      <c r="M733" s="901">
        <v>23924.2</v>
      </c>
      <c r="N733" s="912">
        <v>16320</v>
      </c>
      <c r="O733" s="618">
        <v>0</v>
      </c>
      <c r="P733" s="644">
        <v>100</v>
      </c>
    </row>
    <row r="734" spans="1:16" ht="15.75" customHeight="1">
      <c r="A734" s="661" t="s">
        <v>2580</v>
      </c>
      <c r="B734" s="635">
        <v>45245</v>
      </c>
      <c r="C734" s="636" t="s">
        <v>1597</v>
      </c>
      <c r="D734" s="636" t="s">
        <v>1598</v>
      </c>
      <c r="E734" s="637">
        <v>6.5</v>
      </c>
      <c r="F734" s="634" t="s">
        <v>1599</v>
      </c>
      <c r="G734" s="634" t="s">
        <v>1600</v>
      </c>
      <c r="H734" s="634" t="s">
        <v>1828</v>
      </c>
      <c r="I734" s="639">
        <v>7448</v>
      </c>
      <c r="J734" s="638" t="s">
        <v>1599</v>
      </c>
      <c r="K734" s="640">
        <v>3700</v>
      </c>
      <c r="L734" s="645">
        <f t="shared" si="23"/>
        <v>20702</v>
      </c>
      <c r="M734" s="902">
        <v>24402</v>
      </c>
      <c r="N734" s="911">
        <v>16560</v>
      </c>
      <c r="O734" s="636">
        <v>0</v>
      </c>
      <c r="P734" s="646">
        <v>100</v>
      </c>
    </row>
    <row r="735" spans="1:16" ht="15.75" customHeight="1">
      <c r="A735" s="660" t="s">
        <v>2581</v>
      </c>
      <c r="B735" s="629">
        <v>45245</v>
      </c>
      <c r="C735" s="618" t="s">
        <v>1597</v>
      </c>
      <c r="D735" s="618" t="s">
        <v>1598</v>
      </c>
      <c r="E735" s="630">
        <v>6.5</v>
      </c>
      <c r="F735" s="628" t="s">
        <v>1599</v>
      </c>
      <c r="G735" s="628" t="s">
        <v>1600</v>
      </c>
      <c r="H735" s="628" t="s">
        <v>1828</v>
      </c>
      <c r="I735" s="632">
        <v>7448</v>
      </c>
      <c r="J735" s="631" t="s">
        <v>1599</v>
      </c>
      <c r="K735" s="633">
        <v>3740</v>
      </c>
      <c r="L735" s="643">
        <f t="shared" si="23"/>
        <v>24012</v>
      </c>
      <c r="M735" s="901">
        <v>27752</v>
      </c>
      <c r="N735" s="912">
        <v>19795.5</v>
      </c>
      <c r="O735" s="618">
        <v>0</v>
      </c>
      <c r="P735" s="644">
        <v>100</v>
      </c>
    </row>
    <row r="736" spans="1:16" ht="15.75" customHeight="1">
      <c r="A736" s="661" t="s">
        <v>2582</v>
      </c>
      <c r="B736" s="635">
        <v>45244</v>
      </c>
      <c r="C736" s="636" t="s">
        <v>1597</v>
      </c>
      <c r="D736" s="636" t="s">
        <v>1598</v>
      </c>
      <c r="E736" s="637">
        <v>6.5</v>
      </c>
      <c r="F736" s="634" t="s">
        <v>1599</v>
      </c>
      <c r="G736" s="634" t="s">
        <v>1600</v>
      </c>
      <c r="H736" s="634" t="s">
        <v>1828</v>
      </c>
      <c r="I736" s="639">
        <v>7448</v>
      </c>
      <c r="J736" s="638" t="s">
        <v>1599</v>
      </c>
      <c r="K736" s="640">
        <v>3700</v>
      </c>
      <c r="L736" s="645">
        <f t="shared" si="23"/>
        <v>33977</v>
      </c>
      <c r="M736" s="902">
        <v>37677</v>
      </c>
      <c r="N736" s="911">
        <v>21097</v>
      </c>
      <c r="O736" s="636">
        <v>0</v>
      </c>
      <c r="P736" s="646">
        <v>100</v>
      </c>
    </row>
    <row r="737" spans="1:16" ht="15.75" customHeight="1">
      <c r="A737" s="660" t="s">
        <v>2583</v>
      </c>
      <c r="B737" s="629">
        <v>45244</v>
      </c>
      <c r="C737" s="618" t="s">
        <v>1597</v>
      </c>
      <c r="D737" s="618" t="s">
        <v>1598</v>
      </c>
      <c r="E737" s="630">
        <v>7.1</v>
      </c>
      <c r="F737" s="628" t="s">
        <v>1599</v>
      </c>
      <c r="G737" s="628" t="s">
        <v>1600</v>
      </c>
      <c r="H737" s="628" t="s">
        <v>1886</v>
      </c>
      <c r="I737" s="632">
        <v>13877</v>
      </c>
      <c r="J737" s="631" t="s">
        <v>1599</v>
      </c>
      <c r="K737" s="633">
        <v>3700</v>
      </c>
      <c r="L737" s="643">
        <f t="shared" si="23"/>
        <v>10726</v>
      </c>
      <c r="M737" s="901">
        <v>14426</v>
      </c>
      <c r="N737" s="912">
        <v>23842</v>
      </c>
      <c r="O737" s="618">
        <v>0</v>
      </c>
      <c r="P737" s="644">
        <v>100</v>
      </c>
    </row>
    <row r="738" spans="1:16" ht="15.75" customHeight="1">
      <c r="A738" s="661" t="s">
        <v>2584</v>
      </c>
      <c r="B738" s="635">
        <v>45244</v>
      </c>
      <c r="C738" s="636" t="s">
        <v>1597</v>
      </c>
      <c r="D738" s="636" t="s">
        <v>1598</v>
      </c>
      <c r="E738" s="637">
        <v>7.1</v>
      </c>
      <c r="F738" s="634" t="s">
        <v>1599</v>
      </c>
      <c r="G738" s="634" t="s">
        <v>1600</v>
      </c>
      <c r="H738" s="634" t="s">
        <v>1886</v>
      </c>
      <c r="I738" s="639">
        <v>13877</v>
      </c>
      <c r="J738" s="638" t="s">
        <v>1599</v>
      </c>
      <c r="K738" s="640">
        <v>3840</v>
      </c>
      <c r="L738" s="645">
        <f t="shared" si="23"/>
        <v>10189.799999999999</v>
      </c>
      <c r="M738" s="902">
        <v>14029.8</v>
      </c>
      <c r="N738" s="911">
        <v>7660</v>
      </c>
      <c r="O738" s="636">
        <v>0</v>
      </c>
      <c r="P738" s="646">
        <v>100</v>
      </c>
    </row>
    <row r="739" spans="1:16" ht="15.75" customHeight="1">
      <c r="A739" s="660" t="s">
        <v>2585</v>
      </c>
      <c r="B739" s="629">
        <v>45243</v>
      </c>
      <c r="C739" s="618" t="s">
        <v>1597</v>
      </c>
      <c r="D739" s="618" t="s">
        <v>1598</v>
      </c>
      <c r="E739" s="630">
        <v>7.1</v>
      </c>
      <c r="F739" s="628" t="s">
        <v>1599</v>
      </c>
      <c r="G739" s="628" t="s">
        <v>1600</v>
      </c>
      <c r="H739" s="628" t="s">
        <v>1893</v>
      </c>
      <c r="I739" s="632">
        <v>2167</v>
      </c>
      <c r="J739" s="631" t="s">
        <v>1599</v>
      </c>
      <c r="K739" s="633">
        <v>2190</v>
      </c>
      <c r="L739" s="643">
        <f t="shared" si="23"/>
        <v>4465.8</v>
      </c>
      <c r="M739" s="901">
        <v>6655.8</v>
      </c>
      <c r="N739" s="912">
        <v>3350.1</v>
      </c>
      <c r="O739" s="618">
        <v>0</v>
      </c>
      <c r="P739" s="644">
        <v>100</v>
      </c>
    </row>
    <row r="740" spans="1:16" ht="15.75" customHeight="1">
      <c r="A740" s="661" t="s">
        <v>2586</v>
      </c>
      <c r="B740" s="635">
        <v>45251</v>
      </c>
      <c r="C740" s="636" t="s">
        <v>1597</v>
      </c>
      <c r="D740" s="636" t="s">
        <v>1598</v>
      </c>
      <c r="E740" s="637">
        <v>7.1</v>
      </c>
      <c r="F740" s="634" t="s">
        <v>1599</v>
      </c>
      <c r="G740" s="634" t="s">
        <v>1600</v>
      </c>
      <c r="H740" s="634" t="s">
        <v>1886</v>
      </c>
      <c r="I740" s="639">
        <v>13877</v>
      </c>
      <c r="J740" s="638" t="s">
        <v>1599</v>
      </c>
      <c r="K740" s="640">
        <v>3700</v>
      </c>
      <c r="L740" s="645">
        <f t="shared" si="23"/>
        <v>9774.2000000000007</v>
      </c>
      <c r="M740" s="902">
        <v>13474.2</v>
      </c>
      <c r="N740" s="911">
        <v>6917.4</v>
      </c>
      <c r="O740" s="636">
        <v>0</v>
      </c>
      <c r="P740" s="646">
        <v>100</v>
      </c>
    </row>
    <row r="741" spans="1:16" ht="15.75" customHeight="1">
      <c r="A741" s="660" t="s">
        <v>2587</v>
      </c>
      <c r="B741" s="629">
        <v>45250</v>
      </c>
      <c r="C741" s="618" t="s">
        <v>1597</v>
      </c>
      <c r="D741" s="618" t="s">
        <v>1598</v>
      </c>
      <c r="E741" s="630">
        <v>6.5</v>
      </c>
      <c r="F741" s="628" t="s">
        <v>1599</v>
      </c>
      <c r="G741" s="628" t="s">
        <v>1600</v>
      </c>
      <c r="H741" s="628" t="s">
        <v>1886</v>
      </c>
      <c r="I741" s="632">
        <v>13877</v>
      </c>
      <c r="J741" s="631" t="s">
        <v>1599</v>
      </c>
      <c r="K741" s="633">
        <v>3620</v>
      </c>
      <c r="L741" s="643">
        <f t="shared" si="23"/>
        <v>10726</v>
      </c>
      <c r="M741" s="901">
        <v>14346</v>
      </c>
      <c r="N741" s="912">
        <v>8196.2000000000007</v>
      </c>
      <c r="O741" s="618">
        <v>0</v>
      </c>
      <c r="P741" s="644">
        <v>100</v>
      </c>
    </row>
    <row r="742" spans="1:16" ht="15.75" customHeight="1">
      <c r="A742" s="661" t="s">
        <v>2588</v>
      </c>
      <c r="B742" s="635">
        <v>45258</v>
      </c>
      <c r="C742" s="636" t="s">
        <v>1597</v>
      </c>
      <c r="D742" s="636" t="s">
        <v>1598</v>
      </c>
      <c r="E742" s="637">
        <v>6.2</v>
      </c>
      <c r="F742" s="634" t="s">
        <v>1599</v>
      </c>
      <c r="G742" s="634" t="s">
        <v>1600</v>
      </c>
      <c r="H742" s="634" t="s">
        <v>1828</v>
      </c>
      <c r="I742" s="639">
        <v>7448</v>
      </c>
      <c r="J742" s="638" t="s">
        <v>1599</v>
      </c>
      <c r="K742" s="640">
        <v>3850</v>
      </c>
      <c r="L742" s="645">
        <f t="shared" si="23"/>
        <v>17052</v>
      </c>
      <c r="M742" s="902">
        <v>20902</v>
      </c>
      <c r="N742" s="911">
        <v>12414</v>
      </c>
      <c r="O742" s="636">
        <v>0</v>
      </c>
      <c r="P742" s="646">
        <v>100</v>
      </c>
    </row>
    <row r="743" spans="1:16" ht="15.75" customHeight="1">
      <c r="A743" s="660" t="s">
        <v>2589</v>
      </c>
      <c r="B743" s="629">
        <v>45258</v>
      </c>
      <c r="C743" s="618" t="s">
        <v>1597</v>
      </c>
      <c r="D743" s="618" t="s">
        <v>1598</v>
      </c>
      <c r="E743" s="630">
        <v>6.2</v>
      </c>
      <c r="F743" s="628" t="s">
        <v>1599</v>
      </c>
      <c r="G743" s="628" t="s">
        <v>1600</v>
      </c>
      <c r="H743" s="628" t="s">
        <v>1828</v>
      </c>
      <c r="I743" s="632">
        <v>7448</v>
      </c>
      <c r="J743" s="631" t="s">
        <v>1599</v>
      </c>
      <c r="K743" s="633">
        <v>3700</v>
      </c>
      <c r="L743" s="643">
        <f t="shared" si="23"/>
        <v>24774.5</v>
      </c>
      <c r="M743" s="901">
        <v>28474.5</v>
      </c>
      <c r="N743" s="912">
        <v>21364.5</v>
      </c>
      <c r="O743" s="618">
        <v>0</v>
      </c>
      <c r="P743" s="644">
        <v>100</v>
      </c>
    </row>
    <row r="744" spans="1:16" ht="15.75" customHeight="1">
      <c r="A744" s="661" t="s">
        <v>2590</v>
      </c>
      <c r="B744" s="635">
        <v>45258</v>
      </c>
      <c r="C744" s="636" t="s">
        <v>1597</v>
      </c>
      <c r="D744" s="636" t="s">
        <v>1598</v>
      </c>
      <c r="E744" s="637">
        <v>6.2</v>
      </c>
      <c r="F744" s="634" t="s">
        <v>1599</v>
      </c>
      <c r="G744" s="634" t="s">
        <v>1600</v>
      </c>
      <c r="H744" s="634" t="s">
        <v>1828</v>
      </c>
      <c r="I744" s="639">
        <v>7448</v>
      </c>
      <c r="J744" s="638" t="s">
        <v>1599</v>
      </c>
      <c r="K744" s="640">
        <v>3680</v>
      </c>
      <c r="L744" s="645">
        <f t="shared" si="23"/>
        <v>18252</v>
      </c>
      <c r="M744" s="902">
        <v>21932</v>
      </c>
      <c r="N744" s="911">
        <v>13329</v>
      </c>
      <c r="O744" s="636">
        <v>0</v>
      </c>
      <c r="P744" s="646">
        <v>100</v>
      </c>
    </row>
    <row r="745" spans="1:16" ht="15.75" customHeight="1">
      <c r="A745" s="660" t="s">
        <v>2591</v>
      </c>
      <c r="B745" s="629">
        <v>45258</v>
      </c>
      <c r="C745" s="618" t="s">
        <v>1597</v>
      </c>
      <c r="D745" s="618" t="s">
        <v>1598</v>
      </c>
      <c r="E745" s="630">
        <v>6.2</v>
      </c>
      <c r="F745" s="628" t="s">
        <v>1599</v>
      </c>
      <c r="G745" s="628" t="s">
        <v>1600</v>
      </c>
      <c r="H745" s="628" t="s">
        <v>1828</v>
      </c>
      <c r="I745" s="632">
        <v>7448</v>
      </c>
      <c r="J745" s="631" t="s">
        <v>1599</v>
      </c>
      <c r="K745" s="633">
        <v>3660</v>
      </c>
      <c r="L745" s="643">
        <f t="shared" si="23"/>
        <v>16602</v>
      </c>
      <c r="M745" s="901">
        <v>20262</v>
      </c>
      <c r="N745" s="912">
        <v>9813.5</v>
      </c>
      <c r="O745" s="618">
        <v>0</v>
      </c>
      <c r="P745" s="644">
        <v>100</v>
      </c>
    </row>
    <row r="746" spans="1:16" ht="15.75" customHeight="1">
      <c r="A746" s="661" t="s">
        <v>2592</v>
      </c>
      <c r="B746" s="635">
        <v>45246</v>
      </c>
      <c r="C746" s="636" t="s">
        <v>1597</v>
      </c>
      <c r="D746" s="636" t="s">
        <v>1598</v>
      </c>
      <c r="E746" s="637">
        <v>6.2</v>
      </c>
      <c r="F746" s="634" t="s">
        <v>1599</v>
      </c>
      <c r="G746" s="634" t="s">
        <v>1600</v>
      </c>
      <c r="H746" s="634" t="s">
        <v>1836</v>
      </c>
      <c r="I746" s="639">
        <v>14544</v>
      </c>
      <c r="J746" s="638" t="s">
        <v>1599</v>
      </c>
      <c r="K746" s="640">
        <v>3700</v>
      </c>
      <c r="L746" s="645">
        <f t="shared" si="23"/>
        <v>14897</v>
      </c>
      <c r="M746" s="902">
        <v>18597</v>
      </c>
      <c r="N746" s="911">
        <v>12799.28</v>
      </c>
      <c r="O746" s="636">
        <v>0</v>
      </c>
      <c r="P746" s="646">
        <v>100</v>
      </c>
    </row>
    <row r="747" spans="1:16" ht="15.75" customHeight="1">
      <c r="A747" s="660" t="s">
        <v>2593</v>
      </c>
      <c r="B747" s="629">
        <v>45247</v>
      </c>
      <c r="C747" s="618" t="s">
        <v>1597</v>
      </c>
      <c r="D747" s="618" t="s">
        <v>1598</v>
      </c>
      <c r="E747" s="630">
        <v>7.1</v>
      </c>
      <c r="F747" s="628" t="s">
        <v>1599</v>
      </c>
      <c r="G747" s="628" t="s">
        <v>1600</v>
      </c>
      <c r="H747" s="628" t="s">
        <v>1809</v>
      </c>
      <c r="I747" s="632">
        <v>15168</v>
      </c>
      <c r="J747" s="631" t="s">
        <v>1599</v>
      </c>
      <c r="K747" s="633">
        <v>3700</v>
      </c>
      <c r="L747" s="643">
        <f t="shared" si="23"/>
        <v>20224.2</v>
      </c>
      <c r="M747" s="901">
        <v>23924.2</v>
      </c>
      <c r="N747" s="912">
        <v>16320</v>
      </c>
      <c r="O747" s="618">
        <v>0</v>
      </c>
      <c r="P747" s="644">
        <v>100</v>
      </c>
    </row>
    <row r="748" spans="1:16" ht="15.75" customHeight="1">
      <c r="A748" s="661" t="s">
        <v>2594</v>
      </c>
      <c r="B748" s="635">
        <v>45251</v>
      </c>
      <c r="C748" s="636" t="s">
        <v>1597</v>
      </c>
      <c r="D748" s="636" t="s">
        <v>1598</v>
      </c>
      <c r="E748" s="637">
        <v>7.1</v>
      </c>
      <c r="F748" s="634" t="s">
        <v>1599</v>
      </c>
      <c r="G748" s="634" t="s">
        <v>1600</v>
      </c>
      <c r="H748" s="634" t="s">
        <v>1846</v>
      </c>
      <c r="I748" s="639">
        <v>5317</v>
      </c>
      <c r="J748" s="638" t="s">
        <v>1599</v>
      </c>
      <c r="K748" s="640">
        <v>2210</v>
      </c>
      <c r="L748" s="645">
        <f t="shared" si="23"/>
        <v>6713.57</v>
      </c>
      <c r="M748" s="902">
        <v>8923.57</v>
      </c>
      <c r="N748" s="911">
        <v>5576.93</v>
      </c>
      <c r="O748" s="636">
        <v>0</v>
      </c>
      <c r="P748" s="646">
        <v>100</v>
      </c>
    </row>
    <row r="749" spans="1:16" ht="15.75" customHeight="1">
      <c r="A749" s="660" t="s">
        <v>2595</v>
      </c>
      <c r="B749" s="629">
        <v>45251</v>
      </c>
      <c r="C749" s="618" t="s">
        <v>1597</v>
      </c>
      <c r="D749" s="618" t="s">
        <v>1598</v>
      </c>
      <c r="E749" s="630">
        <v>10.199999999999999</v>
      </c>
      <c r="F749" s="628" t="s">
        <v>1599</v>
      </c>
      <c r="G749" s="628" t="s">
        <v>1600</v>
      </c>
      <c r="H749" s="628" t="s">
        <v>2536</v>
      </c>
      <c r="I749" s="632">
        <v>3943</v>
      </c>
      <c r="J749" s="631" t="s">
        <v>1599</v>
      </c>
      <c r="K749" s="633">
        <v>3670</v>
      </c>
      <c r="L749" s="643">
        <f t="shared" si="23"/>
        <v>13492.599999999999</v>
      </c>
      <c r="M749" s="901">
        <v>17162.599999999999</v>
      </c>
      <c r="N749" s="912">
        <v>10281.6</v>
      </c>
      <c r="O749" s="618">
        <v>0</v>
      </c>
      <c r="P749" s="644">
        <v>100</v>
      </c>
    </row>
    <row r="750" spans="1:16" ht="15.75" customHeight="1">
      <c r="A750" s="661" t="s">
        <v>2596</v>
      </c>
      <c r="B750" s="635">
        <v>45251</v>
      </c>
      <c r="C750" s="636" t="s">
        <v>1597</v>
      </c>
      <c r="D750" s="636" t="s">
        <v>1598</v>
      </c>
      <c r="E750" s="637">
        <v>10.199999999999999</v>
      </c>
      <c r="F750" s="634" t="s">
        <v>1599</v>
      </c>
      <c r="G750" s="634" t="s">
        <v>1600</v>
      </c>
      <c r="H750" s="634" t="s">
        <v>2536</v>
      </c>
      <c r="I750" s="639">
        <v>3943</v>
      </c>
      <c r="J750" s="638" t="s">
        <v>1599</v>
      </c>
      <c r="K750" s="640">
        <v>3900</v>
      </c>
      <c r="L750" s="645">
        <f t="shared" si="23"/>
        <v>13492.599999999999</v>
      </c>
      <c r="M750" s="902">
        <v>17392.599999999999</v>
      </c>
      <c r="N750" s="911">
        <v>10281.6</v>
      </c>
      <c r="O750" s="636">
        <v>0</v>
      </c>
      <c r="P750" s="646">
        <v>100</v>
      </c>
    </row>
    <row r="751" spans="1:16" ht="15.75" customHeight="1">
      <c r="A751" s="660" t="s">
        <v>2597</v>
      </c>
      <c r="B751" s="629">
        <v>45253</v>
      </c>
      <c r="C751" s="618" t="s">
        <v>1597</v>
      </c>
      <c r="D751" s="618" t="s">
        <v>1598</v>
      </c>
      <c r="E751" s="630">
        <v>6</v>
      </c>
      <c r="F751" s="628" t="s">
        <v>1599</v>
      </c>
      <c r="G751" s="628" t="s">
        <v>1600</v>
      </c>
      <c r="H751" s="628" t="s">
        <v>1941</v>
      </c>
      <c r="I751" s="632">
        <v>1588</v>
      </c>
      <c r="J751" s="631" t="s">
        <v>1599</v>
      </c>
      <c r="K751" s="633">
        <v>2210</v>
      </c>
      <c r="L751" s="643">
        <f t="shared" si="23"/>
        <v>4436.3</v>
      </c>
      <c r="M751" s="901">
        <v>6646.3</v>
      </c>
      <c r="N751" s="912">
        <v>3308.68</v>
      </c>
      <c r="O751" s="618">
        <v>0</v>
      </c>
      <c r="P751" s="644">
        <v>100</v>
      </c>
    </row>
    <row r="752" spans="1:16" ht="15.75" customHeight="1">
      <c r="A752" s="661" t="s">
        <v>2598</v>
      </c>
      <c r="B752" s="635">
        <v>45257</v>
      </c>
      <c r="C752" s="636" t="s">
        <v>1597</v>
      </c>
      <c r="D752" s="636" t="s">
        <v>1598</v>
      </c>
      <c r="E752" s="637">
        <v>6</v>
      </c>
      <c r="F752" s="634" t="s">
        <v>1599</v>
      </c>
      <c r="G752" s="634" t="s">
        <v>1600</v>
      </c>
      <c r="H752" s="634" t="s">
        <v>1833</v>
      </c>
      <c r="I752" s="639">
        <v>4795</v>
      </c>
      <c r="J752" s="638" t="s">
        <v>1599</v>
      </c>
      <c r="K752" s="640">
        <v>2230</v>
      </c>
      <c r="L752" s="645">
        <f t="shared" si="23"/>
        <v>6710.42</v>
      </c>
      <c r="M752" s="902">
        <v>8940.42</v>
      </c>
      <c r="N752" s="911">
        <v>5709.37</v>
      </c>
      <c r="O752" s="636">
        <v>0</v>
      </c>
      <c r="P752" s="646">
        <v>100</v>
      </c>
    </row>
    <row r="753" spans="1:16" ht="15.75" customHeight="1">
      <c r="A753" s="660" t="s">
        <v>2599</v>
      </c>
      <c r="B753" s="629">
        <v>45258</v>
      </c>
      <c r="C753" s="618" t="s">
        <v>1597</v>
      </c>
      <c r="D753" s="618" t="s">
        <v>1598</v>
      </c>
      <c r="E753" s="630">
        <v>7.1</v>
      </c>
      <c r="F753" s="628" t="s">
        <v>1599</v>
      </c>
      <c r="G753" s="628" t="s">
        <v>1600</v>
      </c>
      <c r="H753" s="628" t="s">
        <v>1912</v>
      </c>
      <c r="I753" s="632">
        <v>4929</v>
      </c>
      <c r="J753" s="631" t="s">
        <v>1599</v>
      </c>
      <c r="K753" s="633">
        <v>3600</v>
      </c>
      <c r="L753" s="643">
        <f t="shared" si="23"/>
        <v>16179.029999999999</v>
      </c>
      <c r="M753" s="901">
        <v>19779.03</v>
      </c>
      <c r="N753" s="912">
        <v>14387.07</v>
      </c>
      <c r="O753" s="618">
        <v>0</v>
      </c>
      <c r="P753" s="644">
        <v>100</v>
      </c>
    </row>
    <row r="754" spans="1:16" ht="15.75" customHeight="1">
      <c r="A754" s="661" t="s">
        <v>2600</v>
      </c>
      <c r="B754" s="635">
        <v>45258</v>
      </c>
      <c r="C754" s="636" t="s">
        <v>1597</v>
      </c>
      <c r="D754" s="636" t="s">
        <v>1598</v>
      </c>
      <c r="E754" s="637">
        <v>7.1</v>
      </c>
      <c r="F754" s="634" t="s">
        <v>1599</v>
      </c>
      <c r="G754" s="634" t="s">
        <v>1600</v>
      </c>
      <c r="H754" s="634" t="s">
        <v>1912</v>
      </c>
      <c r="I754" s="639">
        <v>4929</v>
      </c>
      <c r="J754" s="638" t="s">
        <v>1599</v>
      </c>
      <c r="K754" s="640">
        <v>3640</v>
      </c>
      <c r="L754" s="645">
        <f t="shared" si="23"/>
        <v>12141.4</v>
      </c>
      <c r="M754" s="902">
        <v>15781.4</v>
      </c>
      <c r="N754" s="911">
        <v>9995</v>
      </c>
      <c r="O754" s="636">
        <v>0</v>
      </c>
      <c r="P754" s="646">
        <v>100</v>
      </c>
    </row>
    <row r="755" spans="1:16" ht="15.75" customHeight="1">
      <c r="A755" s="660" t="s">
        <v>2601</v>
      </c>
      <c r="B755" s="629">
        <v>45258</v>
      </c>
      <c r="C755" s="618" t="s">
        <v>1597</v>
      </c>
      <c r="D755" s="618" t="s">
        <v>1598</v>
      </c>
      <c r="E755" s="630">
        <v>7.1</v>
      </c>
      <c r="F755" s="628" t="s">
        <v>1599</v>
      </c>
      <c r="G755" s="628" t="s">
        <v>1600</v>
      </c>
      <c r="H755" s="628" t="s">
        <v>1912</v>
      </c>
      <c r="I755" s="632">
        <v>4929</v>
      </c>
      <c r="J755" s="631" t="s">
        <v>1599</v>
      </c>
      <c r="K755" s="633">
        <v>2160</v>
      </c>
      <c r="L755" s="643">
        <f t="shared" si="23"/>
        <v>6425.6</v>
      </c>
      <c r="M755" s="901">
        <v>8585.6</v>
      </c>
      <c r="N755" s="912">
        <v>5194.3999999999996</v>
      </c>
      <c r="O755" s="618">
        <v>0</v>
      </c>
      <c r="P755" s="644">
        <v>100</v>
      </c>
    </row>
    <row r="756" spans="1:16" ht="15.75" customHeight="1">
      <c r="A756" s="661" t="s">
        <v>2602</v>
      </c>
      <c r="B756" s="635">
        <v>45257</v>
      </c>
      <c r="C756" s="636" t="s">
        <v>1597</v>
      </c>
      <c r="D756" s="636" t="s">
        <v>1598</v>
      </c>
      <c r="E756" s="637">
        <v>6</v>
      </c>
      <c r="F756" s="634" t="s">
        <v>1599</v>
      </c>
      <c r="G756" s="634" t="s">
        <v>1600</v>
      </c>
      <c r="H756" s="634" t="s">
        <v>1844</v>
      </c>
      <c r="I756" s="639">
        <v>5727</v>
      </c>
      <c r="J756" s="638" t="s">
        <v>1599</v>
      </c>
      <c r="K756" s="640">
        <v>3650</v>
      </c>
      <c r="L756" s="645">
        <f t="shared" si="23"/>
        <v>14540.98</v>
      </c>
      <c r="M756" s="902">
        <v>18190.98</v>
      </c>
      <c r="N756" s="911">
        <v>12456.82</v>
      </c>
      <c r="O756" s="636">
        <v>0</v>
      </c>
      <c r="P756" s="646">
        <v>100</v>
      </c>
    </row>
    <row r="757" spans="1:16" ht="15.75" customHeight="1">
      <c r="A757" s="660" t="s">
        <v>2603</v>
      </c>
      <c r="B757" s="629">
        <v>45253</v>
      </c>
      <c r="C757" s="618" t="s">
        <v>1597</v>
      </c>
      <c r="D757" s="618" t="s">
        <v>1598</v>
      </c>
      <c r="E757" s="630">
        <v>5.3</v>
      </c>
      <c r="F757" s="628" t="s">
        <v>1599</v>
      </c>
      <c r="G757" s="628" t="s">
        <v>1600</v>
      </c>
      <c r="H757" s="628" t="s">
        <v>1807</v>
      </c>
      <c r="I757" s="632">
        <v>1734</v>
      </c>
      <c r="J757" s="631" t="s">
        <v>1599</v>
      </c>
      <c r="K757" s="633">
        <v>3860</v>
      </c>
      <c r="L757" s="643">
        <f t="shared" si="23"/>
        <v>12011.1</v>
      </c>
      <c r="M757" s="901">
        <v>15871.1</v>
      </c>
      <c r="N757" s="912">
        <v>9118.5</v>
      </c>
      <c r="O757" s="618">
        <v>0</v>
      </c>
      <c r="P757" s="644">
        <v>100</v>
      </c>
    </row>
    <row r="758" spans="1:16" ht="15.75" customHeight="1">
      <c r="A758" s="661" t="s">
        <v>2604</v>
      </c>
      <c r="B758" s="635">
        <v>45253</v>
      </c>
      <c r="C758" s="636" t="s">
        <v>1597</v>
      </c>
      <c r="D758" s="636" t="s">
        <v>1598</v>
      </c>
      <c r="E758" s="637">
        <v>3.6</v>
      </c>
      <c r="F758" s="634" t="s">
        <v>1599</v>
      </c>
      <c r="G758" s="634" t="s">
        <v>1600</v>
      </c>
      <c r="H758" s="634" t="s">
        <v>1848</v>
      </c>
      <c r="I758" s="639">
        <v>3740</v>
      </c>
      <c r="J758" s="638" t="s">
        <v>1599</v>
      </c>
      <c r="K758" s="640">
        <v>3850</v>
      </c>
      <c r="L758" s="645">
        <f t="shared" si="23"/>
        <v>4719.9599999999991</v>
      </c>
      <c r="M758" s="902">
        <v>8569.9599999999991</v>
      </c>
      <c r="N758" s="911">
        <v>3043.84</v>
      </c>
      <c r="O758" s="636">
        <v>0</v>
      </c>
      <c r="P758" s="646">
        <v>100</v>
      </c>
    </row>
    <row r="759" spans="1:16" ht="15.75" customHeight="1">
      <c r="A759" s="660" t="s">
        <v>2605</v>
      </c>
      <c r="B759" s="629">
        <v>45253</v>
      </c>
      <c r="C759" s="618" t="s">
        <v>1597</v>
      </c>
      <c r="D759" s="618" t="s">
        <v>1598</v>
      </c>
      <c r="E759" s="630">
        <v>3.6</v>
      </c>
      <c r="F759" s="628" t="s">
        <v>1599</v>
      </c>
      <c r="G759" s="628" t="s">
        <v>1600</v>
      </c>
      <c r="H759" s="628" t="s">
        <v>1848</v>
      </c>
      <c r="I759" s="632">
        <v>3740</v>
      </c>
      <c r="J759" s="631" t="s">
        <v>1599</v>
      </c>
      <c r="K759" s="633">
        <v>3730</v>
      </c>
      <c r="L759" s="643">
        <f t="shared" si="23"/>
        <v>6377.2000000000007</v>
      </c>
      <c r="M759" s="901">
        <v>10107.200000000001</v>
      </c>
      <c r="N759" s="912">
        <v>4403.7</v>
      </c>
      <c r="O759" s="618">
        <v>0</v>
      </c>
      <c r="P759" s="644">
        <v>100</v>
      </c>
    </row>
    <row r="760" spans="1:16" ht="15.75" customHeight="1">
      <c r="A760" s="661" t="s">
        <v>2606</v>
      </c>
      <c r="B760" s="635">
        <v>45255</v>
      </c>
      <c r="C760" s="636" t="s">
        <v>1597</v>
      </c>
      <c r="D760" s="636" t="s">
        <v>1598</v>
      </c>
      <c r="E760" s="637">
        <v>10.199999999999999</v>
      </c>
      <c r="F760" s="634" t="s">
        <v>1599</v>
      </c>
      <c r="G760" s="634" t="s">
        <v>1600</v>
      </c>
      <c r="H760" s="634" t="s">
        <v>1866</v>
      </c>
      <c r="I760" s="639">
        <v>2597</v>
      </c>
      <c r="J760" s="638" t="s">
        <v>1599</v>
      </c>
      <c r="K760" s="640">
        <v>3590</v>
      </c>
      <c r="L760" s="645">
        <f t="shared" si="23"/>
        <v>13633.599999999999</v>
      </c>
      <c r="M760" s="902">
        <v>17223.599999999999</v>
      </c>
      <c r="N760" s="911">
        <v>11163</v>
      </c>
      <c r="O760" s="636">
        <v>0</v>
      </c>
      <c r="P760" s="646">
        <v>100</v>
      </c>
    </row>
    <row r="761" spans="1:16" ht="15.75" customHeight="1">
      <c r="A761" s="660" t="s">
        <v>2607</v>
      </c>
      <c r="B761" s="629">
        <v>45250</v>
      </c>
      <c r="C761" s="618" t="s">
        <v>1597</v>
      </c>
      <c r="D761" s="618" t="s">
        <v>1598</v>
      </c>
      <c r="E761" s="630">
        <v>6.5</v>
      </c>
      <c r="F761" s="628" t="s">
        <v>1599</v>
      </c>
      <c r="G761" s="628" t="s">
        <v>1600</v>
      </c>
      <c r="H761" s="628" t="s">
        <v>1850</v>
      </c>
      <c r="I761" s="632">
        <v>9687</v>
      </c>
      <c r="J761" s="631" t="s">
        <v>1599</v>
      </c>
      <c r="K761" s="633">
        <v>3700</v>
      </c>
      <c r="L761" s="643">
        <f t="shared" si="23"/>
        <v>19776.400000000001</v>
      </c>
      <c r="M761" s="901">
        <v>23476.400000000001</v>
      </c>
      <c r="N761" s="912">
        <v>18319.2</v>
      </c>
      <c r="O761" s="618">
        <v>0</v>
      </c>
      <c r="P761" s="644">
        <v>100</v>
      </c>
    </row>
    <row r="762" spans="1:16" ht="15.75" customHeight="1">
      <c r="A762" s="661" t="s">
        <v>2608</v>
      </c>
      <c r="B762" s="635">
        <v>45259</v>
      </c>
      <c r="C762" s="636" t="s">
        <v>1597</v>
      </c>
      <c r="D762" s="636" t="s">
        <v>1598</v>
      </c>
      <c r="E762" s="637">
        <v>7.1</v>
      </c>
      <c r="F762" s="634" t="s">
        <v>1599</v>
      </c>
      <c r="G762" s="634" t="s">
        <v>1600</v>
      </c>
      <c r="H762" s="634" t="s">
        <v>1841</v>
      </c>
      <c r="I762" s="639">
        <v>9486</v>
      </c>
      <c r="J762" s="638" t="s">
        <v>1599</v>
      </c>
      <c r="K762" s="640">
        <v>3700</v>
      </c>
      <c r="L762" s="645">
        <f t="shared" si="23"/>
        <v>17536.8</v>
      </c>
      <c r="M762" s="902">
        <v>21236.799999999999</v>
      </c>
      <c r="N762" s="911">
        <v>12730</v>
      </c>
      <c r="O762" s="636">
        <v>0</v>
      </c>
      <c r="P762" s="646">
        <v>100</v>
      </c>
    </row>
    <row r="763" spans="1:16" ht="15.75" customHeight="1">
      <c r="A763" s="660" t="s">
        <v>2609</v>
      </c>
      <c r="B763" s="629">
        <v>45259</v>
      </c>
      <c r="C763" s="618" t="s">
        <v>1597</v>
      </c>
      <c r="D763" s="618" t="s">
        <v>1598</v>
      </c>
      <c r="E763" s="630">
        <v>7.1</v>
      </c>
      <c r="F763" s="628" t="s">
        <v>1599</v>
      </c>
      <c r="G763" s="628" t="s">
        <v>1600</v>
      </c>
      <c r="H763" s="628" t="s">
        <v>1841</v>
      </c>
      <c r="I763" s="632">
        <v>9486</v>
      </c>
      <c r="J763" s="631" t="s">
        <v>1599</v>
      </c>
      <c r="K763" s="633">
        <v>3840</v>
      </c>
      <c r="L763" s="643">
        <f t="shared" si="23"/>
        <v>18095</v>
      </c>
      <c r="M763" s="901">
        <v>21935</v>
      </c>
      <c r="N763" s="912">
        <v>14535.8</v>
      </c>
      <c r="O763" s="618">
        <v>0</v>
      </c>
      <c r="P763" s="644">
        <v>100</v>
      </c>
    </row>
    <row r="764" spans="1:16" ht="15.75" customHeight="1">
      <c r="A764" s="385" t="s">
        <v>2610</v>
      </c>
      <c r="B764" s="652">
        <v>45251</v>
      </c>
      <c r="C764" s="309" t="s">
        <v>1597</v>
      </c>
      <c r="D764" s="309" t="s">
        <v>1598</v>
      </c>
      <c r="E764" s="655">
        <v>7.1</v>
      </c>
      <c r="F764" s="385" t="s">
        <v>1599</v>
      </c>
      <c r="G764" s="385" t="s">
        <v>1600</v>
      </c>
      <c r="H764" s="385" t="s">
        <v>1841</v>
      </c>
      <c r="I764" s="653">
        <v>9486</v>
      </c>
      <c r="J764" s="228" t="s">
        <v>1599</v>
      </c>
      <c r="K764" s="656">
        <v>3700</v>
      </c>
      <c r="L764" s="657">
        <v>17094</v>
      </c>
      <c r="M764" s="903">
        <v>20794</v>
      </c>
      <c r="N764" s="915">
        <v>12669.6</v>
      </c>
      <c r="O764" s="309">
        <v>0</v>
      </c>
      <c r="P764" s="658">
        <v>100</v>
      </c>
    </row>
    <row r="765" spans="1:16" ht="15.75" customHeight="1">
      <c r="A765" s="660" t="s">
        <v>2611</v>
      </c>
      <c r="B765" s="629">
        <v>45253</v>
      </c>
      <c r="C765" s="618" t="s">
        <v>1597</v>
      </c>
      <c r="D765" s="618" t="s">
        <v>1598</v>
      </c>
      <c r="E765" s="630">
        <v>6.2</v>
      </c>
      <c r="F765" s="628" t="s">
        <v>1599</v>
      </c>
      <c r="G765" s="628" t="s">
        <v>1600</v>
      </c>
      <c r="H765" s="628" t="s">
        <v>1963</v>
      </c>
      <c r="I765" s="632">
        <v>14253</v>
      </c>
      <c r="J765" s="631" t="s">
        <v>1599</v>
      </c>
      <c r="K765" s="633">
        <v>3900</v>
      </c>
      <c r="L765" s="643">
        <f t="shared" ref="L765:L774" si="24">M765-K765</f>
        <v>11383.54</v>
      </c>
      <c r="M765" s="901">
        <v>15283.54</v>
      </c>
      <c r="N765" s="912">
        <v>8514.09</v>
      </c>
      <c r="O765" s="618">
        <v>0</v>
      </c>
      <c r="P765" s="644">
        <v>100</v>
      </c>
    </row>
    <row r="766" spans="1:16" ht="15.75" customHeight="1">
      <c r="A766" s="661" t="s">
        <v>2612</v>
      </c>
      <c r="B766" s="635">
        <v>45253</v>
      </c>
      <c r="C766" s="636" t="s">
        <v>1597</v>
      </c>
      <c r="D766" s="636" t="s">
        <v>1598</v>
      </c>
      <c r="E766" s="637">
        <v>6.2</v>
      </c>
      <c r="F766" s="634" t="s">
        <v>1599</v>
      </c>
      <c r="G766" s="634" t="s">
        <v>1600</v>
      </c>
      <c r="H766" s="634" t="s">
        <v>1880</v>
      </c>
      <c r="I766" s="639">
        <v>13558</v>
      </c>
      <c r="J766" s="638" t="s">
        <v>1599</v>
      </c>
      <c r="K766" s="640">
        <v>3880</v>
      </c>
      <c r="L766" s="645">
        <f t="shared" si="24"/>
        <v>15115.05</v>
      </c>
      <c r="M766" s="902">
        <v>18995.05</v>
      </c>
      <c r="N766" s="911">
        <v>12514.75</v>
      </c>
      <c r="O766" s="636">
        <v>0</v>
      </c>
      <c r="P766" s="646">
        <v>100</v>
      </c>
    </row>
    <row r="767" spans="1:16" ht="15.75" customHeight="1">
      <c r="A767" s="660" t="s">
        <v>2613</v>
      </c>
      <c r="B767" s="629">
        <v>45254</v>
      </c>
      <c r="C767" s="618" t="s">
        <v>1597</v>
      </c>
      <c r="D767" s="618" t="s">
        <v>1598</v>
      </c>
      <c r="E767" s="630">
        <v>11.7</v>
      </c>
      <c r="F767" s="628" t="s">
        <v>1599</v>
      </c>
      <c r="G767" s="628" t="s">
        <v>1600</v>
      </c>
      <c r="H767" s="628" t="s">
        <v>1836</v>
      </c>
      <c r="I767" s="632">
        <v>14544</v>
      </c>
      <c r="J767" s="631" t="s">
        <v>1599</v>
      </c>
      <c r="K767" s="633">
        <v>3890</v>
      </c>
      <c r="L767" s="643">
        <f t="shared" si="24"/>
        <v>12533.05</v>
      </c>
      <c r="M767" s="901">
        <v>16423.05</v>
      </c>
      <c r="N767" s="912">
        <v>9630.7000000000007</v>
      </c>
      <c r="O767" s="618">
        <v>0</v>
      </c>
      <c r="P767" s="644">
        <v>100</v>
      </c>
    </row>
    <row r="768" spans="1:16" ht="15.75" customHeight="1">
      <c r="A768" s="661" t="s">
        <v>2614</v>
      </c>
      <c r="B768" s="635">
        <v>45251</v>
      </c>
      <c r="C768" s="636" t="s">
        <v>1597</v>
      </c>
      <c r="D768" s="636" t="s">
        <v>1598</v>
      </c>
      <c r="E768" s="637">
        <v>7.1</v>
      </c>
      <c r="F768" s="634" t="s">
        <v>1599</v>
      </c>
      <c r="G768" s="634" t="s">
        <v>1600</v>
      </c>
      <c r="H768" s="634" t="s">
        <v>1836</v>
      </c>
      <c r="I768" s="639">
        <v>14544</v>
      </c>
      <c r="J768" s="638" t="s">
        <v>1599</v>
      </c>
      <c r="K768" s="640">
        <v>3700</v>
      </c>
      <c r="L768" s="645">
        <f t="shared" si="24"/>
        <v>14259.5</v>
      </c>
      <c r="M768" s="902">
        <v>17959.5</v>
      </c>
      <c r="N768" s="911">
        <v>12026</v>
      </c>
      <c r="O768" s="636">
        <v>0</v>
      </c>
      <c r="P768" s="646">
        <v>100</v>
      </c>
    </row>
    <row r="769" spans="1:16" ht="15.75" customHeight="1">
      <c r="A769" s="660" t="s">
        <v>2615</v>
      </c>
      <c r="B769" s="629">
        <v>45251</v>
      </c>
      <c r="C769" s="618" t="s">
        <v>1597</v>
      </c>
      <c r="D769" s="618" t="s">
        <v>1598</v>
      </c>
      <c r="E769" s="630">
        <v>6.5</v>
      </c>
      <c r="F769" s="628" t="s">
        <v>1599</v>
      </c>
      <c r="G769" s="628" t="s">
        <v>1600</v>
      </c>
      <c r="H769" s="628" t="s">
        <v>1884</v>
      </c>
      <c r="I769" s="632">
        <v>13413</v>
      </c>
      <c r="J769" s="631" t="s">
        <v>1599</v>
      </c>
      <c r="K769" s="633">
        <v>3860</v>
      </c>
      <c r="L769" s="643">
        <f t="shared" si="24"/>
        <v>13881.46</v>
      </c>
      <c r="M769" s="901">
        <v>17741.46</v>
      </c>
      <c r="N769" s="912">
        <v>10854.74</v>
      </c>
      <c r="O769" s="618">
        <v>0</v>
      </c>
      <c r="P769" s="644">
        <v>100</v>
      </c>
    </row>
    <row r="770" spans="1:16" ht="15.75" customHeight="1">
      <c r="A770" s="661" t="s">
        <v>2616</v>
      </c>
      <c r="B770" s="635">
        <v>45252</v>
      </c>
      <c r="C770" s="636" t="s">
        <v>1597</v>
      </c>
      <c r="D770" s="636" t="s">
        <v>1598</v>
      </c>
      <c r="E770" s="637">
        <v>6.2</v>
      </c>
      <c r="F770" s="634" t="s">
        <v>1599</v>
      </c>
      <c r="G770" s="634" t="s">
        <v>1600</v>
      </c>
      <c r="H770" s="634" t="s">
        <v>1880</v>
      </c>
      <c r="I770" s="639">
        <v>13558</v>
      </c>
      <c r="J770" s="638" t="s">
        <v>1599</v>
      </c>
      <c r="K770" s="640">
        <v>3860</v>
      </c>
      <c r="L770" s="645">
        <f t="shared" si="24"/>
        <v>14268</v>
      </c>
      <c r="M770" s="902">
        <v>18128</v>
      </c>
      <c r="N770" s="911">
        <v>10918</v>
      </c>
      <c r="O770" s="636">
        <v>0</v>
      </c>
      <c r="P770" s="646">
        <v>100</v>
      </c>
    </row>
    <row r="771" spans="1:16" ht="15.75" customHeight="1">
      <c r="A771" s="660" t="s">
        <v>2617</v>
      </c>
      <c r="B771" s="629">
        <v>45252</v>
      </c>
      <c r="C771" s="618" t="s">
        <v>1597</v>
      </c>
      <c r="D771" s="618" t="s">
        <v>1598</v>
      </c>
      <c r="E771" s="630">
        <v>6.2</v>
      </c>
      <c r="F771" s="628" t="s">
        <v>1599</v>
      </c>
      <c r="G771" s="628" t="s">
        <v>1600</v>
      </c>
      <c r="H771" s="628" t="s">
        <v>1884</v>
      </c>
      <c r="I771" s="632">
        <v>13413</v>
      </c>
      <c r="J771" s="631" t="s">
        <v>1599</v>
      </c>
      <c r="K771" s="633">
        <v>3840</v>
      </c>
      <c r="L771" s="643">
        <f t="shared" si="24"/>
        <v>18285.28</v>
      </c>
      <c r="M771" s="901">
        <v>22125.279999999999</v>
      </c>
      <c r="N771" s="912">
        <v>14875.32</v>
      </c>
      <c r="O771" s="618">
        <v>0</v>
      </c>
      <c r="P771" s="644">
        <v>100</v>
      </c>
    </row>
    <row r="772" spans="1:16" ht="15.75" customHeight="1">
      <c r="A772" s="661" t="s">
        <v>2618</v>
      </c>
      <c r="B772" s="635">
        <v>45252</v>
      </c>
      <c r="C772" s="636" t="s">
        <v>1597</v>
      </c>
      <c r="D772" s="636" t="s">
        <v>1598</v>
      </c>
      <c r="E772" s="637">
        <v>6.2</v>
      </c>
      <c r="F772" s="634" t="s">
        <v>1599</v>
      </c>
      <c r="G772" s="634" t="s">
        <v>1600</v>
      </c>
      <c r="H772" s="634" t="s">
        <v>1884</v>
      </c>
      <c r="I772" s="639">
        <v>13413</v>
      </c>
      <c r="J772" s="638" t="s">
        <v>1599</v>
      </c>
      <c r="K772" s="640">
        <v>3870</v>
      </c>
      <c r="L772" s="645">
        <f t="shared" si="24"/>
        <v>15021.02</v>
      </c>
      <c r="M772" s="902">
        <v>18891.02</v>
      </c>
      <c r="N772" s="911">
        <v>12389.38</v>
      </c>
      <c r="O772" s="636">
        <v>0</v>
      </c>
      <c r="P772" s="646">
        <v>100</v>
      </c>
    </row>
    <row r="773" spans="1:16" ht="15.75" customHeight="1">
      <c r="A773" s="660" t="s">
        <v>2619</v>
      </c>
      <c r="B773" s="629">
        <v>45253</v>
      </c>
      <c r="C773" s="618" t="s">
        <v>1597</v>
      </c>
      <c r="D773" s="618" t="s">
        <v>1598</v>
      </c>
      <c r="E773" s="630">
        <v>6.2</v>
      </c>
      <c r="F773" s="628" t="s">
        <v>1599</v>
      </c>
      <c r="G773" s="628" t="s">
        <v>1600</v>
      </c>
      <c r="H773" s="628" t="s">
        <v>1822</v>
      </c>
      <c r="I773" s="632">
        <v>13787</v>
      </c>
      <c r="J773" s="631" t="s">
        <v>1599</v>
      </c>
      <c r="K773" s="633">
        <v>3700</v>
      </c>
      <c r="L773" s="643">
        <f t="shared" si="24"/>
        <v>16977.099999999999</v>
      </c>
      <c r="M773" s="901">
        <v>20677.099999999999</v>
      </c>
      <c r="N773" s="912">
        <v>13573.63</v>
      </c>
      <c r="O773" s="618">
        <v>0</v>
      </c>
      <c r="P773" s="644">
        <v>100</v>
      </c>
    </row>
    <row r="774" spans="1:16" ht="15.75" customHeight="1">
      <c r="A774" s="661" t="s">
        <v>2620</v>
      </c>
      <c r="B774" s="635">
        <v>45257</v>
      </c>
      <c r="C774" s="636" t="s">
        <v>1597</v>
      </c>
      <c r="D774" s="636" t="s">
        <v>1598</v>
      </c>
      <c r="E774" s="637">
        <v>7.1</v>
      </c>
      <c r="F774" s="634" t="s">
        <v>1599</v>
      </c>
      <c r="G774" s="634" t="s">
        <v>1600</v>
      </c>
      <c r="H774" s="634" t="s">
        <v>1836</v>
      </c>
      <c r="I774" s="639">
        <v>14544</v>
      </c>
      <c r="J774" s="638" t="s">
        <v>1599</v>
      </c>
      <c r="K774" s="640">
        <v>3640</v>
      </c>
      <c r="L774" s="645">
        <f t="shared" si="24"/>
        <v>16881</v>
      </c>
      <c r="M774" s="902">
        <v>20521</v>
      </c>
      <c r="N774" s="911">
        <v>13860</v>
      </c>
      <c r="O774" s="636">
        <v>0</v>
      </c>
      <c r="P774" s="646">
        <v>100</v>
      </c>
    </row>
    <row r="775" spans="1:16" ht="15.75" customHeight="1">
      <c r="A775" s="628" t="s">
        <v>2621</v>
      </c>
      <c r="B775" s="629">
        <v>45253</v>
      </c>
      <c r="C775" s="618" t="s">
        <v>1597</v>
      </c>
      <c r="D775" s="618" t="s">
        <v>1598</v>
      </c>
      <c r="E775" s="630">
        <v>6</v>
      </c>
      <c r="F775" s="628" t="s">
        <v>1599</v>
      </c>
      <c r="G775" s="628" t="s">
        <v>1600</v>
      </c>
      <c r="H775" s="628" t="s">
        <v>1798</v>
      </c>
      <c r="I775" s="632">
        <v>1931</v>
      </c>
      <c r="J775" s="631" t="s">
        <v>1599</v>
      </c>
      <c r="K775" s="633">
        <v>5059.8</v>
      </c>
      <c r="L775" s="643">
        <v>889.6</v>
      </c>
      <c r="M775" s="901">
        <v>5949.4</v>
      </c>
      <c r="N775" s="912">
        <v>5059.8</v>
      </c>
      <c r="O775" s="618">
        <v>0</v>
      </c>
      <c r="P775" s="644">
        <v>100</v>
      </c>
    </row>
    <row r="776" spans="1:16" ht="15.75" customHeight="1">
      <c r="A776" s="661" t="s">
        <v>2622</v>
      </c>
      <c r="B776" s="635">
        <v>45257</v>
      </c>
      <c r="C776" s="636" t="s">
        <v>1597</v>
      </c>
      <c r="D776" s="636" t="s">
        <v>1598</v>
      </c>
      <c r="E776" s="637">
        <v>10.199999999999999</v>
      </c>
      <c r="F776" s="634" t="s">
        <v>1599</v>
      </c>
      <c r="G776" s="634" t="s">
        <v>1600</v>
      </c>
      <c r="H776" s="634" t="s">
        <v>1836</v>
      </c>
      <c r="I776" s="639">
        <v>14544</v>
      </c>
      <c r="J776" s="638" t="s">
        <v>1599</v>
      </c>
      <c r="K776" s="640">
        <v>3830</v>
      </c>
      <c r="L776" s="645">
        <f t="shared" ref="L776:L779" si="25">M776-K776</f>
        <v>14153</v>
      </c>
      <c r="M776" s="902">
        <v>17983</v>
      </c>
      <c r="N776" s="911">
        <v>11688</v>
      </c>
      <c r="O776" s="636">
        <v>0</v>
      </c>
      <c r="P776" s="646">
        <v>100</v>
      </c>
    </row>
    <row r="777" spans="1:16" ht="15.75" customHeight="1">
      <c r="A777" s="660" t="s">
        <v>2623</v>
      </c>
      <c r="B777" s="629">
        <v>45258</v>
      </c>
      <c r="C777" s="618" t="s">
        <v>1597</v>
      </c>
      <c r="D777" s="618" t="s">
        <v>1598</v>
      </c>
      <c r="E777" s="630">
        <v>6.2</v>
      </c>
      <c r="F777" s="628" t="s">
        <v>1599</v>
      </c>
      <c r="G777" s="628" t="s">
        <v>1600</v>
      </c>
      <c r="H777" s="628" t="s">
        <v>1836</v>
      </c>
      <c r="I777" s="632">
        <v>14544</v>
      </c>
      <c r="J777" s="631" t="s">
        <v>1599</v>
      </c>
      <c r="K777" s="633">
        <v>3830</v>
      </c>
      <c r="L777" s="643">
        <f t="shared" si="25"/>
        <v>9714.5</v>
      </c>
      <c r="M777" s="901">
        <v>13544.5</v>
      </c>
      <c r="N777" s="912">
        <v>6937.5</v>
      </c>
      <c r="O777" s="618">
        <v>0</v>
      </c>
      <c r="P777" s="644">
        <v>100</v>
      </c>
    </row>
    <row r="778" spans="1:16" ht="15.75" customHeight="1">
      <c r="A778" s="661" t="s">
        <v>2624</v>
      </c>
      <c r="B778" s="635">
        <v>45257</v>
      </c>
      <c r="C778" s="636" t="s">
        <v>1597</v>
      </c>
      <c r="D778" s="636" t="s">
        <v>1598</v>
      </c>
      <c r="E778" s="637">
        <v>4.0999999999999996</v>
      </c>
      <c r="F778" s="634" t="s">
        <v>1599</v>
      </c>
      <c r="G778" s="634" t="s">
        <v>1600</v>
      </c>
      <c r="H778" s="634" t="s">
        <v>1822</v>
      </c>
      <c r="I778" s="639">
        <v>13787</v>
      </c>
      <c r="J778" s="638" t="s">
        <v>1599</v>
      </c>
      <c r="K778" s="640">
        <v>3700</v>
      </c>
      <c r="L778" s="645">
        <f t="shared" si="25"/>
        <v>17889.099999999999</v>
      </c>
      <c r="M778" s="902">
        <v>21589.1</v>
      </c>
      <c r="N778" s="911">
        <v>14665.2</v>
      </c>
      <c r="O778" s="636">
        <v>0</v>
      </c>
      <c r="P778" s="646">
        <v>100</v>
      </c>
    </row>
    <row r="779" spans="1:16" ht="15.75" customHeight="1">
      <c r="A779" s="660" t="s">
        <v>2625</v>
      </c>
      <c r="B779" s="629">
        <v>45257</v>
      </c>
      <c r="C779" s="618" t="s">
        <v>1597</v>
      </c>
      <c r="D779" s="618" t="s">
        <v>1598</v>
      </c>
      <c r="E779" s="630">
        <v>11.9</v>
      </c>
      <c r="F779" s="628" t="s">
        <v>1599</v>
      </c>
      <c r="G779" s="628" t="s">
        <v>1600</v>
      </c>
      <c r="H779" s="628" t="s">
        <v>1807</v>
      </c>
      <c r="I779" s="632">
        <v>1734</v>
      </c>
      <c r="J779" s="631" t="s">
        <v>1599</v>
      </c>
      <c r="K779" s="633">
        <v>3600</v>
      </c>
      <c r="L779" s="643">
        <f t="shared" si="25"/>
        <v>11432.1</v>
      </c>
      <c r="M779" s="901">
        <v>15032.1</v>
      </c>
      <c r="N779" s="912">
        <v>8747.2000000000007</v>
      </c>
      <c r="O779" s="618">
        <v>0</v>
      </c>
      <c r="P779" s="644">
        <v>100</v>
      </c>
    </row>
    <row r="780" spans="1:16" ht="15.75" customHeight="1">
      <c r="A780" s="634" t="s">
        <v>2626</v>
      </c>
      <c r="B780" s="635">
        <v>45259</v>
      </c>
      <c r="C780" s="636" t="s">
        <v>1597</v>
      </c>
      <c r="D780" s="636" t="s">
        <v>1598</v>
      </c>
      <c r="E780" s="637">
        <v>6.5</v>
      </c>
      <c r="F780" s="634" t="s">
        <v>1599</v>
      </c>
      <c r="G780" s="634" t="s">
        <v>1600</v>
      </c>
      <c r="H780" s="634" t="s">
        <v>1886</v>
      </c>
      <c r="I780" s="639">
        <v>13877</v>
      </c>
      <c r="J780" s="638" t="s">
        <v>1599</v>
      </c>
      <c r="K780" s="640"/>
      <c r="L780" s="645"/>
      <c r="M780" s="902"/>
      <c r="N780" s="914">
        <v>15795</v>
      </c>
      <c r="O780" s="636"/>
      <c r="P780" s="646"/>
    </row>
    <row r="781" spans="1:16" ht="15.75" customHeight="1">
      <c r="A781" s="660" t="s">
        <v>2627</v>
      </c>
      <c r="B781" s="629">
        <v>45259</v>
      </c>
      <c r="C781" s="618" t="s">
        <v>1597</v>
      </c>
      <c r="D781" s="618" t="s">
        <v>1598</v>
      </c>
      <c r="E781" s="630">
        <v>6.5</v>
      </c>
      <c r="F781" s="628" t="s">
        <v>1599</v>
      </c>
      <c r="G781" s="628" t="s">
        <v>1600</v>
      </c>
      <c r="H781" s="628" t="s">
        <v>1886</v>
      </c>
      <c r="I781" s="632">
        <v>13877</v>
      </c>
      <c r="J781" s="631" t="s">
        <v>1599</v>
      </c>
      <c r="K781" s="633">
        <v>3840</v>
      </c>
      <c r="L781" s="643">
        <f t="shared" ref="L781:L791" si="26">M781-K781</f>
        <v>19599</v>
      </c>
      <c r="M781" s="901">
        <v>23439</v>
      </c>
      <c r="N781" s="913">
        <v>7660</v>
      </c>
      <c r="O781" s="618">
        <v>0</v>
      </c>
      <c r="P781" s="644">
        <v>100</v>
      </c>
    </row>
    <row r="782" spans="1:16" ht="15.75" customHeight="1">
      <c r="A782" s="661" t="s">
        <v>2628</v>
      </c>
      <c r="B782" s="635">
        <v>45259</v>
      </c>
      <c r="C782" s="636" t="s">
        <v>1597</v>
      </c>
      <c r="D782" s="636" t="s">
        <v>1598</v>
      </c>
      <c r="E782" s="637">
        <v>6.5</v>
      </c>
      <c r="F782" s="634" t="s">
        <v>1599</v>
      </c>
      <c r="G782" s="634" t="s">
        <v>1600</v>
      </c>
      <c r="H782" s="634" t="s">
        <v>1822</v>
      </c>
      <c r="I782" s="639">
        <v>13787</v>
      </c>
      <c r="J782" s="638" t="s">
        <v>1599</v>
      </c>
      <c r="K782" s="640">
        <v>3860</v>
      </c>
      <c r="L782" s="645">
        <f t="shared" si="26"/>
        <v>19071.599999999999</v>
      </c>
      <c r="M782" s="902">
        <v>22931.599999999999</v>
      </c>
      <c r="N782" s="911">
        <v>15602.4</v>
      </c>
      <c r="O782" s="636">
        <v>0</v>
      </c>
      <c r="P782" s="646">
        <v>100</v>
      </c>
    </row>
    <row r="783" spans="1:16" ht="15.75" customHeight="1">
      <c r="A783" s="660" t="s">
        <v>2629</v>
      </c>
      <c r="B783" s="629">
        <v>45258</v>
      </c>
      <c r="C783" s="618" t="s">
        <v>1597</v>
      </c>
      <c r="D783" s="618" t="s">
        <v>1598</v>
      </c>
      <c r="E783" s="630">
        <v>6.5</v>
      </c>
      <c r="F783" s="628" t="s">
        <v>1599</v>
      </c>
      <c r="G783" s="628" t="s">
        <v>1600</v>
      </c>
      <c r="H783" s="628" t="s">
        <v>1822</v>
      </c>
      <c r="I783" s="632">
        <v>13787</v>
      </c>
      <c r="J783" s="631" t="s">
        <v>1599</v>
      </c>
      <c r="K783" s="633">
        <v>3860</v>
      </c>
      <c r="L783" s="643">
        <f t="shared" si="26"/>
        <v>16362.8</v>
      </c>
      <c r="M783" s="901">
        <v>20222.8</v>
      </c>
      <c r="N783" s="912">
        <v>14035</v>
      </c>
      <c r="O783" s="618">
        <v>0</v>
      </c>
      <c r="P783" s="644">
        <v>100</v>
      </c>
    </row>
    <row r="784" spans="1:16" ht="15.75" customHeight="1">
      <c r="A784" s="661" t="s">
        <v>2630</v>
      </c>
      <c r="B784" s="635">
        <v>45258</v>
      </c>
      <c r="C784" s="636" t="s">
        <v>1597</v>
      </c>
      <c r="D784" s="636" t="s">
        <v>1598</v>
      </c>
      <c r="E784" s="637">
        <v>6.5</v>
      </c>
      <c r="F784" s="634" t="s">
        <v>1599</v>
      </c>
      <c r="G784" s="634" t="s">
        <v>1600</v>
      </c>
      <c r="H784" s="634" t="s">
        <v>1809</v>
      </c>
      <c r="I784" s="639">
        <v>15168</v>
      </c>
      <c r="J784" s="638" t="s">
        <v>1599</v>
      </c>
      <c r="K784" s="640">
        <v>3840</v>
      </c>
      <c r="L784" s="645">
        <f t="shared" si="26"/>
        <v>20224.2</v>
      </c>
      <c r="M784" s="902">
        <v>24064.2</v>
      </c>
      <c r="N784" s="911">
        <v>16320</v>
      </c>
      <c r="O784" s="636">
        <v>0</v>
      </c>
      <c r="P784" s="646">
        <v>100</v>
      </c>
    </row>
    <row r="785" spans="1:16" ht="15.75" customHeight="1">
      <c r="A785" s="660" t="s">
        <v>2631</v>
      </c>
      <c r="B785" s="629">
        <v>45258</v>
      </c>
      <c r="C785" s="618" t="s">
        <v>1597</v>
      </c>
      <c r="D785" s="618" t="s">
        <v>1598</v>
      </c>
      <c r="E785" s="630">
        <v>7.1</v>
      </c>
      <c r="F785" s="628" t="s">
        <v>1599</v>
      </c>
      <c r="G785" s="628" t="s">
        <v>1600</v>
      </c>
      <c r="H785" s="628" t="s">
        <v>1809</v>
      </c>
      <c r="I785" s="632">
        <v>15168</v>
      </c>
      <c r="J785" s="631" t="s">
        <v>1599</v>
      </c>
      <c r="K785" s="633">
        <v>3830</v>
      </c>
      <c r="L785" s="643">
        <f t="shared" si="26"/>
        <v>20824.599999999999</v>
      </c>
      <c r="M785" s="901">
        <v>24654.6</v>
      </c>
      <c r="N785" s="912">
        <v>15523.2</v>
      </c>
      <c r="O785" s="618">
        <v>0</v>
      </c>
      <c r="P785" s="644">
        <v>100</v>
      </c>
    </row>
    <row r="786" spans="1:16" ht="15.75" customHeight="1">
      <c r="A786" s="661" t="s">
        <v>2632</v>
      </c>
      <c r="B786" s="635">
        <v>45260</v>
      </c>
      <c r="C786" s="636" t="s">
        <v>1597</v>
      </c>
      <c r="D786" s="636" t="s">
        <v>1598</v>
      </c>
      <c r="E786" s="637">
        <v>6.2</v>
      </c>
      <c r="F786" s="634" t="s">
        <v>1599</v>
      </c>
      <c r="G786" s="634" t="s">
        <v>1600</v>
      </c>
      <c r="H786" s="634" t="s">
        <v>1809</v>
      </c>
      <c r="I786" s="639">
        <v>15168</v>
      </c>
      <c r="J786" s="638" t="s">
        <v>1599</v>
      </c>
      <c r="K786" s="637">
        <v>3890</v>
      </c>
      <c r="L786" s="645">
        <f t="shared" si="26"/>
        <v>20224.2</v>
      </c>
      <c r="M786" s="902">
        <v>24114.2</v>
      </c>
      <c r="N786" s="914">
        <v>16320</v>
      </c>
      <c r="O786" s="636">
        <v>0</v>
      </c>
      <c r="P786" s="646">
        <v>100</v>
      </c>
    </row>
    <row r="787" spans="1:16" ht="15.75" customHeight="1">
      <c r="A787" s="660" t="s">
        <v>2633</v>
      </c>
      <c r="B787" s="629">
        <v>45259</v>
      </c>
      <c r="C787" s="618" t="s">
        <v>1597</v>
      </c>
      <c r="D787" s="618" t="s">
        <v>1598</v>
      </c>
      <c r="E787" s="630">
        <v>11.9</v>
      </c>
      <c r="F787" s="628" t="s">
        <v>1599</v>
      </c>
      <c r="G787" s="628" t="s">
        <v>1600</v>
      </c>
      <c r="H787" s="628" t="s">
        <v>2539</v>
      </c>
      <c r="I787" s="632">
        <v>2687</v>
      </c>
      <c r="J787" s="631" t="s">
        <v>1599</v>
      </c>
      <c r="K787" s="633">
        <v>3820</v>
      </c>
      <c r="L787" s="643">
        <f t="shared" si="26"/>
        <v>13492.599999999999</v>
      </c>
      <c r="M787" s="901">
        <v>17312.599999999999</v>
      </c>
      <c r="N787" s="912">
        <v>10281.6</v>
      </c>
      <c r="O787" s="618">
        <v>0</v>
      </c>
      <c r="P787" s="644">
        <v>100</v>
      </c>
    </row>
    <row r="788" spans="1:16" ht="15.75" customHeight="1">
      <c r="A788" s="661" t="s">
        <v>2634</v>
      </c>
      <c r="B788" s="635">
        <v>45259</v>
      </c>
      <c r="C788" s="636" t="s">
        <v>1597</v>
      </c>
      <c r="D788" s="636" t="s">
        <v>1598</v>
      </c>
      <c r="E788" s="637">
        <v>6</v>
      </c>
      <c r="F788" s="634" t="s">
        <v>1599</v>
      </c>
      <c r="G788" s="634" t="s">
        <v>1600</v>
      </c>
      <c r="H788" s="634" t="s">
        <v>2548</v>
      </c>
      <c r="I788" s="639">
        <v>4353</v>
      </c>
      <c r="J788" s="638" t="s">
        <v>1599</v>
      </c>
      <c r="K788" s="640">
        <v>3750</v>
      </c>
      <c r="L788" s="645">
        <f t="shared" si="26"/>
        <v>13492.599999999999</v>
      </c>
      <c r="M788" s="902">
        <v>17242.599999999999</v>
      </c>
      <c r="N788" s="911">
        <v>10281.6</v>
      </c>
      <c r="O788" s="636">
        <v>0</v>
      </c>
      <c r="P788" s="646">
        <v>100</v>
      </c>
    </row>
    <row r="789" spans="1:16" ht="15.75" customHeight="1">
      <c r="A789" s="660" t="s">
        <v>2635</v>
      </c>
      <c r="B789" s="629">
        <v>45259</v>
      </c>
      <c r="C789" s="618" t="s">
        <v>1597</v>
      </c>
      <c r="D789" s="618" t="s">
        <v>1598</v>
      </c>
      <c r="E789" s="630">
        <v>5.8</v>
      </c>
      <c r="F789" s="628" t="s">
        <v>1599</v>
      </c>
      <c r="G789" s="628" t="s">
        <v>1600</v>
      </c>
      <c r="H789" s="628" t="s">
        <v>1838</v>
      </c>
      <c r="I789" s="632">
        <v>4972</v>
      </c>
      <c r="J789" s="631" t="s">
        <v>1599</v>
      </c>
      <c r="K789" s="633">
        <v>2330</v>
      </c>
      <c r="L789" s="643">
        <f t="shared" si="26"/>
        <v>5038.8999999999996</v>
      </c>
      <c r="M789" s="901">
        <v>7368.9</v>
      </c>
      <c r="N789" s="912">
        <v>3843.48</v>
      </c>
      <c r="O789" s="618">
        <v>0</v>
      </c>
      <c r="P789" s="644">
        <v>100</v>
      </c>
    </row>
    <row r="790" spans="1:16" ht="15.75" customHeight="1">
      <c r="A790" s="661" t="s">
        <v>2636</v>
      </c>
      <c r="B790" s="635">
        <v>45259</v>
      </c>
      <c r="C790" s="636" t="s">
        <v>1597</v>
      </c>
      <c r="D790" s="636" t="s">
        <v>1598</v>
      </c>
      <c r="E790" s="637">
        <v>5.8</v>
      </c>
      <c r="F790" s="634" t="s">
        <v>1599</v>
      </c>
      <c r="G790" s="634" t="s">
        <v>1600</v>
      </c>
      <c r="H790" s="634" t="s">
        <v>1838</v>
      </c>
      <c r="I790" s="639">
        <v>4972</v>
      </c>
      <c r="J790" s="638" t="s">
        <v>1599</v>
      </c>
      <c r="K790" s="640">
        <v>2220</v>
      </c>
      <c r="L790" s="645">
        <f t="shared" si="26"/>
        <v>4480.58</v>
      </c>
      <c r="M790" s="902">
        <v>6700.58</v>
      </c>
      <c r="N790" s="911">
        <v>3324.12</v>
      </c>
      <c r="O790" s="636">
        <v>0</v>
      </c>
      <c r="P790" s="646">
        <v>100</v>
      </c>
    </row>
    <row r="791" spans="1:16" ht="15.75" customHeight="1">
      <c r="A791" s="660" t="s">
        <v>2637</v>
      </c>
      <c r="B791" s="629">
        <v>45260</v>
      </c>
      <c r="C791" s="618" t="s">
        <v>1597</v>
      </c>
      <c r="D791" s="618" t="s">
        <v>1598</v>
      </c>
      <c r="E791" s="630">
        <v>6.5</v>
      </c>
      <c r="F791" s="628" t="s">
        <v>1599</v>
      </c>
      <c r="G791" s="628" t="s">
        <v>1600</v>
      </c>
      <c r="H791" s="628" t="s">
        <v>1825</v>
      </c>
      <c r="I791" s="632">
        <v>15486</v>
      </c>
      <c r="J791" s="631" t="s">
        <v>1599</v>
      </c>
      <c r="K791" s="630">
        <v>3700</v>
      </c>
      <c r="L791" s="643">
        <f t="shared" si="26"/>
        <v>6877.2800000000007</v>
      </c>
      <c r="M791" s="901">
        <v>10577.28</v>
      </c>
      <c r="N791" s="913">
        <v>5002.8</v>
      </c>
      <c r="O791" s="618">
        <v>0</v>
      </c>
      <c r="P791" s="644">
        <v>100</v>
      </c>
    </row>
    <row r="792" spans="1:16" ht="15.75" customHeight="1">
      <c r="A792" s="618" t="s">
        <v>2638</v>
      </c>
      <c r="B792" s="629">
        <v>45278</v>
      </c>
      <c r="C792" s="610" t="s">
        <v>1597</v>
      </c>
      <c r="D792" s="610" t="s">
        <v>1598</v>
      </c>
      <c r="E792" s="612">
        <v>11.9</v>
      </c>
      <c r="F792" s="610" t="s">
        <v>1599</v>
      </c>
      <c r="G792" s="610" t="s">
        <v>1600</v>
      </c>
      <c r="H792" s="672" t="s">
        <v>1850</v>
      </c>
      <c r="I792" s="632">
        <v>9687</v>
      </c>
      <c r="J792" s="615" t="s">
        <v>1599</v>
      </c>
      <c r="K792" s="616">
        <v>3580</v>
      </c>
      <c r="L792" s="648">
        <v>24964</v>
      </c>
      <c r="M792" s="899">
        <v>28544</v>
      </c>
      <c r="N792" s="912">
        <v>4025</v>
      </c>
      <c r="O792" s="618">
        <v>0</v>
      </c>
      <c r="P792" s="644">
        <v>100</v>
      </c>
    </row>
    <row r="793" spans="1:16" s="683" customFormat="1" ht="15.75" customHeight="1">
      <c r="A793" s="673" t="s">
        <v>2639</v>
      </c>
      <c r="B793" s="674">
        <v>45265</v>
      </c>
      <c r="C793" s="675" t="s">
        <v>1597</v>
      </c>
      <c r="D793" s="675" t="s">
        <v>1598</v>
      </c>
      <c r="E793" s="676">
        <v>4.0999999999999996</v>
      </c>
      <c r="F793" s="673" t="s">
        <v>1599</v>
      </c>
      <c r="G793" s="673" t="s">
        <v>1600</v>
      </c>
      <c r="H793" s="677" t="s">
        <v>1822</v>
      </c>
      <c r="I793" s="678">
        <v>13787</v>
      </c>
      <c r="J793" s="679" t="s">
        <v>1599</v>
      </c>
      <c r="K793" s="680">
        <v>3700</v>
      </c>
      <c r="L793" s="681">
        <f t="shared" ref="L793:L812" si="27">M793-K793</f>
        <v>16362.8</v>
      </c>
      <c r="M793" s="905">
        <v>20062.8</v>
      </c>
      <c r="N793" s="917">
        <v>14035</v>
      </c>
      <c r="O793" s="673">
        <v>0</v>
      </c>
      <c r="P793" s="682">
        <v>100</v>
      </c>
    </row>
    <row r="794" spans="1:16" ht="15.75" customHeight="1">
      <c r="A794" s="618" t="s">
        <v>2640</v>
      </c>
      <c r="B794" s="629">
        <v>45262</v>
      </c>
      <c r="C794" s="618" t="s">
        <v>1597</v>
      </c>
      <c r="D794" s="618" t="s">
        <v>1598</v>
      </c>
      <c r="E794" s="630">
        <v>4.0999999999999996</v>
      </c>
      <c r="F794" s="618" t="s">
        <v>1599</v>
      </c>
      <c r="G794" s="618" t="s">
        <v>1600</v>
      </c>
      <c r="H794" s="672" t="s">
        <v>1822</v>
      </c>
      <c r="I794" s="632">
        <v>13787</v>
      </c>
      <c r="J794" s="654" t="s">
        <v>1599</v>
      </c>
      <c r="K794" s="633">
        <v>3840</v>
      </c>
      <c r="L794" s="643">
        <f t="shared" si="27"/>
        <v>19071.599999999999</v>
      </c>
      <c r="M794" s="901">
        <v>22911.599999999999</v>
      </c>
      <c r="N794" s="912">
        <v>15602.4</v>
      </c>
      <c r="O794" s="618">
        <v>0</v>
      </c>
      <c r="P794" s="644">
        <v>100</v>
      </c>
    </row>
    <row r="795" spans="1:16" s="683" customFormat="1" ht="15.75" customHeight="1">
      <c r="A795" s="684" t="s">
        <v>2641</v>
      </c>
      <c r="B795" s="674">
        <v>45266</v>
      </c>
      <c r="C795" s="675" t="s">
        <v>1597</v>
      </c>
      <c r="D795" s="675" t="s">
        <v>1598</v>
      </c>
      <c r="E795" s="676">
        <v>6.2</v>
      </c>
      <c r="F795" s="673" t="s">
        <v>1599</v>
      </c>
      <c r="G795" s="673" t="s">
        <v>1600</v>
      </c>
      <c r="H795" s="677" t="s">
        <v>1880</v>
      </c>
      <c r="I795" s="678">
        <v>13558</v>
      </c>
      <c r="J795" s="679" t="s">
        <v>1599</v>
      </c>
      <c r="K795" s="680">
        <v>3860</v>
      </c>
      <c r="L795" s="681">
        <f t="shared" si="27"/>
        <v>17889.099999999999</v>
      </c>
      <c r="M795" s="905">
        <v>21749.1</v>
      </c>
      <c r="N795" s="917">
        <v>14665.2</v>
      </c>
      <c r="O795" s="673">
        <v>0</v>
      </c>
      <c r="P795" s="682">
        <v>100</v>
      </c>
    </row>
    <row r="796" spans="1:16" ht="15.75" customHeight="1">
      <c r="A796" s="660" t="s">
        <v>2642</v>
      </c>
      <c r="B796" s="629">
        <v>45266</v>
      </c>
      <c r="C796" s="628" t="s">
        <v>1597</v>
      </c>
      <c r="D796" s="628" t="s">
        <v>1598</v>
      </c>
      <c r="E796" s="630">
        <v>5.2</v>
      </c>
      <c r="F796" s="618" t="s">
        <v>1599</v>
      </c>
      <c r="G796" s="618" t="s">
        <v>1600</v>
      </c>
      <c r="H796" s="672" t="s">
        <v>1836</v>
      </c>
      <c r="I796" s="632">
        <v>14544</v>
      </c>
      <c r="J796" s="654" t="s">
        <v>1599</v>
      </c>
      <c r="K796" s="633">
        <v>3830</v>
      </c>
      <c r="L796" s="643">
        <f t="shared" si="27"/>
        <v>9714.5</v>
      </c>
      <c r="M796" s="901">
        <v>13544.5</v>
      </c>
      <c r="N796" s="912">
        <v>6937.5</v>
      </c>
      <c r="O796" s="618">
        <v>0</v>
      </c>
      <c r="P796" s="644">
        <v>100</v>
      </c>
    </row>
    <row r="797" spans="1:16" s="683" customFormat="1" ht="15.75" customHeight="1">
      <c r="A797" s="673" t="s">
        <v>2643</v>
      </c>
      <c r="B797" s="674">
        <v>45264</v>
      </c>
      <c r="C797" s="675" t="s">
        <v>1597</v>
      </c>
      <c r="D797" s="675" t="s">
        <v>1598</v>
      </c>
      <c r="E797" s="676">
        <v>6.5</v>
      </c>
      <c r="F797" s="673" t="s">
        <v>1599</v>
      </c>
      <c r="G797" s="673" t="s">
        <v>1600</v>
      </c>
      <c r="H797" s="677" t="s">
        <v>1850</v>
      </c>
      <c r="I797" s="678">
        <v>9687</v>
      </c>
      <c r="J797" s="679" t="s">
        <v>1599</v>
      </c>
      <c r="K797" s="680">
        <v>3660</v>
      </c>
      <c r="L797" s="681">
        <f t="shared" si="27"/>
        <v>19987</v>
      </c>
      <c r="M797" s="905">
        <v>23647</v>
      </c>
      <c r="N797" s="917">
        <v>18538.2</v>
      </c>
      <c r="O797" s="673">
        <v>0</v>
      </c>
      <c r="P797" s="682">
        <v>100</v>
      </c>
    </row>
    <row r="798" spans="1:16" ht="15.75" customHeight="1">
      <c r="A798" s="618" t="s">
        <v>2644</v>
      </c>
      <c r="B798" s="629">
        <v>45264</v>
      </c>
      <c r="C798" s="628" t="s">
        <v>1597</v>
      </c>
      <c r="D798" s="628" t="s">
        <v>1598</v>
      </c>
      <c r="E798" s="630">
        <v>6.5</v>
      </c>
      <c r="F798" s="618" t="s">
        <v>1599</v>
      </c>
      <c r="G798" s="618" t="s">
        <v>1600</v>
      </c>
      <c r="H798" s="672" t="s">
        <v>1850</v>
      </c>
      <c r="I798" s="632">
        <v>9687</v>
      </c>
      <c r="J798" s="654" t="s">
        <v>1599</v>
      </c>
      <c r="K798" s="633">
        <v>3730</v>
      </c>
      <c r="L798" s="643">
        <f t="shared" si="27"/>
        <v>19385.8</v>
      </c>
      <c r="M798" s="901">
        <v>23115.8</v>
      </c>
      <c r="N798" s="912">
        <v>18145.8</v>
      </c>
      <c r="O798" s="618">
        <v>0</v>
      </c>
      <c r="P798" s="644">
        <v>100</v>
      </c>
    </row>
    <row r="799" spans="1:16" s="683" customFormat="1" ht="15.75" customHeight="1">
      <c r="A799" s="684" t="s">
        <v>2645</v>
      </c>
      <c r="B799" s="674">
        <v>45267</v>
      </c>
      <c r="C799" s="675" t="s">
        <v>1597</v>
      </c>
      <c r="D799" s="675" t="s">
        <v>1598</v>
      </c>
      <c r="E799" s="676">
        <v>6.2</v>
      </c>
      <c r="F799" s="673" t="s">
        <v>1599</v>
      </c>
      <c r="G799" s="673" t="s">
        <v>1600</v>
      </c>
      <c r="H799" s="677" t="s">
        <v>1815</v>
      </c>
      <c r="I799" s="678">
        <v>17387</v>
      </c>
      <c r="J799" s="679" t="s">
        <v>1599</v>
      </c>
      <c r="K799" s="680">
        <v>3890</v>
      </c>
      <c r="L799" s="681">
        <f t="shared" si="27"/>
        <v>18068.62</v>
      </c>
      <c r="M799" s="905">
        <v>21958.62</v>
      </c>
      <c r="N799" s="917">
        <v>15629.54</v>
      </c>
      <c r="O799" s="673">
        <v>0</v>
      </c>
      <c r="P799" s="682">
        <v>100</v>
      </c>
    </row>
    <row r="800" spans="1:16" ht="15.75" customHeight="1">
      <c r="A800" s="618" t="s">
        <v>2646</v>
      </c>
      <c r="B800" s="629">
        <v>45265</v>
      </c>
      <c r="C800" s="628" t="s">
        <v>1597</v>
      </c>
      <c r="D800" s="628" t="s">
        <v>1598</v>
      </c>
      <c r="E800" s="630">
        <v>7.1</v>
      </c>
      <c r="F800" s="618" t="s">
        <v>1599</v>
      </c>
      <c r="G800" s="618" t="s">
        <v>1600</v>
      </c>
      <c r="H800" s="672" t="s">
        <v>1831</v>
      </c>
      <c r="I800" s="632">
        <v>7283</v>
      </c>
      <c r="J800" s="654" t="s">
        <v>1599</v>
      </c>
      <c r="K800" s="633">
        <v>3640</v>
      </c>
      <c r="L800" s="643">
        <f t="shared" si="27"/>
        <v>24077</v>
      </c>
      <c r="M800" s="901">
        <v>27717</v>
      </c>
      <c r="N800" s="912">
        <v>20569</v>
      </c>
      <c r="O800" s="618">
        <v>0</v>
      </c>
      <c r="P800" s="644">
        <v>100</v>
      </c>
    </row>
    <row r="801" spans="1:16" s="683" customFormat="1" ht="15.75" customHeight="1">
      <c r="A801" s="684" t="s">
        <v>2647</v>
      </c>
      <c r="B801" s="674">
        <v>45266</v>
      </c>
      <c r="C801" s="675" t="s">
        <v>1597</v>
      </c>
      <c r="D801" s="675" t="s">
        <v>1598</v>
      </c>
      <c r="E801" s="676">
        <v>7.1</v>
      </c>
      <c r="F801" s="673" t="s">
        <v>1599</v>
      </c>
      <c r="G801" s="673" t="s">
        <v>1600</v>
      </c>
      <c r="H801" s="677" t="s">
        <v>1831</v>
      </c>
      <c r="I801" s="678">
        <v>7283</v>
      </c>
      <c r="J801" s="679" t="s">
        <v>1599</v>
      </c>
      <c r="K801" s="680">
        <v>3770</v>
      </c>
      <c r="L801" s="681">
        <f t="shared" si="27"/>
        <v>25037</v>
      </c>
      <c r="M801" s="905">
        <v>28807</v>
      </c>
      <c r="N801" s="917">
        <v>19570.5</v>
      </c>
      <c r="O801" s="673">
        <v>0</v>
      </c>
      <c r="P801" s="682">
        <v>100</v>
      </c>
    </row>
    <row r="802" spans="1:16" ht="15.75" customHeight="1">
      <c r="A802" s="660" t="s">
        <v>2648</v>
      </c>
      <c r="B802" s="629">
        <v>45276</v>
      </c>
      <c r="C802" s="628" t="s">
        <v>1597</v>
      </c>
      <c r="D802" s="628" t="s">
        <v>1598</v>
      </c>
      <c r="E802" s="630">
        <v>4.0999999999999996</v>
      </c>
      <c r="F802" s="618" t="s">
        <v>1599</v>
      </c>
      <c r="G802" s="618" t="s">
        <v>1600</v>
      </c>
      <c r="H802" s="672" t="s">
        <v>1850</v>
      </c>
      <c r="I802" s="632">
        <v>9687</v>
      </c>
      <c r="J802" s="654" t="s">
        <v>1599</v>
      </c>
      <c r="K802" s="633">
        <v>2220</v>
      </c>
      <c r="L802" s="643">
        <f t="shared" si="27"/>
        <v>5777</v>
      </c>
      <c r="M802" s="901">
        <v>7997</v>
      </c>
      <c r="N802" s="912">
        <v>4550</v>
      </c>
      <c r="O802" s="618">
        <v>0</v>
      </c>
      <c r="P802" s="644">
        <v>100</v>
      </c>
    </row>
    <row r="803" spans="1:16" s="683" customFormat="1" ht="15.75" customHeight="1">
      <c r="A803" s="684" t="s">
        <v>2649</v>
      </c>
      <c r="B803" s="674">
        <v>45267</v>
      </c>
      <c r="C803" s="675" t="s">
        <v>1597</v>
      </c>
      <c r="D803" s="675" t="s">
        <v>1598</v>
      </c>
      <c r="E803" s="676">
        <v>6.5</v>
      </c>
      <c r="F803" s="673" t="s">
        <v>1599</v>
      </c>
      <c r="G803" s="673" t="s">
        <v>1600</v>
      </c>
      <c r="H803" s="677" t="s">
        <v>1886</v>
      </c>
      <c r="I803" s="678">
        <v>13877</v>
      </c>
      <c r="J803" s="679" t="s">
        <v>1599</v>
      </c>
      <c r="K803" s="680">
        <v>3620</v>
      </c>
      <c r="L803" s="681">
        <f t="shared" si="27"/>
        <v>10726</v>
      </c>
      <c r="M803" s="905">
        <v>14346</v>
      </c>
      <c r="N803" s="917">
        <v>8196.2000000000007</v>
      </c>
      <c r="O803" s="673">
        <v>0</v>
      </c>
      <c r="P803" s="682">
        <v>100</v>
      </c>
    </row>
    <row r="804" spans="1:16" ht="15.75" customHeight="1">
      <c r="A804" s="660" t="s">
        <v>2650</v>
      </c>
      <c r="B804" s="629">
        <v>45267</v>
      </c>
      <c r="C804" s="628" t="s">
        <v>1597</v>
      </c>
      <c r="D804" s="628" t="s">
        <v>1598</v>
      </c>
      <c r="E804" s="630">
        <v>6.5</v>
      </c>
      <c r="F804" s="618" t="s">
        <v>1599</v>
      </c>
      <c r="G804" s="618" t="s">
        <v>1600</v>
      </c>
      <c r="H804" s="672" t="s">
        <v>1886</v>
      </c>
      <c r="I804" s="632">
        <v>13877</v>
      </c>
      <c r="J804" s="654" t="s">
        <v>1599</v>
      </c>
      <c r="K804" s="633">
        <v>3700</v>
      </c>
      <c r="L804" s="643">
        <f t="shared" si="27"/>
        <v>12014</v>
      </c>
      <c r="M804" s="901">
        <v>15714</v>
      </c>
      <c r="N804" s="912">
        <v>8988</v>
      </c>
      <c r="O804" s="618">
        <v>0</v>
      </c>
      <c r="P804" s="644">
        <v>100</v>
      </c>
    </row>
    <row r="805" spans="1:16" s="683" customFormat="1" ht="15.75" customHeight="1">
      <c r="A805" s="684" t="s">
        <v>2651</v>
      </c>
      <c r="B805" s="674">
        <v>45267</v>
      </c>
      <c r="C805" s="675" t="s">
        <v>1597</v>
      </c>
      <c r="D805" s="675" t="s">
        <v>1598</v>
      </c>
      <c r="E805" s="676">
        <v>6.5</v>
      </c>
      <c r="F805" s="673" t="s">
        <v>1599</v>
      </c>
      <c r="G805" s="673" t="s">
        <v>1600</v>
      </c>
      <c r="H805" s="677" t="s">
        <v>1886</v>
      </c>
      <c r="I805" s="678">
        <v>13877</v>
      </c>
      <c r="J805" s="679" t="s">
        <v>1599</v>
      </c>
      <c r="K805" s="680">
        <v>3840</v>
      </c>
      <c r="L805" s="681">
        <f t="shared" si="27"/>
        <v>10189.799999999999</v>
      </c>
      <c r="M805" s="905">
        <v>14029.8</v>
      </c>
      <c r="N805" s="917">
        <v>7660</v>
      </c>
      <c r="O805" s="673">
        <v>0</v>
      </c>
      <c r="P805" s="682">
        <v>100</v>
      </c>
    </row>
    <row r="806" spans="1:16" ht="15.75" customHeight="1">
      <c r="A806" s="618" t="s">
        <v>2652</v>
      </c>
      <c r="B806" s="629">
        <v>45266</v>
      </c>
      <c r="C806" s="628" t="s">
        <v>1597</v>
      </c>
      <c r="D806" s="628" t="s">
        <v>1598</v>
      </c>
      <c r="E806" s="630">
        <v>5.2</v>
      </c>
      <c r="F806" s="618" t="s">
        <v>1599</v>
      </c>
      <c r="G806" s="618" t="s">
        <v>1600</v>
      </c>
      <c r="H806" s="672" t="s">
        <v>1798</v>
      </c>
      <c r="I806" s="632">
        <v>1931</v>
      </c>
      <c r="J806" s="654" t="s">
        <v>1599</v>
      </c>
      <c r="K806" s="633">
        <v>5217.21</v>
      </c>
      <c r="L806" s="643">
        <f t="shared" si="27"/>
        <v>967.77999999999975</v>
      </c>
      <c r="M806" s="901">
        <v>6184.99</v>
      </c>
      <c r="N806" s="912">
        <v>5217.21</v>
      </c>
      <c r="O806" s="618">
        <v>0</v>
      </c>
      <c r="P806" s="644">
        <v>100</v>
      </c>
    </row>
    <row r="807" spans="1:16" s="683" customFormat="1" ht="15.75" customHeight="1">
      <c r="A807" s="684" t="s">
        <v>2653</v>
      </c>
      <c r="B807" s="674">
        <v>45272</v>
      </c>
      <c r="C807" s="675" t="s">
        <v>1597</v>
      </c>
      <c r="D807" s="675" t="s">
        <v>1598</v>
      </c>
      <c r="E807" s="676">
        <v>6.2</v>
      </c>
      <c r="F807" s="673" t="s">
        <v>1599</v>
      </c>
      <c r="G807" s="673" t="s">
        <v>1600</v>
      </c>
      <c r="H807" s="677" t="s">
        <v>1807</v>
      </c>
      <c r="I807" s="678">
        <v>1734</v>
      </c>
      <c r="J807" s="679" t="s">
        <v>1599</v>
      </c>
      <c r="K807" s="680">
        <v>3650</v>
      </c>
      <c r="L807" s="681">
        <f t="shared" si="27"/>
        <v>12161.7</v>
      </c>
      <c r="M807" s="905">
        <v>15811.7</v>
      </c>
      <c r="N807" s="917">
        <v>9457.4</v>
      </c>
      <c r="O807" s="673">
        <v>0</v>
      </c>
      <c r="P807" s="682">
        <v>100</v>
      </c>
    </row>
    <row r="808" spans="1:16" ht="15.75" customHeight="1">
      <c r="A808" s="660" t="s">
        <v>2654</v>
      </c>
      <c r="B808" s="629">
        <v>45279</v>
      </c>
      <c r="C808" s="628" t="s">
        <v>1597</v>
      </c>
      <c r="D808" s="628" t="s">
        <v>1598</v>
      </c>
      <c r="E808" s="630">
        <v>6.5</v>
      </c>
      <c r="F808" s="618" t="s">
        <v>1599</v>
      </c>
      <c r="G808" s="618" t="s">
        <v>1600</v>
      </c>
      <c r="H808" s="672" t="s">
        <v>1841</v>
      </c>
      <c r="I808" s="632">
        <v>9486</v>
      </c>
      <c r="J808" s="654" t="s">
        <v>1599</v>
      </c>
      <c r="K808" s="633">
        <v>3830</v>
      </c>
      <c r="L808" s="643">
        <f t="shared" si="27"/>
        <v>15041.099999999999</v>
      </c>
      <c r="M808" s="901">
        <v>18871.099999999999</v>
      </c>
      <c r="N808" s="912">
        <v>11254.87</v>
      </c>
      <c r="O808" s="618">
        <v>0</v>
      </c>
      <c r="P808" s="644">
        <v>100</v>
      </c>
    </row>
    <row r="809" spans="1:16" s="683" customFormat="1" ht="15.75" customHeight="1">
      <c r="A809" s="684" t="s">
        <v>2655</v>
      </c>
      <c r="B809" s="674">
        <v>45279</v>
      </c>
      <c r="C809" s="675" t="s">
        <v>1597</v>
      </c>
      <c r="D809" s="675" t="s">
        <v>1598</v>
      </c>
      <c r="E809" s="676">
        <v>6.5</v>
      </c>
      <c r="F809" s="673" t="s">
        <v>1599</v>
      </c>
      <c r="G809" s="673" t="s">
        <v>1600</v>
      </c>
      <c r="H809" s="677" t="s">
        <v>1841</v>
      </c>
      <c r="I809" s="678">
        <v>9486</v>
      </c>
      <c r="J809" s="679" t="s">
        <v>1599</v>
      </c>
      <c r="K809" s="680">
        <v>3770</v>
      </c>
      <c r="L809" s="681">
        <f t="shared" si="27"/>
        <v>20451</v>
      </c>
      <c r="M809" s="905">
        <v>24221</v>
      </c>
      <c r="N809" s="917">
        <v>15031.48</v>
      </c>
      <c r="O809" s="673">
        <v>0</v>
      </c>
      <c r="P809" s="682">
        <v>100</v>
      </c>
    </row>
    <row r="810" spans="1:16" ht="15.75" customHeight="1">
      <c r="A810" s="660" t="s">
        <v>2656</v>
      </c>
      <c r="B810" s="629">
        <v>45279</v>
      </c>
      <c r="C810" s="628" t="s">
        <v>1597</v>
      </c>
      <c r="D810" s="628" t="s">
        <v>1598</v>
      </c>
      <c r="E810" s="630">
        <v>6.5</v>
      </c>
      <c r="F810" s="618" t="s">
        <v>1599</v>
      </c>
      <c r="G810" s="618" t="s">
        <v>1600</v>
      </c>
      <c r="H810" s="672" t="s">
        <v>1841</v>
      </c>
      <c r="I810" s="632">
        <v>9486</v>
      </c>
      <c r="J810" s="654" t="s">
        <v>1599</v>
      </c>
      <c r="K810" s="633">
        <v>3830</v>
      </c>
      <c r="L810" s="643">
        <f t="shared" si="27"/>
        <v>16979.7</v>
      </c>
      <c r="M810" s="901">
        <v>20809.7</v>
      </c>
      <c r="N810" s="912">
        <v>13441.45</v>
      </c>
      <c r="O810" s="618">
        <v>0</v>
      </c>
      <c r="P810" s="644">
        <v>100</v>
      </c>
    </row>
    <row r="811" spans="1:16" s="683" customFormat="1" ht="15.75" customHeight="1">
      <c r="A811" s="673" t="s">
        <v>2657</v>
      </c>
      <c r="B811" s="674">
        <v>45266</v>
      </c>
      <c r="C811" s="675" t="s">
        <v>1597</v>
      </c>
      <c r="D811" s="675" t="s">
        <v>1598</v>
      </c>
      <c r="E811" s="676">
        <v>6.2</v>
      </c>
      <c r="F811" s="673" t="s">
        <v>1599</v>
      </c>
      <c r="G811" s="673" t="s">
        <v>1600</v>
      </c>
      <c r="H811" s="677" t="s">
        <v>1963</v>
      </c>
      <c r="I811" s="678">
        <v>14253</v>
      </c>
      <c r="J811" s="679" t="s">
        <v>1599</v>
      </c>
      <c r="K811" s="680">
        <v>3700</v>
      </c>
      <c r="L811" s="681">
        <f t="shared" si="27"/>
        <v>11402.82</v>
      </c>
      <c r="M811" s="905">
        <v>15102.82</v>
      </c>
      <c r="N811" s="917">
        <v>8563.44</v>
      </c>
      <c r="O811" s="673">
        <v>0</v>
      </c>
      <c r="P811" s="682">
        <v>100</v>
      </c>
    </row>
    <row r="812" spans="1:16" ht="15.75" customHeight="1">
      <c r="A812" s="618" t="s">
        <v>2658</v>
      </c>
      <c r="B812" s="629">
        <v>45266</v>
      </c>
      <c r="C812" s="628" t="s">
        <v>1597</v>
      </c>
      <c r="D812" s="628" t="s">
        <v>1598</v>
      </c>
      <c r="E812" s="630">
        <v>6.2</v>
      </c>
      <c r="F812" s="618" t="s">
        <v>1599</v>
      </c>
      <c r="G812" s="618" t="s">
        <v>1600</v>
      </c>
      <c r="H812" s="672" t="s">
        <v>1963</v>
      </c>
      <c r="I812" s="632">
        <v>14253</v>
      </c>
      <c r="J812" s="654" t="s">
        <v>1599</v>
      </c>
      <c r="K812" s="633">
        <v>3700</v>
      </c>
      <c r="L812" s="643">
        <f t="shared" si="27"/>
        <v>12236.38</v>
      </c>
      <c r="M812" s="901">
        <v>15936.38</v>
      </c>
      <c r="N812" s="912">
        <v>9343.92</v>
      </c>
      <c r="O812" s="618">
        <v>0</v>
      </c>
      <c r="P812" s="644">
        <v>100</v>
      </c>
    </row>
    <row r="813" spans="1:16" s="683" customFormat="1" ht="15.75" customHeight="1">
      <c r="A813" s="673" t="s">
        <v>2659</v>
      </c>
      <c r="B813" s="674">
        <v>45274</v>
      </c>
      <c r="C813" s="685" t="s">
        <v>1597</v>
      </c>
      <c r="D813" s="685" t="s">
        <v>1598</v>
      </c>
      <c r="E813" s="686">
        <v>6.2</v>
      </c>
      <c r="F813" s="685" t="s">
        <v>1599</v>
      </c>
      <c r="G813" s="685" t="s">
        <v>1600</v>
      </c>
      <c r="H813" s="677" t="s">
        <v>1798</v>
      </c>
      <c r="I813" s="678">
        <v>1931</v>
      </c>
      <c r="J813" s="687" t="s">
        <v>1599</v>
      </c>
      <c r="K813" s="688">
        <v>2272.1999999999998</v>
      </c>
      <c r="L813" s="689">
        <v>1125.5999999999999</v>
      </c>
      <c r="M813" s="906">
        <v>3397.8</v>
      </c>
      <c r="N813" s="918">
        <v>2272.1999999999998</v>
      </c>
      <c r="O813" s="673">
        <v>0</v>
      </c>
      <c r="P813" s="682">
        <v>100</v>
      </c>
    </row>
    <row r="814" spans="1:16" ht="15.75" customHeight="1">
      <c r="A814" s="618" t="s">
        <v>2660</v>
      </c>
      <c r="B814" s="629">
        <v>45272</v>
      </c>
      <c r="C814" s="610" t="s">
        <v>1597</v>
      </c>
      <c r="D814" s="610" t="s">
        <v>1598</v>
      </c>
      <c r="E814" s="612">
        <v>6.2</v>
      </c>
      <c r="F814" s="610" t="s">
        <v>1599</v>
      </c>
      <c r="G814" s="610" t="s">
        <v>1600</v>
      </c>
      <c r="H814" s="672" t="s">
        <v>1798</v>
      </c>
      <c r="I814" s="632">
        <v>1931</v>
      </c>
      <c r="J814" s="615" t="s">
        <v>1599</v>
      </c>
      <c r="K814" s="616">
        <v>4186.24</v>
      </c>
      <c r="L814" s="648">
        <v>1496.12</v>
      </c>
      <c r="M814" s="899">
        <v>5682.36</v>
      </c>
      <c r="N814" s="913">
        <v>4186.24</v>
      </c>
      <c r="O814" s="618">
        <v>0</v>
      </c>
      <c r="P814" s="644">
        <v>100</v>
      </c>
    </row>
    <row r="815" spans="1:16" s="683" customFormat="1" ht="15.75" customHeight="1">
      <c r="A815" s="684" t="s">
        <v>2661</v>
      </c>
      <c r="B815" s="674">
        <v>45267</v>
      </c>
      <c r="C815" s="675" t="s">
        <v>1597</v>
      </c>
      <c r="D815" s="675" t="s">
        <v>1598</v>
      </c>
      <c r="E815" s="676">
        <v>6.2</v>
      </c>
      <c r="F815" s="673" t="s">
        <v>1599</v>
      </c>
      <c r="G815" s="673" t="s">
        <v>1600</v>
      </c>
      <c r="H815" s="677" t="s">
        <v>1809</v>
      </c>
      <c r="I815" s="678">
        <v>15168</v>
      </c>
      <c r="J815" s="679" t="s">
        <v>1599</v>
      </c>
      <c r="K815" s="680">
        <v>3690</v>
      </c>
      <c r="L815" s="681">
        <f t="shared" ref="L815:L839" si="28">M815-K815</f>
        <v>20225.2</v>
      </c>
      <c r="M815" s="905">
        <v>23915.200000000001</v>
      </c>
      <c r="N815" s="917">
        <v>16320</v>
      </c>
      <c r="O815" s="673">
        <v>0</v>
      </c>
      <c r="P815" s="682">
        <v>100</v>
      </c>
    </row>
    <row r="816" spans="1:16" ht="15.75" customHeight="1">
      <c r="A816" s="660" t="s">
        <v>2662</v>
      </c>
      <c r="B816" s="629">
        <v>45268</v>
      </c>
      <c r="C816" s="628" t="s">
        <v>1597</v>
      </c>
      <c r="D816" s="628" t="s">
        <v>1598</v>
      </c>
      <c r="E816" s="630">
        <v>6.2</v>
      </c>
      <c r="F816" s="618" t="s">
        <v>1599</v>
      </c>
      <c r="G816" s="618" t="s">
        <v>1600</v>
      </c>
      <c r="H816" s="672" t="s">
        <v>1963</v>
      </c>
      <c r="I816" s="632">
        <v>14253</v>
      </c>
      <c r="J816" s="654" t="s">
        <v>1599</v>
      </c>
      <c r="K816" s="633">
        <v>3850</v>
      </c>
      <c r="L816" s="643">
        <f t="shared" si="28"/>
        <v>11305.4</v>
      </c>
      <c r="M816" s="901">
        <v>15155.4</v>
      </c>
      <c r="N816" s="912">
        <v>8474.36</v>
      </c>
      <c r="O816" s="618">
        <v>0</v>
      </c>
      <c r="P816" s="644">
        <v>100</v>
      </c>
    </row>
    <row r="817" spans="1:16" s="683" customFormat="1" ht="15.75" customHeight="1">
      <c r="A817" s="684" t="s">
        <v>2663</v>
      </c>
      <c r="B817" s="674">
        <v>45270</v>
      </c>
      <c r="C817" s="675" t="s">
        <v>1597</v>
      </c>
      <c r="D817" s="675" t="s">
        <v>1598</v>
      </c>
      <c r="E817" s="676">
        <v>7.1</v>
      </c>
      <c r="F817" s="673" t="s">
        <v>1599</v>
      </c>
      <c r="G817" s="673" t="s">
        <v>1600</v>
      </c>
      <c r="H817" s="677" t="s">
        <v>1880</v>
      </c>
      <c r="I817" s="678">
        <v>13558</v>
      </c>
      <c r="J817" s="679" t="s">
        <v>1599</v>
      </c>
      <c r="K817" s="680">
        <v>3700</v>
      </c>
      <c r="L817" s="681">
        <f t="shared" si="28"/>
        <v>16362.8</v>
      </c>
      <c r="M817" s="905">
        <v>20062.8</v>
      </c>
      <c r="N817" s="917">
        <v>14035</v>
      </c>
      <c r="O817" s="673">
        <v>0</v>
      </c>
      <c r="P817" s="682">
        <v>100</v>
      </c>
    </row>
    <row r="818" spans="1:16" ht="15.75" customHeight="1">
      <c r="A818" s="660" t="s">
        <v>2664</v>
      </c>
      <c r="B818" s="629">
        <v>45271</v>
      </c>
      <c r="C818" s="628" t="s">
        <v>1597</v>
      </c>
      <c r="D818" s="628" t="s">
        <v>1598</v>
      </c>
      <c r="E818" s="630">
        <v>7.1</v>
      </c>
      <c r="F818" s="618" t="s">
        <v>1599</v>
      </c>
      <c r="G818" s="618" t="s">
        <v>1600</v>
      </c>
      <c r="H818" s="672" t="s">
        <v>1893</v>
      </c>
      <c r="I818" s="632">
        <v>2167</v>
      </c>
      <c r="J818" s="654" t="s">
        <v>1599</v>
      </c>
      <c r="K818" s="633">
        <v>2200</v>
      </c>
      <c r="L818" s="643">
        <f t="shared" si="28"/>
        <v>4442.55</v>
      </c>
      <c r="M818" s="901">
        <v>6642.55</v>
      </c>
      <c r="N818" s="912">
        <v>3332.95</v>
      </c>
      <c r="O818" s="618">
        <v>0</v>
      </c>
      <c r="P818" s="644">
        <v>100</v>
      </c>
    </row>
    <row r="819" spans="1:16" s="683" customFormat="1" ht="15.75" customHeight="1">
      <c r="A819" s="684" t="s">
        <v>2665</v>
      </c>
      <c r="B819" s="674">
        <v>45272</v>
      </c>
      <c r="C819" s="675" t="s">
        <v>1597</v>
      </c>
      <c r="D819" s="675" t="s">
        <v>1598</v>
      </c>
      <c r="E819" s="676">
        <v>6.5</v>
      </c>
      <c r="F819" s="673" t="s">
        <v>1599</v>
      </c>
      <c r="G819" s="673" t="s">
        <v>1600</v>
      </c>
      <c r="H819" s="677" t="s">
        <v>1836</v>
      </c>
      <c r="I819" s="678">
        <v>14544</v>
      </c>
      <c r="J819" s="679" t="s">
        <v>1599</v>
      </c>
      <c r="K819" s="680">
        <v>3840</v>
      </c>
      <c r="L819" s="681">
        <f t="shared" si="28"/>
        <v>17889.099999999999</v>
      </c>
      <c r="M819" s="905">
        <v>21729.1</v>
      </c>
      <c r="N819" s="917">
        <v>14665.2</v>
      </c>
      <c r="O819" s="673">
        <v>0</v>
      </c>
      <c r="P819" s="682">
        <v>100</v>
      </c>
    </row>
    <row r="820" spans="1:16" ht="15.75" customHeight="1">
      <c r="A820" s="660" t="s">
        <v>2666</v>
      </c>
      <c r="B820" s="629">
        <v>45274</v>
      </c>
      <c r="C820" s="628" t="s">
        <v>1597</v>
      </c>
      <c r="D820" s="628" t="s">
        <v>1598</v>
      </c>
      <c r="E820" s="630">
        <v>6.2</v>
      </c>
      <c r="F820" s="618" t="s">
        <v>1599</v>
      </c>
      <c r="G820" s="618" t="s">
        <v>1600</v>
      </c>
      <c r="H820" s="672" t="s">
        <v>1815</v>
      </c>
      <c r="I820" s="632">
        <v>17387</v>
      </c>
      <c r="J820" s="654" t="s">
        <v>1599</v>
      </c>
      <c r="K820" s="633">
        <v>3840</v>
      </c>
      <c r="L820" s="643">
        <f t="shared" si="28"/>
        <v>17170.88</v>
      </c>
      <c r="M820" s="901">
        <v>21010.880000000001</v>
      </c>
      <c r="N820" s="912">
        <v>14892.1</v>
      </c>
      <c r="O820" s="618">
        <v>0</v>
      </c>
      <c r="P820" s="644">
        <v>100</v>
      </c>
    </row>
    <row r="821" spans="1:16" s="683" customFormat="1" ht="15.75" customHeight="1">
      <c r="A821" s="684" t="s">
        <v>2667</v>
      </c>
      <c r="B821" s="674">
        <v>45273</v>
      </c>
      <c r="C821" s="675" t="s">
        <v>1597</v>
      </c>
      <c r="D821" s="675" t="s">
        <v>1598</v>
      </c>
      <c r="E821" s="676">
        <v>6.2</v>
      </c>
      <c r="F821" s="673" t="s">
        <v>1599</v>
      </c>
      <c r="G821" s="673" t="s">
        <v>1600</v>
      </c>
      <c r="H821" s="677" t="s">
        <v>1880</v>
      </c>
      <c r="I821" s="678">
        <v>13558</v>
      </c>
      <c r="J821" s="679" t="s">
        <v>1599</v>
      </c>
      <c r="K821" s="680">
        <v>3700</v>
      </c>
      <c r="L821" s="681">
        <f t="shared" si="28"/>
        <v>19071.599999999999</v>
      </c>
      <c r="M821" s="905">
        <v>22771.599999999999</v>
      </c>
      <c r="N821" s="917">
        <v>15602.4</v>
      </c>
      <c r="O821" s="673">
        <v>0</v>
      </c>
      <c r="P821" s="682">
        <v>100</v>
      </c>
    </row>
    <row r="822" spans="1:16" ht="15.75" customHeight="1">
      <c r="A822" s="660" t="s">
        <v>2668</v>
      </c>
      <c r="B822" s="629">
        <v>45271</v>
      </c>
      <c r="C822" s="628" t="s">
        <v>1597</v>
      </c>
      <c r="D822" s="628" t="s">
        <v>1598</v>
      </c>
      <c r="E822" s="630">
        <v>6.5</v>
      </c>
      <c r="F822" s="618" t="s">
        <v>1599</v>
      </c>
      <c r="G822" s="618" t="s">
        <v>1600</v>
      </c>
      <c r="H822" s="672" t="s">
        <v>1805</v>
      </c>
      <c r="I822" s="632">
        <v>8894</v>
      </c>
      <c r="J822" s="654" t="s">
        <v>1599</v>
      </c>
      <c r="K822" s="633">
        <v>2260</v>
      </c>
      <c r="L822" s="643">
        <f t="shared" si="28"/>
        <v>13467</v>
      </c>
      <c r="M822" s="901">
        <v>15727</v>
      </c>
      <c r="N822" s="912">
        <v>12812.32</v>
      </c>
      <c r="O822" s="618">
        <v>0</v>
      </c>
      <c r="P822" s="644">
        <v>100</v>
      </c>
    </row>
    <row r="823" spans="1:16" s="683" customFormat="1" ht="15.75" customHeight="1">
      <c r="A823" s="684" t="s">
        <v>2669</v>
      </c>
      <c r="B823" s="674">
        <v>45273</v>
      </c>
      <c r="C823" s="675" t="s">
        <v>1597</v>
      </c>
      <c r="D823" s="675" t="s">
        <v>1598</v>
      </c>
      <c r="E823" s="676">
        <v>6</v>
      </c>
      <c r="F823" s="673" t="s">
        <v>1599</v>
      </c>
      <c r="G823" s="673" t="s">
        <v>1600</v>
      </c>
      <c r="H823" s="677" t="s">
        <v>1818</v>
      </c>
      <c r="I823" s="678">
        <v>14000</v>
      </c>
      <c r="J823" s="679" t="s">
        <v>1599</v>
      </c>
      <c r="K823" s="680">
        <v>3820</v>
      </c>
      <c r="L823" s="681">
        <f t="shared" si="28"/>
        <v>18329.919999999998</v>
      </c>
      <c r="M823" s="905">
        <v>22149.919999999998</v>
      </c>
      <c r="N823" s="917">
        <v>16103.96</v>
      </c>
      <c r="O823" s="673">
        <v>0</v>
      </c>
      <c r="P823" s="682">
        <v>100</v>
      </c>
    </row>
    <row r="824" spans="1:16" ht="15.75" customHeight="1">
      <c r="A824" s="660" t="s">
        <v>2670</v>
      </c>
      <c r="B824" s="629">
        <v>45273</v>
      </c>
      <c r="C824" s="628" t="s">
        <v>1597</v>
      </c>
      <c r="D824" s="628" t="s">
        <v>1598</v>
      </c>
      <c r="E824" s="630">
        <v>6</v>
      </c>
      <c r="F824" s="618" t="s">
        <v>1599</v>
      </c>
      <c r="G824" s="618" t="s">
        <v>1600</v>
      </c>
      <c r="H824" s="672" t="s">
        <v>1818</v>
      </c>
      <c r="I824" s="632">
        <v>14000</v>
      </c>
      <c r="J824" s="654" t="s">
        <v>1599</v>
      </c>
      <c r="K824" s="633">
        <v>3750</v>
      </c>
      <c r="L824" s="643">
        <f t="shared" si="28"/>
        <v>17920.98</v>
      </c>
      <c r="M824" s="901">
        <v>21670.98</v>
      </c>
      <c r="N824" s="912">
        <v>15745.74</v>
      </c>
      <c r="O824" s="618">
        <v>0</v>
      </c>
      <c r="P824" s="644">
        <v>100</v>
      </c>
    </row>
    <row r="825" spans="1:16" s="683" customFormat="1" ht="15.75" customHeight="1">
      <c r="A825" s="675" t="s">
        <v>2671</v>
      </c>
      <c r="B825" s="674">
        <v>45273</v>
      </c>
      <c r="C825" s="675" t="s">
        <v>1597</v>
      </c>
      <c r="D825" s="675" t="s">
        <v>1598</v>
      </c>
      <c r="E825" s="676">
        <v>6</v>
      </c>
      <c r="F825" s="673" t="s">
        <v>1599</v>
      </c>
      <c r="G825" s="673" t="s">
        <v>1600</v>
      </c>
      <c r="H825" s="677" t="s">
        <v>1818</v>
      </c>
      <c r="I825" s="678">
        <v>14000</v>
      </c>
      <c r="J825" s="679" t="s">
        <v>1599</v>
      </c>
      <c r="K825" s="680">
        <v>3700</v>
      </c>
      <c r="L825" s="681">
        <f t="shared" si="28"/>
        <v>17629.98</v>
      </c>
      <c r="M825" s="905">
        <v>21329.98</v>
      </c>
      <c r="N825" s="917">
        <v>15474.22</v>
      </c>
      <c r="O825" s="673">
        <v>0</v>
      </c>
      <c r="P825" s="682">
        <v>100</v>
      </c>
    </row>
    <row r="826" spans="1:16" ht="15.75" customHeight="1">
      <c r="A826" s="660" t="s">
        <v>2672</v>
      </c>
      <c r="B826" s="629">
        <v>45273</v>
      </c>
      <c r="C826" s="628" t="s">
        <v>1597</v>
      </c>
      <c r="D826" s="628" t="s">
        <v>1598</v>
      </c>
      <c r="E826" s="630">
        <v>6</v>
      </c>
      <c r="F826" s="618" t="s">
        <v>1599</v>
      </c>
      <c r="G826" s="618" t="s">
        <v>1600</v>
      </c>
      <c r="H826" s="672" t="s">
        <v>1818</v>
      </c>
      <c r="I826" s="632">
        <v>14000</v>
      </c>
      <c r="J826" s="654" t="s">
        <v>1599</v>
      </c>
      <c r="K826" s="633">
        <v>3670</v>
      </c>
      <c r="L826" s="643">
        <f t="shared" si="28"/>
        <v>17937.72</v>
      </c>
      <c r="M826" s="901">
        <v>21607.72</v>
      </c>
      <c r="N826" s="912">
        <v>15964.7</v>
      </c>
      <c r="O826" s="618">
        <v>0</v>
      </c>
      <c r="P826" s="644">
        <v>100</v>
      </c>
    </row>
    <row r="827" spans="1:16" s="683" customFormat="1" ht="15.75" customHeight="1">
      <c r="A827" s="684" t="s">
        <v>2673</v>
      </c>
      <c r="B827" s="674">
        <v>45285</v>
      </c>
      <c r="C827" s="675" t="s">
        <v>1597</v>
      </c>
      <c r="D827" s="675" t="s">
        <v>1598</v>
      </c>
      <c r="E827" s="676">
        <v>3.6</v>
      </c>
      <c r="F827" s="673" t="s">
        <v>1599</v>
      </c>
      <c r="G827" s="673" t="s">
        <v>1600</v>
      </c>
      <c r="H827" s="677" t="s">
        <v>2043</v>
      </c>
      <c r="I827" s="678">
        <v>4220</v>
      </c>
      <c r="J827" s="679" t="s">
        <v>1599</v>
      </c>
      <c r="K827" s="676">
        <v>2210</v>
      </c>
      <c r="L827" s="681">
        <f t="shared" si="28"/>
        <v>5240.3500000000004</v>
      </c>
      <c r="M827" s="905">
        <v>7450.35</v>
      </c>
      <c r="N827" s="917">
        <v>4100.4399999999996</v>
      </c>
      <c r="O827" s="673">
        <v>0</v>
      </c>
      <c r="P827" s="682">
        <v>100</v>
      </c>
    </row>
    <row r="828" spans="1:16" ht="15.75" customHeight="1">
      <c r="A828" s="660" t="s">
        <v>2674</v>
      </c>
      <c r="B828" s="629">
        <v>45273</v>
      </c>
      <c r="C828" s="628" t="s">
        <v>1597</v>
      </c>
      <c r="D828" s="628" t="s">
        <v>1598</v>
      </c>
      <c r="E828" s="630">
        <v>5.8</v>
      </c>
      <c r="F828" s="618" t="s">
        <v>1599</v>
      </c>
      <c r="G828" s="618" t="s">
        <v>1600</v>
      </c>
      <c r="H828" s="672" t="s">
        <v>1850</v>
      </c>
      <c r="I828" s="632">
        <v>9687</v>
      </c>
      <c r="J828" s="654" t="s">
        <v>1599</v>
      </c>
      <c r="K828" s="633">
        <v>3800</v>
      </c>
      <c r="L828" s="643">
        <f t="shared" si="28"/>
        <v>19897</v>
      </c>
      <c r="M828" s="901">
        <v>23697</v>
      </c>
      <c r="N828" s="912">
        <v>18561</v>
      </c>
      <c r="O828" s="618">
        <v>0</v>
      </c>
      <c r="P828" s="644">
        <v>100</v>
      </c>
    </row>
    <row r="829" spans="1:16" s="683" customFormat="1" ht="15.75" customHeight="1">
      <c r="A829" s="684" t="s">
        <v>2675</v>
      </c>
      <c r="B829" s="674">
        <v>45274</v>
      </c>
      <c r="C829" s="675" t="s">
        <v>1597</v>
      </c>
      <c r="D829" s="675" t="s">
        <v>1598</v>
      </c>
      <c r="E829" s="676">
        <v>6.2</v>
      </c>
      <c r="F829" s="673" t="s">
        <v>1599</v>
      </c>
      <c r="G829" s="673" t="s">
        <v>1600</v>
      </c>
      <c r="H829" s="677" t="s">
        <v>1836</v>
      </c>
      <c r="I829" s="678">
        <v>14544</v>
      </c>
      <c r="J829" s="679" t="s">
        <v>1599</v>
      </c>
      <c r="K829" s="680">
        <v>3700</v>
      </c>
      <c r="L829" s="681">
        <f t="shared" si="28"/>
        <v>16362.8</v>
      </c>
      <c r="M829" s="905">
        <v>20062.8</v>
      </c>
      <c r="N829" s="917">
        <v>14035</v>
      </c>
      <c r="O829" s="673">
        <v>0</v>
      </c>
      <c r="P829" s="682">
        <v>100</v>
      </c>
    </row>
    <row r="830" spans="1:16" ht="15.75" customHeight="1">
      <c r="A830" s="660" t="s">
        <v>2676</v>
      </c>
      <c r="B830" s="629">
        <v>45275</v>
      </c>
      <c r="C830" s="628" t="s">
        <v>1597</v>
      </c>
      <c r="D830" s="628" t="s">
        <v>1598</v>
      </c>
      <c r="E830" s="630">
        <v>7.1</v>
      </c>
      <c r="F830" s="618" t="s">
        <v>1599</v>
      </c>
      <c r="G830" s="618" t="s">
        <v>1600</v>
      </c>
      <c r="H830" s="672" t="s">
        <v>1880</v>
      </c>
      <c r="I830" s="632">
        <v>13558</v>
      </c>
      <c r="J830" s="654" t="s">
        <v>1599</v>
      </c>
      <c r="K830" s="633">
        <v>3700</v>
      </c>
      <c r="L830" s="643">
        <f t="shared" si="28"/>
        <v>16362.8</v>
      </c>
      <c r="M830" s="901">
        <v>20062.8</v>
      </c>
      <c r="N830" s="912">
        <v>14035</v>
      </c>
      <c r="O830" s="618">
        <v>0</v>
      </c>
      <c r="P830" s="644">
        <v>100</v>
      </c>
    </row>
    <row r="831" spans="1:16" s="683" customFormat="1" ht="15.75" customHeight="1">
      <c r="A831" s="684" t="s">
        <v>2677</v>
      </c>
      <c r="B831" s="674">
        <v>45275</v>
      </c>
      <c r="C831" s="675" t="s">
        <v>1597</v>
      </c>
      <c r="D831" s="675" t="s">
        <v>1598</v>
      </c>
      <c r="E831" s="676">
        <v>7.1</v>
      </c>
      <c r="F831" s="673" t="s">
        <v>1599</v>
      </c>
      <c r="G831" s="673" t="s">
        <v>1600</v>
      </c>
      <c r="H831" s="677" t="s">
        <v>1880</v>
      </c>
      <c r="I831" s="678">
        <v>13558</v>
      </c>
      <c r="J831" s="679" t="s">
        <v>1599</v>
      </c>
      <c r="K831" s="680">
        <v>3900</v>
      </c>
      <c r="L831" s="681">
        <f t="shared" si="28"/>
        <v>12560</v>
      </c>
      <c r="M831" s="905">
        <v>16460</v>
      </c>
      <c r="N831" s="917">
        <v>9747.4</v>
      </c>
      <c r="O831" s="673">
        <v>0</v>
      </c>
      <c r="P831" s="682">
        <v>100</v>
      </c>
    </row>
    <row r="832" spans="1:16" ht="15.75" customHeight="1">
      <c r="A832" s="660" t="s">
        <v>2678</v>
      </c>
      <c r="B832" s="629">
        <v>45276</v>
      </c>
      <c r="C832" s="628" t="s">
        <v>1597</v>
      </c>
      <c r="D832" s="628" t="s">
        <v>1598</v>
      </c>
      <c r="E832" s="630">
        <v>7.5</v>
      </c>
      <c r="F832" s="618" t="s">
        <v>1599</v>
      </c>
      <c r="G832" s="618" t="s">
        <v>1600</v>
      </c>
      <c r="H832" s="672" t="s">
        <v>1844</v>
      </c>
      <c r="I832" s="632">
        <v>5727</v>
      </c>
      <c r="J832" s="654" t="s">
        <v>1599</v>
      </c>
      <c r="K832" s="633">
        <v>3770</v>
      </c>
      <c r="L832" s="643">
        <f t="shared" si="28"/>
        <v>8217.26</v>
      </c>
      <c r="M832" s="901">
        <v>11987.26</v>
      </c>
      <c r="N832" s="912">
        <v>6143.94</v>
      </c>
      <c r="O832" s="618">
        <v>0</v>
      </c>
      <c r="P832" s="644">
        <v>100</v>
      </c>
    </row>
    <row r="833" spans="1:16" s="683" customFormat="1" ht="15.75" customHeight="1">
      <c r="A833" s="684" t="s">
        <v>2679</v>
      </c>
      <c r="B833" s="674">
        <v>45285</v>
      </c>
      <c r="C833" s="675" t="s">
        <v>1597</v>
      </c>
      <c r="D833" s="675" t="s">
        <v>1598</v>
      </c>
      <c r="E833" s="676">
        <v>5.8</v>
      </c>
      <c r="F833" s="673" t="s">
        <v>1599</v>
      </c>
      <c r="G833" s="673" t="s">
        <v>1600</v>
      </c>
      <c r="H833" s="677" t="s">
        <v>1854</v>
      </c>
      <c r="I833" s="678">
        <v>8865</v>
      </c>
      <c r="J833" s="679" t="s">
        <v>1599</v>
      </c>
      <c r="K833" s="676">
        <v>2150</v>
      </c>
      <c r="L833" s="681">
        <f t="shared" si="28"/>
        <v>11618</v>
      </c>
      <c r="M833" s="905">
        <v>13768</v>
      </c>
      <c r="N833" s="917">
        <v>9875</v>
      </c>
      <c r="O833" s="673">
        <v>0</v>
      </c>
      <c r="P833" s="682">
        <v>100</v>
      </c>
    </row>
    <row r="834" spans="1:16" ht="15.75" customHeight="1">
      <c r="A834" s="660" t="s">
        <v>2680</v>
      </c>
      <c r="B834" s="629">
        <v>45281</v>
      </c>
      <c r="C834" s="628" t="s">
        <v>1597</v>
      </c>
      <c r="D834" s="628" t="s">
        <v>1598</v>
      </c>
      <c r="E834" s="630">
        <v>3.6</v>
      </c>
      <c r="F834" s="618" t="s">
        <v>1599</v>
      </c>
      <c r="G834" s="618" t="s">
        <v>1600</v>
      </c>
      <c r="H834" s="672" t="s">
        <v>1976</v>
      </c>
      <c r="I834" s="632">
        <v>4608</v>
      </c>
      <c r="J834" s="654" t="s">
        <v>1599</v>
      </c>
      <c r="K834" s="633">
        <v>2100</v>
      </c>
      <c r="L834" s="643">
        <f t="shared" si="28"/>
        <v>5349.3</v>
      </c>
      <c r="M834" s="901">
        <v>7449.3</v>
      </c>
      <c r="N834" s="912">
        <v>4211.9799999999996</v>
      </c>
      <c r="O834" s="618">
        <v>0</v>
      </c>
      <c r="P834" s="644">
        <v>100</v>
      </c>
    </row>
    <row r="835" spans="1:16" s="683" customFormat="1" ht="15.75" customHeight="1">
      <c r="A835" s="684" t="s">
        <v>2681</v>
      </c>
      <c r="B835" s="674">
        <v>45275</v>
      </c>
      <c r="C835" s="675" t="s">
        <v>1597</v>
      </c>
      <c r="D835" s="675" t="s">
        <v>1598</v>
      </c>
      <c r="E835" s="676">
        <v>7.1</v>
      </c>
      <c r="F835" s="673" t="s">
        <v>1599</v>
      </c>
      <c r="G835" s="673" t="s">
        <v>1600</v>
      </c>
      <c r="H835" s="677" t="s">
        <v>1809</v>
      </c>
      <c r="I835" s="678">
        <v>15168</v>
      </c>
      <c r="J835" s="679" t="s">
        <v>1599</v>
      </c>
      <c r="K835" s="680">
        <v>3950</v>
      </c>
      <c r="L835" s="681">
        <f t="shared" si="28"/>
        <v>20664.599999999999</v>
      </c>
      <c r="M835" s="905">
        <v>24614.6</v>
      </c>
      <c r="N835" s="917">
        <v>16464</v>
      </c>
      <c r="O835" s="673">
        <v>0</v>
      </c>
      <c r="P835" s="682">
        <v>100</v>
      </c>
    </row>
    <row r="836" spans="1:16" ht="15.75" customHeight="1">
      <c r="A836" s="660" t="s">
        <v>2682</v>
      </c>
      <c r="B836" s="629">
        <v>45278</v>
      </c>
      <c r="C836" s="628" t="s">
        <v>1597</v>
      </c>
      <c r="D836" s="628" t="s">
        <v>1598</v>
      </c>
      <c r="E836" s="630">
        <v>11.9</v>
      </c>
      <c r="F836" s="618" t="s">
        <v>1599</v>
      </c>
      <c r="G836" s="618" t="s">
        <v>1600</v>
      </c>
      <c r="H836" s="672" t="s">
        <v>1807</v>
      </c>
      <c r="I836" s="632">
        <v>1734</v>
      </c>
      <c r="J836" s="654" t="s">
        <v>1599</v>
      </c>
      <c r="K836" s="633">
        <v>3650</v>
      </c>
      <c r="L836" s="643">
        <f t="shared" si="28"/>
        <v>10058.6</v>
      </c>
      <c r="M836" s="901">
        <v>13708.6</v>
      </c>
      <c r="N836" s="912">
        <v>7931.1</v>
      </c>
      <c r="O836" s="618">
        <v>0</v>
      </c>
      <c r="P836" s="644">
        <v>100</v>
      </c>
    </row>
    <row r="837" spans="1:16" s="683" customFormat="1" ht="15.75" customHeight="1">
      <c r="A837" s="684" t="s">
        <v>2683</v>
      </c>
      <c r="B837" s="674">
        <v>45278</v>
      </c>
      <c r="C837" s="675" t="s">
        <v>1597</v>
      </c>
      <c r="D837" s="675" t="s">
        <v>1598</v>
      </c>
      <c r="E837" s="676">
        <v>11.9</v>
      </c>
      <c r="F837" s="673" t="s">
        <v>1599</v>
      </c>
      <c r="G837" s="673" t="s">
        <v>1600</v>
      </c>
      <c r="H837" s="677" t="s">
        <v>1807</v>
      </c>
      <c r="I837" s="678">
        <v>1734</v>
      </c>
      <c r="J837" s="679" t="s">
        <v>1599</v>
      </c>
      <c r="K837" s="680">
        <v>3590</v>
      </c>
      <c r="L837" s="681">
        <f t="shared" si="28"/>
        <v>12342</v>
      </c>
      <c r="M837" s="905">
        <v>15932</v>
      </c>
      <c r="N837" s="917">
        <v>9511</v>
      </c>
      <c r="O837" s="673">
        <v>0</v>
      </c>
      <c r="P837" s="682">
        <v>100</v>
      </c>
    </row>
    <row r="838" spans="1:16" ht="15.75" customHeight="1">
      <c r="A838" s="660" t="s">
        <v>2684</v>
      </c>
      <c r="B838" s="629">
        <v>45278</v>
      </c>
      <c r="C838" s="628" t="s">
        <v>1597</v>
      </c>
      <c r="D838" s="628" t="s">
        <v>1598</v>
      </c>
      <c r="E838" s="630">
        <v>6.5</v>
      </c>
      <c r="F838" s="618" t="s">
        <v>1599</v>
      </c>
      <c r="G838" s="618" t="s">
        <v>1600</v>
      </c>
      <c r="H838" s="672" t="s">
        <v>1963</v>
      </c>
      <c r="I838" s="632">
        <v>14253</v>
      </c>
      <c r="J838" s="654" t="s">
        <v>1599</v>
      </c>
      <c r="K838" s="633">
        <v>3700</v>
      </c>
      <c r="L838" s="643">
        <f t="shared" si="28"/>
        <v>10382.77</v>
      </c>
      <c r="M838" s="901">
        <v>14082.77</v>
      </c>
      <c r="N838" s="912">
        <v>7650.69</v>
      </c>
      <c r="O838" s="618">
        <v>0</v>
      </c>
      <c r="P838" s="644">
        <v>100</v>
      </c>
    </row>
    <row r="839" spans="1:16" s="683" customFormat="1" ht="15.75" customHeight="1">
      <c r="A839" s="684" t="s">
        <v>2685</v>
      </c>
      <c r="B839" s="674">
        <v>45279</v>
      </c>
      <c r="C839" s="675" t="s">
        <v>1597</v>
      </c>
      <c r="D839" s="675" t="s">
        <v>1598</v>
      </c>
      <c r="E839" s="676">
        <v>6.2</v>
      </c>
      <c r="F839" s="673" t="s">
        <v>1599</v>
      </c>
      <c r="G839" s="673" t="s">
        <v>1600</v>
      </c>
      <c r="H839" s="677" t="s">
        <v>1836</v>
      </c>
      <c r="I839" s="678">
        <v>14544</v>
      </c>
      <c r="J839" s="679" t="s">
        <v>1599</v>
      </c>
      <c r="K839" s="680">
        <v>3700</v>
      </c>
      <c r="L839" s="681">
        <f t="shared" si="28"/>
        <v>17889.099999999999</v>
      </c>
      <c r="M839" s="905">
        <v>21589.1</v>
      </c>
      <c r="N839" s="917">
        <v>14665.2</v>
      </c>
      <c r="O839" s="673">
        <v>0</v>
      </c>
      <c r="P839" s="682">
        <v>100</v>
      </c>
    </row>
    <row r="840" spans="1:16" ht="15.75" customHeight="1">
      <c r="A840" s="628" t="s">
        <v>2686</v>
      </c>
      <c r="B840" s="629">
        <v>45279</v>
      </c>
      <c r="C840" s="610" t="s">
        <v>1597</v>
      </c>
      <c r="D840" s="610" t="s">
        <v>1598</v>
      </c>
      <c r="E840" s="612">
        <v>6.5</v>
      </c>
      <c r="F840" s="610" t="s">
        <v>1599</v>
      </c>
      <c r="G840" s="610" t="s">
        <v>1600</v>
      </c>
      <c r="H840" s="672" t="s">
        <v>1846</v>
      </c>
      <c r="I840" s="632">
        <v>5317</v>
      </c>
      <c r="J840" s="615" t="s">
        <v>1599</v>
      </c>
      <c r="K840" s="616">
        <v>2220</v>
      </c>
      <c r="L840" s="648">
        <v>3802.89</v>
      </c>
      <c r="M840" s="899">
        <v>6023</v>
      </c>
      <c r="N840" s="912">
        <v>2636.01</v>
      </c>
      <c r="O840" s="618">
        <v>0</v>
      </c>
      <c r="P840" s="644">
        <v>100</v>
      </c>
    </row>
    <row r="841" spans="1:16" s="683" customFormat="1" ht="15.75" customHeight="1">
      <c r="A841" s="684" t="s">
        <v>2687</v>
      </c>
      <c r="B841" s="674">
        <v>45280</v>
      </c>
      <c r="C841" s="675" t="s">
        <v>1597</v>
      </c>
      <c r="D841" s="675" t="s">
        <v>1598</v>
      </c>
      <c r="E841" s="676">
        <v>6.2</v>
      </c>
      <c r="F841" s="673" t="s">
        <v>1599</v>
      </c>
      <c r="G841" s="673" t="s">
        <v>1600</v>
      </c>
      <c r="H841" s="677" t="s">
        <v>1880</v>
      </c>
      <c r="I841" s="678">
        <v>13558</v>
      </c>
      <c r="J841" s="679" t="s">
        <v>1599</v>
      </c>
      <c r="K841" s="680">
        <v>3700</v>
      </c>
      <c r="L841" s="681">
        <f t="shared" ref="L841:L866" si="29">M841-K841</f>
        <v>19071.599999999999</v>
      </c>
      <c r="M841" s="905">
        <v>22771.599999999999</v>
      </c>
      <c r="N841" s="917">
        <v>15602.4</v>
      </c>
      <c r="O841" s="673">
        <v>0</v>
      </c>
      <c r="P841" s="682">
        <v>100</v>
      </c>
    </row>
    <row r="842" spans="1:16" ht="15.75" customHeight="1">
      <c r="A842" s="660" t="s">
        <v>2688</v>
      </c>
      <c r="B842" s="629">
        <v>45279</v>
      </c>
      <c r="C842" s="628" t="s">
        <v>1597</v>
      </c>
      <c r="D842" s="628" t="s">
        <v>1598</v>
      </c>
      <c r="E842" s="630">
        <v>6.5</v>
      </c>
      <c r="F842" s="618" t="s">
        <v>1599</v>
      </c>
      <c r="G842" s="618" t="s">
        <v>1600</v>
      </c>
      <c r="H842" s="672" t="s">
        <v>1886</v>
      </c>
      <c r="I842" s="632">
        <v>13877</v>
      </c>
      <c r="J842" s="654" t="s">
        <v>1599</v>
      </c>
      <c r="K842" s="633">
        <v>3870</v>
      </c>
      <c r="L842" s="643">
        <f t="shared" si="29"/>
        <v>9774.2000000000007</v>
      </c>
      <c r="M842" s="901">
        <v>13644.2</v>
      </c>
      <c r="N842" s="912">
        <v>6917.4</v>
      </c>
      <c r="O842" s="618">
        <v>0</v>
      </c>
      <c r="P842" s="644">
        <v>100</v>
      </c>
    </row>
    <row r="843" spans="1:16" s="683" customFormat="1" ht="15.75" customHeight="1">
      <c r="A843" s="684" t="s">
        <v>2689</v>
      </c>
      <c r="B843" s="674">
        <v>45281</v>
      </c>
      <c r="C843" s="675" t="s">
        <v>1597</v>
      </c>
      <c r="D843" s="675" t="s">
        <v>1598</v>
      </c>
      <c r="E843" s="676">
        <v>6.5</v>
      </c>
      <c r="F843" s="673" t="s">
        <v>1599</v>
      </c>
      <c r="G843" s="673" t="s">
        <v>1600</v>
      </c>
      <c r="H843" s="677" t="s">
        <v>1886</v>
      </c>
      <c r="I843" s="678">
        <v>13877</v>
      </c>
      <c r="J843" s="679" t="s">
        <v>1599</v>
      </c>
      <c r="K843" s="680">
        <v>3900</v>
      </c>
      <c r="L843" s="681">
        <f t="shared" si="29"/>
        <v>10213.4</v>
      </c>
      <c r="M843" s="905">
        <v>14113.4</v>
      </c>
      <c r="N843" s="917">
        <v>7356.6</v>
      </c>
      <c r="O843" s="673">
        <v>0</v>
      </c>
      <c r="P843" s="682">
        <v>100</v>
      </c>
    </row>
    <row r="844" spans="1:16" ht="15.75" customHeight="1">
      <c r="A844" s="660" t="s">
        <v>2690</v>
      </c>
      <c r="B844" s="629">
        <v>45281</v>
      </c>
      <c r="C844" s="628" t="s">
        <v>1597</v>
      </c>
      <c r="D844" s="628" t="s">
        <v>1598</v>
      </c>
      <c r="E844" s="630">
        <v>6.5</v>
      </c>
      <c r="F844" s="618" t="s">
        <v>1599</v>
      </c>
      <c r="G844" s="618" t="s">
        <v>1600</v>
      </c>
      <c r="H844" s="672" t="s">
        <v>1886</v>
      </c>
      <c r="I844" s="632">
        <v>13877</v>
      </c>
      <c r="J844" s="654" t="s">
        <v>1599</v>
      </c>
      <c r="K844" s="633">
        <v>3840</v>
      </c>
      <c r="L844" s="643">
        <f t="shared" si="29"/>
        <v>10726</v>
      </c>
      <c r="M844" s="901">
        <v>14566</v>
      </c>
      <c r="N844" s="912">
        <v>8196.2000000000007</v>
      </c>
      <c r="O844" s="618">
        <v>0</v>
      </c>
      <c r="P844" s="644">
        <v>100</v>
      </c>
    </row>
    <row r="845" spans="1:16" s="683" customFormat="1" ht="15.75" customHeight="1">
      <c r="A845" s="684" t="s">
        <v>2691</v>
      </c>
      <c r="B845" s="674">
        <v>45280</v>
      </c>
      <c r="C845" s="675" t="s">
        <v>1597</v>
      </c>
      <c r="D845" s="675" t="s">
        <v>1598</v>
      </c>
      <c r="E845" s="676">
        <v>6.5</v>
      </c>
      <c r="F845" s="673" t="s">
        <v>1599</v>
      </c>
      <c r="G845" s="673" t="s">
        <v>1600</v>
      </c>
      <c r="H845" s="677" t="s">
        <v>1886</v>
      </c>
      <c r="I845" s="678">
        <v>13877</v>
      </c>
      <c r="J845" s="679" t="s">
        <v>1599</v>
      </c>
      <c r="K845" s="680">
        <v>3860</v>
      </c>
      <c r="L845" s="681">
        <f t="shared" si="29"/>
        <v>10189.799999999999</v>
      </c>
      <c r="M845" s="905">
        <v>14049.8</v>
      </c>
      <c r="N845" s="917">
        <v>7660</v>
      </c>
      <c r="O845" s="673">
        <v>0</v>
      </c>
      <c r="P845" s="682">
        <v>100</v>
      </c>
    </row>
    <row r="846" spans="1:16" ht="15.75" customHeight="1">
      <c r="A846" s="660" t="s">
        <v>2692</v>
      </c>
      <c r="B846" s="629">
        <v>45280</v>
      </c>
      <c r="C846" s="628" t="s">
        <v>1597</v>
      </c>
      <c r="D846" s="628" t="s">
        <v>1598</v>
      </c>
      <c r="E846" s="630">
        <v>6</v>
      </c>
      <c r="F846" s="618" t="s">
        <v>1599</v>
      </c>
      <c r="G846" s="618" t="s">
        <v>1600</v>
      </c>
      <c r="H846" s="672" t="s">
        <v>1971</v>
      </c>
      <c r="I846" s="632">
        <v>4358</v>
      </c>
      <c r="J846" s="654" t="s">
        <v>1599</v>
      </c>
      <c r="K846" s="633">
        <v>2245</v>
      </c>
      <c r="L846" s="643">
        <f t="shared" si="29"/>
        <v>5353.25</v>
      </c>
      <c r="M846" s="901">
        <v>7598.25</v>
      </c>
      <c r="N846" s="912">
        <v>4242.9399999999996</v>
      </c>
      <c r="O846" s="618">
        <v>0</v>
      </c>
      <c r="P846" s="644">
        <v>100</v>
      </c>
    </row>
    <row r="847" spans="1:16" s="683" customFormat="1" ht="15.75" customHeight="1">
      <c r="A847" s="684" t="s">
        <v>2693</v>
      </c>
      <c r="B847" s="674">
        <v>45282</v>
      </c>
      <c r="C847" s="675" t="s">
        <v>1597</v>
      </c>
      <c r="D847" s="675" t="s">
        <v>1598</v>
      </c>
      <c r="E847" s="676">
        <v>3.6</v>
      </c>
      <c r="F847" s="673" t="s">
        <v>1599</v>
      </c>
      <c r="G847" s="673" t="s">
        <v>1600</v>
      </c>
      <c r="H847" s="677" t="s">
        <v>1965</v>
      </c>
      <c r="I847" s="678">
        <v>5092</v>
      </c>
      <c r="J847" s="679" t="s">
        <v>1599</v>
      </c>
      <c r="K847" s="680">
        <v>2200</v>
      </c>
      <c r="L847" s="681">
        <f t="shared" si="29"/>
        <v>5336.4</v>
      </c>
      <c r="M847" s="905">
        <v>7536.4</v>
      </c>
      <c r="N847" s="917">
        <v>4173.3999999999996</v>
      </c>
      <c r="O847" s="673">
        <v>0</v>
      </c>
      <c r="P847" s="682">
        <v>100</v>
      </c>
    </row>
    <row r="848" spans="1:16" ht="15.75" customHeight="1">
      <c r="A848" s="660" t="s">
        <v>2694</v>
      </c>
      <c r="B848" s="629">
        <v>45285</v>
      </c>
      <c r="C848" s="628" t="s">
        <v>1597</v>
      </c>
      <c r="D848" s="628" t="s">
        <v>1598</v>
      </c>
      <c r="E848" s="630">
        <v>3.6</v>
      </c>
      <c r="F848" s="618" t="s">
        <v>1599</v>
      </c>
      <c r="G848" s="618" t="s">
        <v>1600</v>
      </c>
      <c r="H848" s="672" t="s">
        <v>1932</v>
      </c>
      <c r="I848" s="632">
        <v>4823</v>
      </c>
      <c r="J848" s="654" t="s">
        <v>1599</v>
      </c>
      <c r="K848" s="630">
        <v>2180</v>
      </c>
      <c r="L848" s="643">
        <f t="shared" si="29"/>
        <v>5380.1</v>
      </c>
      <c r="M848" s="901">
        <v>7560.1</v>
      </c>
      <c r="N848" s="912">
        <v>4218.92</v>
      </c>
      <c r="O848" s="618">
        <v>0</v>
      </c>
      <c r="P848" s="644">
        <v>100</v>
      </c>
    </row>
    <row r="849" spans="1:16" s="683" customFormat="1" ht="15.75" customHeight="1">
      <c r="A849" s="684" t="s">
        <v>2695</v>
      </c>
      <c r="B849" s="674">
        <v>45279</v>
      </c>
      <c r="C849" s="675" t="s">
        <v>1597</v>
      </c>
      <c r="D849" s="675" t="s">
        <v>1598</v>
      </c>
      <c r="E849" s="676">
        <v>5.2</v>
      </c>
      <c r="F849" s="673" t="s">
        <v>1599</v>
      </c>
      <c r="G849" s="673" t="s">
        <v>1600</v>
      </c>
      <c r="H849" s="677" t="s">
        <v>1825</v>
      </c>
      <c r="I849" s="678">
        <v>15486</v>
      </c>
      <c r="J849" s="679" t="s">
        <v>1599</v>
      </c>
      <c r="K849" s="680">
        <v>3800</v>
      </c>
      <c r="L849" s="681">
        <f t="shared" si="29"/>
        <v>10906.4</v>
      </c>
      <c r="M849" s="905">
        <v>14706.4</v>
      </c>
      <c r="N849" s="917">
        <v>8324.8799999999992</v>
      </c>
      <c r="O849" s="673">
        <v>0</v>
      </c>
      <c r="P849" s="682">
        <v>100</v>
      </c>
    </row>
    <row r="850" spans="1:16" ht="15.75" customHeight="1">
      <c r="A850" s="660" t="s">
        <v>2696</v>
      </c>
      <c r="B850" s="629">
        <v>45281</v>
      </c>
      <c r="C850" s="628" t="s">
        <v>1597</v>
      </c>
      <c r="D850" s="628" t="s">
        <v>1598</v>
      </c>
      <c r="E850" s="630">
        <v>6.2</v>
      </c>
      <c r="F850" s="618" t="s">
        <v>1599</v>
      </c>
      <c r="G850" s="618" t="s">
        <v>1600</v>
      </c>
      <c r="H850" s="672" t="s">
        <v>1815</v>
      </c>
      <c r="I850" s="632">
        <v>17387</v>
      </c>
      <c r="J850" s="654" t="s">
        <v>1599</v>
      </c>
      <c r="K850" s="633">
        <v>3860</v>
      </c>
      <c r="L850" s="643">
        <f t="shared" si="29"/>
        <v>19049.16</v>
      </c>
      <c r="M850" s="901">
        <v>22909.16</v>
      </c>
      <c r="N850" s="912">
        <v>16904.16</v>
      </c>
      <c r="O850" s="618">
        <v>0</v>
      </c>
      <c r="P850" s="644">
        <v>100</v>
      </c>
    </row>
    <row r="851" spans="1:16" s="683" customFormat="1" ht="15.75" customHeight="1">
      <c r="A851" s="684" t="s">
        <v>2697</v>
      </c>
      <c r="B851" s="674">
        <v>45280</v>
      </c>
      <c r="C851" s="675" t="s">
        <v>1597</v>
      </c>
      <c r="D851" s="675" t="s">
        <v>1598</v>
      </c>
      <c r="E851" s="676">
        <v>6.2</v>
      </c>
      <c r="F851" s="673" t="s">
        <v>1599</v>
      </c>
      <c r="G851" s="673" t="s">
        <v>1600</v>
      </c>
      <c r="H851" s="677" t="s">
        <v>1831</v>
      </c>
      <c r="I851" s="678">
        <v>7283</v>
      </c>
      <c r="J851" s="679" t="s">
        <v>1599</v>
      </c>
      <c r="K851" s="680">
        <v>3700</v>
      </c>
      <c r="L851" s="681">
        <f t="shared" si="29"/>
        <v>24642</v>
      </c>
      <c r="M851" s="905">
        <v>28342</v>
      </c>
      <c r="N851" s="917">
        <v>20093</v>
      </c>
      <c r="O851" s="673">
        <v>0</v>
      </c>
      <c r="P851" s="682">
        <v>100</v>
      </c>
    </row>
    <row r="852" spans="1:16" ht="15.75" customHeight="1">
      <c r="A852" s="660" t="s">
        <v>2698</v>
      </c>
      <c r="B852" s="629">
        <v>45279</v>
      </c>
      <c r="C852" s="628" t="s">
        <v>1597</v>
      </c>
      <c r="D852" s="628" t="s">
        <v>1598</v>
      </c>
      <c r="E852" s="630">
        <v>5.2</v>
      </c>
      <c r="F852" s="618" t="s">
        <v>1599</v>
      </c>
      <c r="G852" s="618" t="s">
        <v>1600</v>
      </c>
      <c r="H852" s="672" t="s">
        <v>1825</v>
      </c>
      <c r="I852" s="632">
        <v>15486</v>
      </c>
      <c r="J852" s="654" t="s">
        <v>1599</v>
      </c>
      <c r="K852" s="633">
        <v>3700</v>
      </c>
      <c r="L852" s="643">
        <f t="shared" si="29"/>
        <v>10588</v>
      </c>
      <c r="M852" s="901">
        <v>14288</v>
      </c>
      <c r="N852" s="912">
        <v>7899</v>
      </c>
      <c r="O852" s="618">
        <v>0</v>
      </c>
      <c r="P852" s="644">
        <v>100</v>
      </c>
    </row>
    <row r="853" spans="1:16" s="683" customFormat="1" ht="15.75" customHeight="1">
      <c r="A853" s="684" t="s">
        <v>2699</v>
      </c>
      <c r="B853" s="674">
        <v>45282</v>
      </c>
      <c r="C853" s="675" t="s">
        <v>1597</v>
      </c>
      <c r="D853" s="675" t="s">
        <v>1598</v>
      </c>
      <c r="E853" s="676">
        <v>6.2</v>
      </c>
      <c r="F853" s="673" t="s">
        <v>1599</v>
      </c>
      <c r="G853" s="673" t="s">
        <v>1600</v>
      </c>
      <c r="H853" s="677" t="s">
        <v>1836</v>
      </c>
      <c r="I853" s="678">
        <v>14544</v>
      </c>
      <c r="J853" s="679" t="s">
        <v>1599</v>
      </c>
      <c r="K853" s="680">
        <v>3800</v>
      </c>
      <c r="L853" s="681">
        <f t="shared" si="29"/>
        <v>16362.8</v>
      </c>
      <c r="M853" s="905">
        <v>20162.8</v>
      </c>
      <c r="N853" s="917">
        <v>14035</v>
      </c>
      <c r="O853" s="673">
        <v>0</v>
      </c>
      <c r="P853" s="682">
        <v>100</v>
      </c>
    </row>
    <row r="854" spans="1:16" ht="15.75" customHeight="1">
      <c r="A854" s="660" t="s">
        <v>2700</v>
      </c>
      <c r="B854" s="629">
        <v>45281</v>
      </c>
      <c r="C854" s="628" t="s">
        <v>1597</v>
      </c>
      <c r="D854" s="628" t="s">
        <v>1598</v>
      </c>
      <c r="E854" s="630">
        <v>6.2</v>
      </c>
      <c r="F854" s="618" t="s">
        <v>1599</v>
      </c>
      <c r="G854" s="618" t="s">
        <v>1600</v>
      </c>
      <c r="H854" s="672" t="s">
        <v>1836</v>
      </c>
      <c r="I854" s="632">
        <v>14544</v>
      </c>
      <c r="J854" s="654" t="s">
        <v>1599</v>
      </c>
      <c r="K854" s="633">
        <v>3840</v>
      </c>
      <c r="L854" s="643">
        <f t="shared" si="29"/>
        <v>16362.8</v>
      </c>
      <c r="M854" s="901">
        <v>20202.8</v>
      </c>
      <c r="N854" s="912">
        <v>14035</v>
      </c>
      <c r="O854" s="618">
        <v>0</v>
      </c>
      <c r="P854" s="644">
        <v>100</v>
      </c>
    </row>
    <row r="855" spans="1:16" s="683" customFormat="1" ht="15.75" customHeight="1">
      <c r="A855" s="684" t="s">
        <v>2701</v>
      </c>
      <c r="B855" s="674">
        <v>45282</v>
      </c>
      <c r="C855" s="675" t="s">
        <v>1597</v>
      </c>
      <c r="D855" s="675" t="s">
        <v>1598</v>
      </c>
      <c r="E855" s="676">
        <v>6.5</v>
      </c>
      <c r="F855" s="673" t="s">
        <v>1599</v>
      </c>
      <c r="G855" s="673" t="s">
        <v>1600</v>
      </c>
      <c r="H855" s="677" t="s">
        <v>1836</v>
      </c>
      <c r="I855" s="678">
        <v>14544</v>
      </c>
      <c r="J855" s="679" t="s">
        <v>1599</v>
      </c>
      <c r="K855" s="680">
        <v>3840</v>
      </c>
      <c r="L855" s="681">
        <f t="shared" si="29"/>
        <v>19071.599999999999</v>
      </c>
      <c r="M855" s="905">
        <v>22911.599999999999</v>
      </c>
      <c r="N855" s="917">
        <v>15602.4</v>
      </c>
      <c r="O855" s="673">
        <v>0</v>
      </c>
      <c r="P855" s="682">
        <v>100</v>
      </c>
    </row>
    <row r="856" spans="1:16" ht="15.75" customHeight="1">
      <c r="A856" s="660" t="s">
        <v>2702</v>
      </c>
      <c r="B856" s="629">
        <v>45282</v>
      </c>
      <c r="C856" s="628" t="s">
        <v>1597</v>
      </c>
      <c r="D856" s="628" t="s">
        <v>1598</v>
      </c>
      <c r="E856" s="630">
        <v>6.2</v>
      </c>
      <c r="F856" s="618" t="s">
        <v>1599</v>
      </c>
      <c r="G856" s="618" t="s">
        <v>1600</v>
      </c>
      <c r="H856" s="672" t="s">
        <v>1963</v>
      </c>
      <c r="I856" s="632">
        <v>14253</v>
      </c>
      <c r="J856" s="654" t="s">
        <v>1599</v>
      </c>
      <c r="K856" s="633">
        <v>3700</v>
      </c>
      <c r="L856" s="643">
        <f t="shared" si="29"/>
        <v>10865.66</v>
      </c>
      <c r="M856" s="907">
        <v>14565.66</v>
      </c>
      <c r="N856" s="912">
        <v>8109.74</v>
      </c>
      <c r="O856" s="618">
        <v>0</v>
      </c>
      <c r="P856" s="644">
        <v>100</v>
      </c>
    </row>
    <row r="857" spans="1:16" s="683" customFormat="1" ht="15.75" customHeight="1">
      <c r="A857" s="684" t="s">
        <v>2703</v>
      </c>
      <c r="B857" s="674">
        <v>45283</v>
      </c>
      <c r="C857" s="675" t="s">
        <v>1597</v>
      </c>
      <c r="D857" s="675" t="s">
        <v>1598</v>
      </c>
      <c r="E857" s="676">
        <v>6.5</v>
      </c>
      <c r="F857" s="673" t="s">
        <v>1599</v>
      </c>
      <c r="G857" s="673" t="s">
        <v>1600</v>
      </c>
      <c r="H857" s="677" t="s">
        <v>1884</v>
      </c>
      <c r="I857" s="678">
        <v>13413</v>
      </c>
      <c r="J857" s="679" t="s">
        <v>1599</v>
      </c>
      <c r="K857" s="680">
        <v>3700</v>
      </c>
      <c r="L857" s="681">
        <f t="shared" si="29"/>
        <v>12560</v>
      </c>
      <c r="M857" s="905">
        <v>16260</v>
      </c>
      <c r="N857" s="917">
        <v>9747.4</v>
      </c>
      <c r="O857" s="673">
        <v>0</v>
      </c>
      <c r="P857" s="682">
        <v>100</v>
      </c>
    </row>
    <row r="858" spans="1:16" ht="15.75" customHeight="1">
      <c r="A858" s="628" t="s">
        <v>2704</v>
      </c>
      <c r="B858" s="629">
        <v>45285</v>
      </c>
      <c r="C858" s="628" t="s">
        <v>1597</v>
      </c>
      <c r="D858" s="628" t="s">
        <v>1598</v>
      </c>
      <c r="E858" s="630">
        <v>6.5</v>
      </c>
      <c r="F858" s="618" t="s">
        <v>1599</v>
      </c>
      <c r="G858" s="618" t="s">
        <v>1600</v>
      </c>
      <c r="H858" s="672" t="s">
        <v>1884</v>
      </c>
      <c r="I858" s="632">
        <v>13413</v>
      </c>
      <c r="J858" s="654" t="s">
        <v>1599</v>
      </c>
      <c r="K858" s="630">
        <v>3750</v>
      </c>
      <c r="L858" s="643">
        <f t="shared" si="29"/>
        <v>16362.8</v>
      </c>
      <c r="M858" s="901">
        <v>20112.8</v>
      </c>
      <c r="N858" s="912">
        <v>14035</v>
      </c>
      <c r="O858" s="618">
        <v>0</v>
      </c>
      <c r="P858" s="644">
        <v>100</v>
      </c>
    </row>
    <row r="859" spans="1:16" s="683" customFormat="1" ht="15.75" customHeight="1">
      <c r="A859" s="684" t="s">
        <v>2705</v>
      </c>
      <c r="B859" s="674">
        <v>45281</v>
      </c>
      <c r="C859" s="675" t="s">
        <v>1597</v>
      </c>
      <c r="D859" s="675" t="s">
        <v>1598</v>
      </c>
      <c r="E859" s="676">
        <v>6.2</v>
      </c>
      <c r="F859" s="673" t="s">
        <v>1599</v>
      </c>
      <c r="G859" s="673" t="s">
        <v>1600</v>
      </c>
      <c r="H859" s="677" t="s">
        <v>1828</v>
      </c>
      <c r="I859" s="678">
        <v>7448</v>
      </c>
      <c r="J859" s="679" t="s">
        <v>1599</v>
      </c>
      <c r="K859" s="680">
        <v>3890</v>
      </c>
      <c r="L859" s="681">
        <f t="shared" si="29"/>
        <v>23902</v>
      </c>
      <c r="M859" s="905">
        <v>27792</v>
      </c>
      <c r="N859" s="917">
        <v>16992</v>
      </c>
      <c r="O859" s="673">
        <v>0</v>
      </c>
      <c r="P859" s="682">
        <v>100</v>
      </c>
    </row>
    <row r="860" spans="1:16" ht="15.75" customHeight="1">
      <c r="A860" s="660" t="s">
        <v>2706</v>
      </c>
      <c r="B860" s="629">
        <v>45280</v>
      </c>
      <c r="C860" s="628" t="s">
        <v>1597</v>
      </c>
      <c r="D860" s="628" t="s">
        <v>1598</v>
      </c>
      <c r="E860" s="630">
        <v>6.2</v>
      </c>
      <c r="F860" s="618" t="s">
        <v>1599</v>
      </c>
      <c r="G860" s="618" t="s">
        <v>1600</v>
      </c>
      <c r="H860" s="672" t="s">
        <v>1828</v>
      </c>
      <c r="I860" s="632">
        <v>7448</v>
      </c>
      <c r="J860" s="654" t="s">
        <v>1599</v>
      </c>
      <c r="K860" s="633">
        <v>3900</v>
      </c>
      <c r="L860" s="643">
        <f t="shared" si="29"/>
        <v>19352</v>
      </c>
      <c r="M860" s="901">
        <v>23252</v>
      </c>
      <c r="N860" s="912">
        <v>15181.5</v>
      </c>
      <c r="O860" s="618">
        <v>0</v>
      </c>
      <c r="P860" s="644">
        <v>100</v>
      </c>
    </row>
    <row r="861" spans="1:16" s="683" customFormat="1" ht="15.75" customHeight="1">
      <c r="A861" s="684" t="s">
        <v>2707</v>
      </c>
      <c r="B861" s="674">
        <v>45280</v>
      </c>
      <c r="C861" s="675" t="s">
        <v>1597</v>
      </c>
      <c r="D861" s="675" t="s">
        <v>1598</v>
      </c>
      <c r="E861" s="676">
        <v>6.2</v>
      </c>
      <c r="F861" s="673" t="s">
        <v>1599</v>
      </c>
      <c r="G861" s="673" t="s">
        <v>1600</v>
      </c>
      <c r="H861" s="677" t="s">
        <v>1828</v>
      </c>
      <c r="I861" s="678">
        <v>7448</v>
      </c>
      <c r="J861" s="679" t="s">
        <v>1599</v>
      </c>
      <c r="K861" s="680">
        <v>3850</v>
      </c>
      <c r="L861" s="681">
        <f t="shared" si="29"/>
        <v>24732</v>
      </c>
      <c r="M861" s="905">
        <v>28582</v>
      </c>
      <c r="N861" s="917">
        <v>21189.5</v>
      </c>
      <c r="O861" s="673">
        <v>0</v>
      </c>
      <c r="P861" s="682">
        <v>100</v>
      </c>
    </row>
    <row r="862" spans="1:16" ht="15.75" customHeight="1">
      <c r="A862" s="660" t="s">
        <v>2708</v>
      </c>
      <c r="B862" s="629">
        <v>45280</v>
      </c>
      <c r="C862" s="628" t="s">
        <v>1597</v>
      </c>
      <c r="D862" s="628" t="s">
        <v>1598</v>
      </c>
      <c r="E862" s="630">
        <v>6.2</v>
      </c>
      <c r="F862" s="618" t="s">
        <v>1599</v>
      </c>
      <c r="G862" s="618" t="s">
        <v>1600</v>
      </c>
      <c r="H862" s="672" t="s">
        <v>1828</v>
      </c>
      <c r="I862" s="632">
        <v>7448</v>
      </c>
      <c r="J862" s="654" t="s">
        <v>1599</v>
      </c>
      <c r="K862" s="633">
        <v>3680</v>
      </c>
      <c r="L862" s="643">
        <f t="shared" si="29"/>
        <v>25007</v>
      </c>
      <c r="M862" s="901">
        <v>28687</v>
      </c>
      <c r="N862" s="912">
        <v>21405</v>
      </c>
      <c r="O862" s="618">
        <v>0</v>
      </c>
      <c r="P862" s="644">
        <v>100</v>
      </c>
    </row>
    <row r="863" spans="1:16" s="683" customFormat="1" ht="15.75" customHeight="1">
      <c r="A863" s="684" t="s">
        <v>2709</v>
      </c>
      <c r="B863" s="674">
        <v>45280</v>
      </c>
      <c r="C863" s="675" t="s">
        <v>1597</v>
      </c>
      <c r="D863" s="675" t="s">
        <v>1598</v>
      </c>
      <c r="E863" s="676">
        <v>6.2</v>
      </c>
      <c r="F863" s="673" t="s">
        <v>1599</v>
      </c>
      <c r="G863" s="673" t="s">
        <v>1600</v>
      </c>
      <c r="H863" s="677" t="s">
        <v>1828</v>
      </c>
      <c r="I863" s="678">
        <v>7448</v>
      </c>
      <c r="J863" s="679" t="s">
        <v>1599</v>
      </c>
      <c r="K863" s="680">
        <v>3750</v>
      </c>
      <c r="L863" s="681">
        <f t="shared" si="29"/>
        <v>12202</v>
      </c>
      <c r="M863" s="905">
        <v>15952</v>
      </c>
      <c r="N863" s="917">
        <v>6797.5</v>
      </c>
      <c r="O863" s="673">
        <v>0</v>
      </c>
      <c r="P863" s="682">
        <v>100</v>
      </c>
    </row>
    <row r="864" spans="1:16" ht="15.75" customHeight="1">
      <c r="A864" s="660" t="s">
        <v>2710</v>
      </c>
      <c r="B864" s="629">
        <v>45281</v>
      </c>
      <c r="C864" s="628" t="s">
        <v>1597</v>
      </c>
      <c r="D864" s="628" t="s">
        <v>1598</v>
      </c>
      <c r="E864" s="630">
        <v>6.2</v>
      </c>
      <c r="F864" s="618" t="s">
        <v>1599</v>
      </c>
      <c r="G864" s="618" t="s">
        <v>1600</v>
      </c>
      <c r="H864" s="672" t="s">
        <v>1828</v>
      </c>
      <c r="I864" s="632">
        <v>7448</v>
      </c>
      <c r="J864" s="654" t="s">
        <v>1599</v>
      </c>
      <c r="K864" s="633">
        <v>3750</v>
      </c>
      <c r="L864" s="643">
        <f t="shared" si="29"/>
        <v>19227</v>
      </c>
      <c r="M864" s="901">
        <v>22977</v>
      </c>
      <c r="N864" s="912">
        <v>14621</v>
      </c>
      <c r="O864" s="618">
        <v>0</v>
      </c>
      <c r="P864" s="644">
        <v>100</v>
      </c>
    </row>
    <row r="865" spans="1:16" s="683" customFormat="1" ht="15.75" customHeight="1">
      <c r="A865" s="684" t="s">
        <v>2711</v>
      </c>
      <c r="B865" s="674">
        <v>45282</v>
      </c>
      <c r="C865" s="675" t="s">
        <v>1597</v>
      </c>
      <c r="D865" s="675" t="s">
        <v>1598</v>
      </c>
      <c r="E865" s="676">
        <v>6</v>
      </c>
      <c r="F865" s="673" t="s">
        <v>1599</v>
      </c>
      <c r="G865" s="673" t="s">
        <v>1600</v>
      </c>
      <c r="H865" s="677" t="s">
        <v>1838</v>
      </c>
      <c r="I865" s="678">
        <v>4972</v>
      </c>
      <c r="J865" s="679" t="s">
        <v>1599</v>
      </c>
      <c r="K865" s="680">
        <v>2210</v>
      </c>
      <c r="L865" s="681">
        <f t="shared" si="29"/>
        <v>5689.66</v>
      </c>
      <c r="M865" s="905">
        <v>7899.66</v>
      </c>
      <c r="N865" s="917">
        <v>4646.82</v>
      </c>
      <c r="O865" s="673">
        <v>0</v>
      </c>
      <c r="P865" s="682">
        <v>100</v>
      </c>
    </row>
    <row r="866" spans="1:16" ht="15.75" customHeight="1">
      <c r="A866" s="660" t="s">
        <v>2712</v>
      </c>
      <c r="B866" s="629">
        <v>45285</v>
      </c>
      <c r="C866" s="628" t="s">
        <v>1597</v>
      </c>
      <c r="D866" s="628" t="s">
        <v>1598</v>
      </c>
      <c r="E866" s="630">
        <v>6</v>
      </c>
      <c r="F866" s="618" t="s">
        <v>1599</v>
      </c>
      <c r="G866" s="618" t="s">
        <v>1600</v>
      </c>
      <c r="H866" s="672" t="s">
        <v>1846</v>
      </c>
      <c r="I866" s="632">
        <v>5317</v>
      </c>
      <c r="J866" s="654" t="s">
        <v>1599</v>
      </c>
      <c r="K866" s="630">
        <v>2245</v>
      </c>
      <c r="L866" s="643">
        <f t="shared" si="29"/>
        <v>3794.7200000000003</v>
      </c>
      <c r="M866" s="901">
        <v>6039.72</v>
      </c>
      <c r="N866" s="912">
        <v>2768.85</v>
      </c>
      <c r="O866" s="618">
        <v>0</v>
      </c>
      <c r="P866" s="644">
        <v>100</v>
      </c>
    </row>
    <row r="867" spans="1:16" ht="15.75" customHeight="1">
      <c r="A867" s="638"/>
      <c r="B867" s="638"/>
      <c r="C867" s="638"/>
      <c r="D867" s="638"/>
      <c r="E867" s="637"/>
      <c r="F867" s="634"/>
      <c r="G867" s="634"/>
      <c r="H867" s="638"/>
      <c r="I867" s="690"/>
      <c r="J867" s="638"/>
      <c r="K867" s="637"/>
      <c r="L867" s="638"/>
      <c r="M867" s="637"/>
      <c r="N867" s="634"/>
      <c r="O867" s="638"/>
      <c r="P867" s="638"/>
    </row>
    <row r="868" spans="1:16" ht="15.75" customHeight="1">
      <c r="A868" s="631"/>
      <c r="B868" s="631"/>
      <c r="C868" s="631"/>
      <c r="D868" s="631"/>
      <c r="E868" s="630"/>
      <c r="F868" s="628"/>
      <c r="G868" s="628"/>
      <c r="H868" s="631"/>
      <c r="I868" s="691"/>
      <c r="J868" s="631"/>
      <c r="K868" s="630"/>
      <c r="L868" s="631"/>
      <c r="M868" s="630"/>
      <c r="N868" s="628"/>
      <c r="O868" s="631"/>
      <c r="P868" s="631"/>
    </row>
    <row r="869" spans="1:16" ht="15.75" customHeight="1">
      <c r="A869" s="638"/>
      <c r="B869" s="638"/>
      <c r="C869" s="638"/>
      <c r="D869" s="638"/>
      <c r="E869" s="637"/>
      <c r="F869" s="634"/>
      <c r="G869" s="634"/>
      <c r="H869" s="638"/>
      <c r="I869" s="690"/>
      <c r="J869" s="638"/>
      <c r="K869" s="637"/>
      <c r="L869" s="638"/>
      <c r="M869" s="637"/>
      <c r="N869" s="634"/>
      <c r="O869" s="638"/>
      <c r="P869" s="638"/>
    </row>
    <row r="870" spans="1:16" ht="15.75" customHeight="1">
      <c r="A870" s="631"/>
      <c r="B870" s="631"/>
      <c r="C870" s="631"/>
      <c r="D870" s="631"/>
      <c r="E870" s="630"/>
      <c r="F870" s="628"/>
      <c r="G870" s="628"/>
      <c r="H870" s="631"/>
      <c r="I870" s="691"/>
      <c r="J870" s="631"/>
      <c r="K870" s="630"/>
      <c r="L870" s="631"/>
      <c r="M870" s="630"/>
      <c r="N870" s="628"/>
      <c r="O870" s="631"/>
      <c r="P870" s="631"/>
    </row>
    <row r="871" spans="1:16" ht="15.75" customHeight="1">
      <c r="A871" s="638"/>
      <c r="B871" s="638"/>
      <c r="C871" s="638"/>
      <c r="D871" s="638"/>
      <c r="E871" s="637"/>
      <c r="F871" s="634"/>
      <c r="G871" s="634"/>
      <c r="H871" s="638"/>
      <c r="I871" s="690"/>
      <c r="J871" s="638"/>
      <c r="K871" s="637"/>
      <c r="L871" s="638"/>
      <c r="M871" s="637"/>
      <c r="N871" s="634"/>
      <c r="O871" s="638"/>
      <c r="P871" s="638"/>
    </row>
    <row r="872" spans="1:16" ht="15.75" customHeight="1">
      <c r="A872" s="631"/>
      <c r="B872" s="631"/>
      <c r="C872" s="631"/>
      <c r="D872" s="631"/>
      <c r="E872" s="630"/>
      <c r="F872" s="628"/>
      <c r="G872" s="628"/>
      <c r="H872" s="631"/>
      <c r="I872" s="691"/>
      <c r="J872" s="631"/>
      <c r="K872" s="630"/>
      <c r="L872" s="631"/>
      <c r="M872" s="630"/>
      <c r="N872" s="628"/>
      <c r="O872" s="631"/>
      <c r="P872" s="631"/>
    </row>
    <row r="873" spans="1:16" ht="15.75" customHeight="1">
      <c r="A873" s="638"/>
      <c r="B873" s="638"/>
      <c r="C873" s="638"/>
      <c r="D873" s="638"/>
      <c r="E873" s="637"/>
      <c r="F873" s="634"/>
      <c r="G873" s="634"/>
      <c r="H873" s="638"/>
      <c r="I873" s="690"/>
      <c r="J873" s="638"/>
      <c r="K873" s="637"/>
      <c r="L873" s="638"/>
      <c r="M873" s="637"/>
      <c r="N873" s="634"/>
      <c r="O873" s="638"/>
      <c r="P873" s="638"/>
    </row>
    <row r="874" spans="1:16" ht="15.75" customHeight="1">
      <c r="A874" s="631"/>
      <c r="B874" s="631"/>
      <c r="C874" s="631"/>
      <c r="D874" s="631"/>
      <c r="E874" s="630"/>
      <c r="F874" s="628"/>
      <c r="G874" s="628"/>
      <c r="H874" s="631"/>
      <c r="I874" s="691"/>
      <c r="J874" s="631"/>
      <c r="K874" s="630"/>
      <c r="L874" s="631"/>
      <c r="M874" s="630"/>
      <c r="N874" s="628"/>
      <c r="O874" s="631"/>
      <c r="P874" s="631"/>
    </row>
    <row r="875" spans="1:16" ht="15.75" customHeight="1">
      <c r="A875" s="638"/>
      <c r="B875" s="638"/>
      <c r="C875" s="638"/>
      <c r="D875" s="638"/>
      <c r="E875" s="637"/>
      <c r="F875" s="634"/>
      <c r="G875" s="634"/>
      <c r="H875" s="638"/>
      <c r="I875" s="690"/>
      <c r="J875" s="638"/>
      <c r="K875" s="637"/>
      <c r="L875" s="638"/>
      <c r="M875" s="637"/>
      <c r="N875" s="634"/>
      <c r="O875" s="638"/>
      <c r="P875" s="638"/>
    </row>
    <row r="876" spans="1:16" ht="15.75" customHeight="1">
      <c r="A876" s="631"/>
      <c r="B876" s="631"/>
      <c r="C876" s="631"/>
      <c r="D876" s="631"/>
      <c r="E876" s="630"/>
      <c r="F876" s="628"/>
      <c r="G876" s="628"/>
      <c r="H876" s="631"/>
      <c r="I876" s="691"/>
      <c r="J876" s="631"/>
      <c r="K876" s="630"/>
      <c r="L876" s="631"/>
      <c r="M876" s="630"/>
      <c r="N876" s="628"/>
      <c r="O876" s="631"/>
      <c r="P876" s="631"/>
    </row>
    <row r="877" spans="1:16" ht="15.75" customHeight="1">
      <c r="A877" s="638"/>
      <c r="B877" s="638"/>
      <c r="C877" s="638"/>
      <c r="D877" s="638"/>
      <c r="E877" s="637"/>
      <c r="F877" s="634"/>
      <c r="G877" s="634"/>
      <c r="H877" s="638"/>
      <c r="I877" s="690"/>
      <c r="J877" s="638"/>
      <c r="K877" s="637"/>
      <c r="L877" s="638"/>
      <c r="M877" s="637"/>
      <c r="N877" s="634"/>
      <c r="O877" s="638"/>
      <c r="P877" s="638"/>
    </row>
    <row r="878" spans="1:16" ht="15.75" customHeight="1">
      <c r="A878" s="631"/>
      <c r="B878" s="631"/>
      <c r="C878" s="631"/>
      <c r="D878" s="631"/>
      <c r="E878" s="630"/>
      <c r="F878" s="628"/>
      <c r="G878" s="628"/>
      <c r="H878" s="631"/>
      <c r="I878" s="691"/>
      <c r="J878" s="631"/>
      <c r="K878" s="630"/>
      <c r="L878" s="631"/>
      <c r="M878" s="630"/>
      <c r="N878" s="628"/>
      <c r="O878" s="631"/>
      <c r="P878" s="631"/>
    </row>
    <row r="879" spans="1:16" ht="15.75" customHeight="1">
      <c r="A879" s="638"/>
      <c r="B879" s="638"/>
      <c r="C879" s="638"/>
      <c r="D879" s="638"/>
      <c r="E879" s="637"/>
      <c r="F879" s="634"/>
      <c r="G879" s="634"/>
      <c r="H879" s="638"/>
      <c r="I879" s="690"/>
      <c r="J879" s="638"/>
      <c r="K879" s="637"/>
      <c r="L879" s="638"/>
      <c r="M879" s="637"/>
      <c r="N879" s="634"/>
      <c r="O879" s="638"/>
      <c r="P879" s="638"/>
    </row>
    <row r="880" spans="1:16" ht="15.75" customHeight="1">
      <c r="A880" s="631"/>
      <c r="B880" s="631"/>
      <c r="C880" s="631"/>
      <c r="D880" s="631"/>
      <c r="E880" s="630"/>
      <c r="F880" s="628"/>
      <c r="G880" s="628"/>
      <c r="H880" s="631"/>
      <c r="I880" s="691"/>
      <c r="J880" s="631"/>
      <c r="K880" s="630"/>
      <c r="L880" s="631"/>
      <c r="M880" s="630"/>
      <c r="N880" s="628"/>
      <c r="O880" s="631"/>
      <c r="P880" s="631"/>
    </row>
    <row r="881" spans="1:16" ht="15.75" customHeight="1">
      <c r="A881" s="638"/>
      <c r="B881" s="638"/>
      <c r="C881" s="638"/>
      <c r="D881" s="638"/>
      <c r="E881" s="637"/>
      <c r="F881" s="634"/>
      <c r="G881" s="634"/>
      <c r="H881" s="638"/>
      <c r="I881" s="690"/>
      <c r="J881" s="638"/>
      <c r="K881" s="637"/>
      <c r="L881" s="638"/>
      <c r="M881" s="637"/>
      <c r="N881" s="634"/>
      <c r="O881" s="638"/>
      <c r="P881" s="638"/>
    </row>
    <row r="882" spans="1:16" ht="15.75" customHeight="1">
      <c r="A882" s="631"/>
      <c r="B882" s="631"/>
      <c r="C882" s="631"/>
      <c r="D882" s="631"/>
      <c r="E882" s="630"/>
      <c r="F882" s="628"/>
      <c r="G882" s="628"/>
      <c r="H882" s="631"/>
      <c r="I882" s="691"/>
      <c r="J882" s="631"/>
      <c r="K882" s="630"/>
      <c r="L882" s="631"/>
      <c r="M882" s="630"/>
      <c r="N882" s="628"/>
      <c r="O882" s="631"/>
      <c r="P882" s="631"/>
    </row>
    <row r="883" spans="1:16" ht="15.75" customHeight="1">
      <c r="A883" s="638"/>
      <c r="B883" s="638"/>
      <c r="C883" s="638"/>
      <c r="D883" s="638"/>
      <c r="E883" s="637"/>
      <c r="F883" s="634"/>
      <c r="G883" s="634"/>
      <c r="H883" s="638"/>
      <c r="I883" s="690"/>
      <c r="J883" s="638"/>
      <c r="K883" s="637"/>
      <c r="L883" s="638"/>
      <c r="M883" s="637"/>
      <c r="N883" s="634"/>
      <c r="O883" s="638"/>
      <c r="P883" s="638"/>
    </row>
    <row r="884" spans="1:16" ht="15.75" customHeight="1">
      <c r="A884" s="631"/>
      <c r="B884" s="631"/>
      <c r="C884" s="631"/>
      <c r="D884" s="631"/>
      <c r="E884" s="630"/>
      <c r="F884" s="628"/>
      <c r="G884" s="628"/>
      <c r="H884" s="631"/>
      <c r="I884" s="691"/>
      <c r="J884" s="631"/>
      <c r="K884" s="630"/>
      <c r="L884" s="631"/>
      <c r="M884" s="630"/>
      <c r="N884" s="628"/>
      <c r="O884" s="631"/>
      <c r="P884" s="631"/>
    </row>
    <row r="885" spans="1:16" ht="15.75" customHeight="1">
      <c r="A885" s="638"/>
      <c r="B885" s="638"/>
      <c r="C885" s="638"/>
      <c r="D885" s="638"/>
      <c r="E885" s="637"/>
      <c r="F885" s="634"/>
      <c r="G885" s="634"/>
      <c r="H885" s="638"/>
      <c r="I885" s="690"/>
      <c r="J885" s="638"/>
      <c r="K885" s="637"/>
      <c r="L885" s="638"/>
      <c r="M885" s="637"/>
      <c r="N885" s="634"/>
      <c r="O885" s="638"/>
      <c r="P885" s="638"/>
    </row>
    <row r="886" spans="1:16" ht="15.75" customHeight="1">
      <c r="A886" s="631"/>
      <c r="B886" s="631"/>
      <c r="C886" s="631"/>
      <c r="D886" s="631"/>
      <c r="E886" s="630"/>
      <c r="F886" s="628"/>
      <c r="G886" s="628"/>
      <c r="H886" s="631"/>
      <c r="I886" s="691"/>
      <c r="J886" s="631"/>
      <c r="K886" s="630"/>
      <c r="L886" s="631"/>
      <c r="M886" s="630"/>
      <c r="N886" s="628"/>
      <c r="O886" s="631"/>
      <c r="P886" s="631"/>
    </row>
    <row r="887" spans="1:16" ht="15.75" customHeight="1">
      <c r="A887" s="638"/>
      <c r="B887" s="638"/>
      <c r="C887" s="638"/>
      <c r="D887" s="638"/>
      <c r="E887" s="637"/>
      <c r="F887" s="634"/>
      <c r="G887" s="634"/>
      <c r="H887" s="638"/>
      <c r="I887" s="690"/>
      <c r="J887" s="638"/>
      <c r="K887" s="637"/>
      <c r="L887" s="638"/>
      <c r="M887" s="637"/>
      <c r="N887" s="634"/>
      <c r="O887" s="638"/>
      <c r="P887" s="638"/>
    </row>
    <row r="888" spans="1:16" ht="15.75" customHeight="1">
      <c r="A888" s="631"/>
      <c r="B888" s="631"/>
      <c r="C888" s="631"/>
      <c r="D888" s="631"/>
      <c r="E888" s="630"/>
      <c r="F888" s="628"/>
      <c r="G888" s="628"/>
      <c r="H888" s="631"/>
      <c r="I888" s="691"/>
      <c r="J888" s="631"/>
      <c r="K888" s="630"/>
      <c r="L888" s="631"/>
      <c r="M888" s="630"/>
      <c r="N888" s="628"/>
      <c r="O888" s="631"/>
      <c r="P888" s="631"/>
    </row>
    <row r="889" spans="1:16" ht="15.75" customHeight="1">
      <c r="A889" s="638"/>
      <c r="B889" s="638"/>
      <c r="C889" s="638"/>
      <c r="D889" s="638"/>
      <c r="E889" s="637"/>
      <c r="F889" s="634"/>
      <c r="G889" s="634"/>
      <c r="H889" s="638"/>
      <c r="I889" s="690"/>
      <c r="J889" s="638"/>
      <c r="K889" s="637"/>
      <c r="L889" s="638"/>
      <c r="M889" s="637"/>
      <c r="N889" s="634"/>
      <c r="O889" s="638"/>
      <c r="P889" s="638"/>
    </row>
    <row r="890" spans="1:16" ht="15.75" customHeight="1">
      <c r="A890" s="631"/>
      <c r="B890" s="631"/>
      <c r="C890" s="631"/>
      <c r="D890" s="631"/>
      <c r="E890" s="630"/>
      <c r="F890" s="628"/>
      <c r="G890" s="628"/>
      <c r="H890" s="631"/>
      <c r="I890" s="691"/>
      <c r="J890" s="631"/>
      <c r="K890" s="630"/>
      <c r="L890" s="631"/>
      <c r="M890" s="630"/>
      <c r="N890" s="628"/>
      <c r="O890" s="631"/>
      <c r="P890" s="631"/>
    </row>
    <row r="891" spans="1:16" ht="15.75" customHeight="1">
      <c r="A891" s="638"/>
      <c r="B891" s="638"/>
      <c r="C891" s="638"/>
      <c r="D891" s="638"/>
      <c r="E891" s="637"/>
      <c r="F891" s="634"/>
      <c r="G891" s="634"/>
      <c r="H891" s="638"/>
      <c r="I891" s="690"/>
      <c r="J891" s="638"/>
      <c r="K891" s="637"/>
      <c r="L891" s="638"/>
      <c r="M891" s="637"/>
      <c r="N891" s="634"/>
      <c r="O891" s="638"/>
      <c r="P891" s="638"/>
    </row>
    <row r="892" spans="1:16" ht="15.75" customHeight="1">
      <c r="A892" s="631"/>
      <c r="B892" s="631"/>
      <c r="C892" s="631"/>
      <c r="D892" s="631"/>
      <c r="E892" s="630"/>
      <c r="F892" s="628"/>
      <c r="G892" s="628"/>
      <c r="H892" s="631"/>
      <c r="I892" s="691"/>
      <c r="J892" s="631"/>
      <c r="K892" s="630"/>
      <c r="L892" s="631"/>
      <c r="M892" s="630"/>
      <c r="N892" s="628"/>
      <c r="O892" s="631"/>
      <c r="P892" s="631"/>
    </row>
    <row r="893" spans="1:16" ht="15.75" customHeight="1">
      <c r="A893" s="638"/>
      <c r="B893" s="638"/>
      <c r="C893" s="638"/>
      <c r="D893" s="638"/>
      <c r="E893" s="637"/>
      <c r="F893" s="634"/>
      <c r="G893" s="634"/>
      <c r="H893" s="638"/>
      <c r="I893" s="690"/>
      <c r="J893" s="638"/>
      <c r="K893" s="637"/>
      <c r="L893" s="638"/>
      <c r="M893" s="637"/>
      <c r="N893" s="634"/>
      <c r="O893" s="638"/>
      <c r="P893" s="638"/>
    </row>
    <row r="894" spans="1:16" ht="15.75" customHeight="1">
      <c r="A894" s="631"/>
      <c r="B894" s="631"/>
      <c r="C894" s="631"/>
      <c r="D894" s="631"/>
      <c r="E894" s="630"/>
      <c r="F894" s="628"/>
      <c r="G894" s="628"/>
      <c r="H894" s="631"/>
      <c r="I894" s="691"/>
      <c r="J894" s="631"/>
      <c r="K894" s="630"/>
      <c r="L894" s="631"/>
      <c r="M894" s="630"/>
      <c r="N894" s="628"/>
      <c r="O894" s="631"/>
      <c r="P894" s="631"/>
    </row>
    <row r="895" spans="1:16" ht="15.75" customHeight="1">
      <c r="A895" s="638"/>
      <c r="B895" s="638"/>
      <c r="C895" s="638"/>
      <c r="D895" s="638"/>
      <c r="E895" s="637"/>
      <c r="F895" s="634"/>
      <c r="G895" s="634"/>
      <c r="H895" s="638"/>
      <c r="I895" s="690"/>
      <c r="J895" s="638"/>
      <c r="K895" s="637"/>
      <c r="L895" s="638"/>
      <c r="M895" s="637"/>
      <c r="N895" s="634"/>
      <c r="O895" s="638"/>
      <c r="P895" s="638"/>
    </row>
    <row r="896" spans="1:16" ht="15.75" customHeight="1">
      <c r="A896" s="631"/>
      <c r="B896" s="631"/>
      <c r="C896" s="631"/>
      <c r="D896" s="631"/>
      <c r="E896" s="630"/>
      <c r="F896" s="628"/>
      <c r="G896" s="628"/>
      <c r="H896" s="631"/>
      <c r="I896" s="691"/>
      <c r="J896" s="631"/>
      <c r="K896" s="630"/>
      <c r="L896" s="631"/>
      <c r="M896" s="630"/>
      <c r="N896" s="628"/>
      <c r="O896" s="631"/>
      <c r="P896" s="631"/>
    </row>
    <row r="897" spans="1:16" ht="15.75" customHeight="1">
      <c r="A897" s="638"/>
      <c r="B897" s="638"/>
      <c r="C897" s="638"/>
      <c r="D897" s="638"/>
      <c r="E897" s="637"/>
      <c r="F897" s="634"/>
      <c r="G897" s="634"/>
      <c r="H897" s="638"/>
      <c r="I897" s="690"/>
      <c r="J897" s="638"/>
      <c r="K897" s="637"/>
      <c r="L897" s="638"/>
      <c r="M897" s="637"/>
      <c r="N897" s="634"/>
      <c r="O897" s="638"/>
      <c r="P897" s="638"/>
    </row>
    <row r="898" spans="1:16" ht="15.75" customHeight="1">
      <c r="A898" s="631"/>
      <c r="B898" s="631"/>
      <c r="C898" s="631"/>
      <c r="D898" s="631"/>
      <c r="E898" s="630"/>
      <c r="F898" s="628"/>
      <c r="G898" s="628"/>
      <c r="H898" s="631"/>
      <c r="I898" s="691"/>
      <c r="J898" s="631"/>
      <c r="K898" s="630"/>
      <c r="L898" s="631"/>
      <c r="M898" s="630"/>
      <c r="N898" s="628"/>
      <c r="O898" s="631"/>
      <c r="P898" s="631"/>
    </row>
    <row r="899" spans="1:16" ht="15.75" customHeight="1">
      <c r="A899" s="638"/>
      <c r="B899" s="638"/>
      <c r="C899" s="638"/>
      <c r="D899" s="638"/>
      <c r="E899" s="637"/>
      <c r="F899" s="634"/>
      <c r="G899" s="634"/>
      <c r="H899" s="638"/>
      <c r="I899" s="690"/>
      <c r="J899" s="638"/>
      <c r="K899" s="637"/>
      <c r="L899" s="638"/>
      <c r="M899" s="637"/>
      <c r="N899" s="634"/>
      <c r="O899" s="638"/>
      <c r="P899" s="638"/>
    </row>
    <row r="900" spans="1:16" ht="15.75" customHeight="1">
      <c r="A900" s="631"/>
      <c r="B900" s="631"/>
      <c r="C900" s="631"/>
      <c r="D900" s="631"/>
      <c r="E900" s="630"/>
      <c r="F900" s="628"/>
      <c r="G900" s="628"/>
      <c r="H900" s="631"/>
      <c r="I900" s="691"/>
      <c r="J900" s="631"/>
      <c r="K900" s="630"/>
      <c r="L900" s="631"/>
      <c r="M900" s="630"/>
      <c r="N900" s="628"/>
      <c r="O900" s="631"/>
      <c r="P900" s="631"/>
    </row>
    <row r="901" spans="1:16" ht="15.75" customHeight="1">
      <c r="A901" s="638"/>
      <c r="B901" s="638"/>
      <c r="C901" s="638"/>
      <c r="D901" s="638"/>
      <c r="E901" s="637"/>
      <c r="F901" s="634"/>
      <c r="G901" s="634"/>
      <c r="H901" s="638"/>
      <c r="I901" s="690"/>
      <c r="J901" s="638"/>
      <c r="K901" s="637"/>
      <c r="L901" s="638"/>
      <c r="M901" s="637"/>
      <c r="N901" s="634"/>
      <c r="O901" s="638"/>
      <c r="P901" s="638"/>
    </row>
    <row r="902" spans="1:16" ht="15.75" customHeight="1">
      <c r="A902" s="631"/>
      <c r="B902" s="631"/>
      <c r="C902" s="631"/>
      <c r="D902" s="631"/>
      <c r="E902" s="630"/>
      <c r="F902" s="628"/>
      <c r="G902" s="628"/>
      <c r="H902" s="631"/>
      <c r="I902" s="691"/>
      <c r="J902" s="631"/>
      <c r="K902" s="630"/>
      <c r="L902" s="631"/>
      <c r="M902" s="630"/>
      <c r="N902" s="628"/>
      <c r="O902" s="631"/>
      <c r="P902" s="631"/>
    </row>
    <row r="903" spans="1:16" ht="15.75" customHeight="1">
      <c r="A903" s="638"/>
      <c r="B903" s="638"/>
      <c r="C903" s="638"/>
      <c r="D903" s="638"/>
      <c r="E903" s="637"/>
      <c r="F903" s="634"/>
      <c r="G903" s="634"/>
      <c r="H903" s="638"/>
      <c r="I903" s="690"/>
      <c r="J903" s="638"/>
      <c r="K903" s="637"/>
      <c r="L903" s="638"/>
      <c r="M903" s="637"/>
      <c r="N903" s="634"/>
      <c r="O903" s="638"/>
      <c r="P903" s="638"/>
    </row>
    <row r="904" spans="1:16" ht="15.75" customHeight="1">
      <c r="A904" s="631"/>
      <c r="B904" s="631"/>
      <c r="C904" s="631"/>
      <c r="D904" s="631"/>
      <c r="E904" s="630"/>
      <c r="F904" s="628"/>
      <c r="G904" s="628"/>
      <c r="H904" s="631"/>
      <c r="I904" s="691"/>
      <c r="J904" s="631"/>
      <c r="K904" s="630"/>
      <c r="L904" s="631"/>
      <c r="M904" s="630"/>
      <c r="N904" s="628"/>
      <c r="O904" s="631"/>
      <c r="P904" s="631"/>
    </row>
    <row r="905" spans="1:16" ht="15.75" customHeight="1">
      <c r="A905" s="638"/>
      <c r="B905" s="638"/>
      <c r="C905" s="638"/>
      <c r="D905" s="638"/>
      <c r="E905" s="637"/>
      <c r="F905" s="634"/>
      <c r="G905" s="634"/>
      <c r="H905" s="638"/>
      <c r="I905" s="690"/>
      <c r="J905" s="638"/>
      <c r="K905" s="637"/>
      <c r="L905" s="638"/>
      <c r="M905" s="637"/>
      <c r="N905" s="634"/>
      <c r="O905" s="638"/>
      <c r="P905" s="638"/>
    </row>
    <row r="906" spans="1:16" ht="15.75" customHeight="1">
      <c r="A906" s="631"/>
      <c r="B906" s="631"/>
      <c r="C906" s="631"/>
      <c r="D906" s="631"/>
      <c r="E906" s="630"/>
      <c r="F906" s="628"/>
      <c r="G906" s="628"/>
      <c r="H906" s="631"/>
      <c r="I906" s="691"/>
      <c r="J906" s="631"/>
      <c r="K906" s="630"/>
      <c r="L906" s="631"/>
      <c r="M906" s="630"/>
      <c r="N906" s="628"/>
      <c r="O906" s="631"/>
      <c r="P906" s="631"/>
    </row>
    <row r="907" spans="1:16" ht="15.75" customHeight="1">
      <c r="A907" s="638"/>
      <c r="B907" s="638"/>
      <c r="C907" s="638"/>
      <c r="D907" s="638"/>
      <c r="E907" s="637"/>
      <c r="F907" s="634"/>
      <c r="G907" s="634"/>
      <c r="H907" s="638"/>
      <c r="I907" s="690"/>
      <c r="J907" s="638"/>
      <c r="K907" s="637"/>
      <c r="L907" s="638"/>
      <c r="M907" s="637"/>
      <c r="N907" s="634"/>
      <c r="O907" s="638"/>
      <c r="P907" s="638"/>
    </row>
    <row r="908" spans="1:16" ht="15.75" customHeight="1">
      <c r="A908" s="631"/>
      <c r="B908" s="631"/>
      <c r="C908" s="631"/>
      <c r="D908" s="631"/>
      <c r="E908" s="630"/>
      <c r="F908" s="628"/>
      <c r="G908" s="628"/>
      <c r="H908" s="631"/>
      <c r="I908" s="691"/>
      <c r="J908" s="631"/>
      <c r="K908" s="630"/>
      <c r="L908" s="631"/>
      <c r="M908" s="630"/>
      <c r="N908" s="628"/>
      <c r="O908" s="631"/>
      <c r="P908" s="631"/>
    </row>
    <row r="909" spans="1:16" ht="15.75" customHeight="1">
      <c r="A909" s="638"/>
      <c r="B909" s="638"/>
      <c r="C909" s="638"/>
      <c r="D909" s="638"/>
      <c r="E909" s="637"/>
      <c r="F909" s="634"/>
      <c r="G909" s="634"/>
      <c r="H909" s="638"/>
      <c r="I909" s="690"/>
      <c r="J909" s="638"/>
      <c r="K909" s="637"/>
      <c r="L909" s="638"/>
      <c r="M909" s="637"/>
      <c r="N909" s="634"/>
      <c r="O909" s="638"/>
      <c r="P909" s="638"/>
    </row>
    <row r="910" spans="1:16" ht="15.75" customHeight="1">
      <c r="A910" s="631"/>
      <c r="B910" s="631"/>
      <c r="C910" s="631"/>
      <c r="D910" s="631"/>
      <c r="E910" s="630"/>
      <c r="F910" s="628"/>
      <c r="G910" s="628"/>
      <c r="H910" s="631"/>
      <c r="I910" s="691"/>
      <c r="J910" s="631"/>
      <c r="K910" s="630"/>
      <c r="L910" s="631"/>
      <c r="M910" s="630"/>
      <c r="N910" s="628"/>
      <c r="O910" s="631"/>
      <c r="P910" s="631"/>
    </row>
    <row r="911" spans="1:16" ht="15.75" customHeight="1">
      <c r="A911" s="638"/>
      <c r="B911" s="638"/>
      <c r="C911" s="638"/>
      <c r="D911" s="638"/>
      <c r="E911" s="637"/>
      <c r="F911" s="634"/>
      <c r="G911" s="634"/>
      <c r="H911" s="638"/>
      <c r="I911" s="690"/>
      <c r="J911" s="638"/>
      <c r="K911" s="637"/>
      <c r="L911" s="638"/>
      <c r="M911" s="637"/>
      <c r="N911" s="634"/>
      <c r="O911" s="638"/>
      <c r="P911" s="638"/>
    </row>
    <row r="912" spans="1:16" ht="15.75" customHeight="1">
      <c r="A912" s="631"/>
      <c r="B912" s="631"/>
      <c r="C912" s="631"/>
      <c r="D912" s="631"/>
      <c r="E912" s="630"/>
      <c r="F912" s="628"/>
      <c r="G912" s="628"/>
      <c r="H912" s="631"/>
      <c r="I912" s="691"/>
      <c r="J912" s="631"/>
      <c r="K912" s="630"/>
      <c r="L912" s="631"/>
      <c r="M912" s="630"/>
      <c r="N912" s="628"/>
      <c r="O912" s="631"/>
      <c r="P912" s="631"/>
    </row>
    <row r="913" spans="1:16" ht="15.75" customHeight="1">
      <c r="A913" s="638"/>
      <c r="B913" s="638"/>
      <c r="C913" s="638"/>
      <c r="D913" s="638"/>
      <c r="E913" s="637"/>
      <c r="F913" s="634"/>
      <c r="G913" s="634"/>
      <c r="H913" s="638"/>
      <c r="I913" s="690"/>
      <c r="J913" s="638"/>
      <c r="K913" s="637"/>
      <c r="L913" s="638"/>
      <c r="M913" s="637"/>
      <c r="N913" s="634"/>
      <c r="O913" s="638"/>
      <c r="P913" s="638"/>
    </row>
    <row r="914" spans="1:16" ht="15.75" customHeight="1">
      <c r="A914" s="631"/>
      <c r="B914" s="631"/>
      <c r="C914" s="631"/>
      <c r="D914" s="631"/>
      <c r="E914" s="630"/>
      <c r="F914" s="628"/>
      <c r="G914" s="628"/>
      <c r="H914" s="631"/>
      <c r="I914" s="691"/>
      <c r="J914" s="631"/>
      <c r="K914" s="630"/>
      <c r="L914" s="631"/>
      <c r="M914" s="630"/>
      <c r="N914" s="628"/>
      <c r="O914" s="631"/>
      <c r="P914" s="631"/>
    </row>
    <row r="915" spans="1:16" ht="15.75" customHeight="1">
      <c r="A915" s="638"/>
      <c r="B915" s="638"/>
      <c r="C915" s="638"/>
      <c r="D915" s="638"/>
      <c r="E915" s="637"/>
      <c r="F915" s="634"/>
      <c r="G915" s="634"/>
      <c r="H915" s="638"/>
      <c r="I915" s="690"/>
      <c r="J915" s="638"/>
      <c r="K915" s="637"/>
      <c r="L915" s="638"/>
      <c r="M915" s="637"/>
      <c r="N915" s="634"/>
      <c r="O915" s="638"/>
      <c r="P915" s="638"/>
    </row>
    <row r="916" spans="1:16" ht="15.75" customHeight="1">
      <c r="A916" s="631"/>
      <c r="B916" s="631"/>
      <c r="C916" s="631"/>
      <c r="D916" s="631"/>
      <c r="E916" s="630"/>
      <c r="F916" s="628"/>
      <c r="G916" s="628"/>
      <c r="H916" s="631"/>
      <c r="I916" s="691"/>
      <c r="J916" s="631"/>
      <c r="K916" s="630"/>
      <c r="L916" s="631"/>
      <c r="M916" s="630"/>
      <c r="N916" s="628"/>
      <c r="O916" s="631"/>
      <c r="P916" s="631"/>
    </row>
    <row r="917" spans="1:16" ht="15.75" customHeight="1">
      <c r="A917" s="638"/>
      <c r="B917" s="638"/>
      <c r="C917" s="638"/>
      <c r="D917" s="638"/>
      <c r="E917" s="637"/>
      <c r="F917" s="634"/>
      <c r="G917" s="634"/>
      <c r="H917" s="638"/>
      <c r="I917" s="690"/>
      <c r="J917" s="638"/>
      <c r="K917" s="637"/>
      <c r="L917" s="638"/>
      <c r="M917" s="637"/>
      <c r="N917" s="634"/>
      <c r="O917" s="638"/>
      <c r="P917" s="638"/>
    </row>
    <row r="918" spans="1:16" ht="15.75" customHeight="1">
      <c r="A918" s="631"/>
      <c r="B918" s="631"/>
      <c r="C918" s="631"/>
      <c r="D918" s="631"/>
      <c r="E918" s="630"/>
      <c r="F918" s="628"/>
      <c r="G918" s="628"/>
      <c r="H918" s="631"/>
      <c r="I918" s="691"/>
      <c r="J918" s="631"/>
      <c r="K918" s="630"/>
      <c r="L918" s="631"/>
      <c r="M918" s="630"/>
      <c r="N918" s="628"/>
      <c r="O918" s="631"/>
      <c r="P918" s="631"/>
    </row>
    <row r="919" spans="1:16" ht="15.75" customHeight="1">
      <c r="A919" s="638"/>
      <c r="B919" s="638"/>
      <c r="C919" s="638"/>
      <c r="D919" s="638"/>
      <c r="E919" s="637"/>
      <c r="F919" s="634"/>
      <c r="G919" s="634"/>
      <c r="H919" s="638"/>
      <c r="I919" s="690"/>
      <c r="J919" s="638"/>
      <c r="K919" s="637"/>
      <c r="L919" s="638"/>
      <c r="M919" s="637"/>
      <c r="N919" s="634"/>
      <c r="O919" s="638"/>
      <c r="P919" s="638"/>
    </row>
    <row r="920" spans="1:16" ht="15.75" customHeight="1">
      <c r="A920" s="631"/>
      <c r="B920" s="631"/>
      <c r="C920" s="631"/>
      <c r="D920" s="631"/>
      <c r="E920" s="630"/>
      <c r="F920" s="628"/>
      <c r="G920" s="628"/>
      <c r="H920" s="631"/>
      <c r="I920" s="691"/>
      <c r="J920" s="631"/>
      <c r="K920" s="630"/>
      <c r="L920" s="631"/>
      <c r="M920" s="630"/>
      <c r="N920" s="628"/>
      <c r="O920" s="631"/>
      <c r="P920" s="631"/>
    </row>
    <row r="921" spans="1:16" ht="15.75" customHeight="1">
      <c r="A921" s="638"/>
      <c r="B921" s="638"/>
      <c r="C921" s="638"/>
      <c r="D921" s="638"/>
      <c r="E921" s="637"/>
      <c r="F921" s="634"/>
      <c r="G921" s="634"/>
      <c r="H921" s="638"/>
      <c r="I921" s="690"/>
      <c r="J921" s="638"/>
      <c r="K921" s="637"/>
      <c r="L921" s="638"/>
      <c r="M921" s="637"/>
      <c r="N921" s="634"/>
      <c r="O921" s="638"/>
      <c r="P921" s="638"/>
    </row>
    <row r="922" spans="1:16" ht="15.75" customHeight="1">
      <c r="A922" s="631"/>
      <c r="B922" s="631"/>
      <c r="C922" s="631"/>
      <c r="D922" s="631"/>
      <c r="E922" s="630"/>
      <c r="F922" s="628"/>
      <c r="G922" s="628"/>
      <c r="H922" s="631"/>
      <c r="I922" s="691"/>
      <c r="J922" s="631"/>
      <c r="K922" s="630"/>
      <c r="L922" s="631"/>
      <c r="M922" s="630"/>
      <c r="N922" s="628"/>
      <c r="O922" s="631"/>
      <c r="P922" s="631"/>
    </row>
    <row r="923" spans="1:16" ht="15.75" customHeight="1">
      <c r="A923" s="638"/>
      <c r="B923" s="638"/>
      <c r="C923" s="638"/>
      <c r="D923" s="638"/>
      <c r="E923" s="637"/>
      <c r="F923" s="634"/>
      <c r="G923" s="634"/>
      <c r="H923" s="638"/>
      <c r="I923" s="690"/>
      <c r="J923" s="638"/>
      <c r="K923" s="637"/>
      <c r="L923" s="638"/>
      <c r="M923" s="637"/>
      <c r="N923" s="634"/>
      <c r="O923" s="638"/>
      <c r="P923" s="638"/>
    </row>
    <row r="924" spans="1:16" ht="15.75" customHeight="1">
      <c r="A924" s="631"/>
      <c r="B924" s="631"/>
      <c r="C924" s="631"/>
      <c r="D924" s="631"/>
      <c r="E924" s="630"/>
      <c r="F924" s="628"/>
      <c r="G924" s="628"/>
      <c r="H924" s="631"/>
      <c r="I924" s="691"/>
      <c r="J924" s="631"/>
      <c r="K924" s="630"/>
      <c r="L924" s="631"/>
      <c r="M924" s="630"/>
      <c r="N924" s="628"/>
      <c r="O924" s="631"/>
      <c r="P924" s="631"/>
    </row>
    <row r="925" spans="1:16" ht="15.75" customHeight="1">
      <c r="A925" s="638"/>
      <c r="B925" s="638"/>
      <c r="C925" s="638"/>
      <c r="D925" s="638"/>
      <c r="E925" s="637"/>
      <c r="F925" s="634"/>
      <c r="G925" s="634"/>
      <c r="H925" s="638"/>
      <c r="I925" s="690"/>
      <c r="J925" s="638"/>
      <c r="K925" s="637"/>
      <c r="L925" s="638"/>
      <c r="M925" s="637"/>
      <c r="N925" s="634"/>
      <c r="O925" s="638"/>
      <c r="P925" s="638"/>
    </row>
    <row r="926" spans="1:16" ht="15.75" customHeight="1">
      <c r="A926" s="631"/>
      <c r="B926" s="631"/>
      <c r="C926" s="631"/>
      <c r="D926" s="631"/>
      <c r="E926" s="630"/>
      <c r="F926" s="628"/>
      <c r="G926" s="628"/>
      <c r="H926" s="631"/>
      <c r="I926" s="691"/>
      <c r="J926" s="631"/>
      <c r="K926" s="630"/>
      <c r="L926" s="631"/>
      <c r="M926" s="630"/>
      <c r="N926" s="628"/>
      <c r="O926" s="631"/>
      <c r="P926" s="631"/>
    </row>
    <row r="927" spans="1:16" ht="15.75" customHeight="1">
      <c r="A927" s="638"/>
      <c r="B927" s="638"/>
      <c r="C927" s="638"/>
      <c r="D927" s="638"/>
      <c r="E927" s="637"/>
      <c r="F927" s="634"/>
      <c r="G927" s="634"/>
      <c r="H927" s="638"/>
      <c r="I927" s="690"/>
      <c r="J927" s="638"/>
      <c r="K927" s="637"/>
      <c r="L927" s="638"/>
      <c r="M927" s="637"/>
      <c r="N927" s="634"/>
      <c r="O927" s="638"/>
      <c r="P927" s="638"/>
    </row>
    <row r="928" spans="1:16" ht="15.75" customHeight="1">
      <c r="A928" s="631"/>
      <c r="B928" s="631"/>
      <c r="C928" s="631"/>
      <c r="D928" s="631"/>
      <c r="E928" s="630"/>
      <c r="F928" s="628"/>
      <c r="G928" s="628"/>
      <c r="H928" s="631"/>
      <c r="I928" s="691"/>
      <c r="J928" s="631"/>
      <c r="K928" s="630"/>
      <c r="L928" s="631"/>
      <c r="M928" s="630"/>
      <c r="N928" s="628"/>
      <c r="O928" s="631"/>
      <c r="P928" s="631"/>
    </row>
    <row r="929" spans="1:16" ht="15.75" customHeight="1">
      <c r="A929" s="638"/>
      <c r="B929" s="638"/>
      <c r="C929" s="638"/>
      <c r="D929" s="638"/>
      <c r="E929" s="637"/>
      <c r="F929" s="634"/>
      <c r="G929" s="634"/>
      <c r="H929" s="638"/>
      <c r="I929" s="690"/>
      <c r="J929" s="638"/>
      <c r="K929" s="637"/>
      <c r="L929" s="638"/>
      <c r="M929" s="637"/>
      <c r="N929" s="634"/>
      <c r="O929" s="638"/>
      <c r="P929" s="638"/>
    </row>
    <row r="930" spans="1:16" ht="15.75" customHeight="1">
      <c r="A930" s="631"/>
      <c r="B930" s="631"/>
      <c r="C930" s="631"/>
      <c r="D930" s="631"/>
      <c r="E930" s="630"/>
      <c r="F930" s="628"/>
      <c r="G930" s="628"/>
      <c r="H930" s="631"/>
      <c r="I930" s="691"/>
      <c r="J930" s="631"/>
      <c r="K930" s="630"/>
      <c r="L930" s="631"/>
      <c r="M930" s="630"/>
      <c r="N930" s="628"/>
      <c r="O930" s="631"/>
      <c r="P930" s="631"/>
    </row>
    <row r="931" spans="1:16" ht="15.75" customHeight="1">
      <c r="A931" s="638"/>
      <c r="B931" s="638"/>
      <c r="C931" s="638"/>
      <c r="D931" s="638"/>
      <c r="E931" s="637"/>
      <c r="F931" s="634"/>
      <c r="G931" s="634"/>
      <c r="H931" s="638"/>
      <c r="I931" s="690"/>
      <c r="J931" s="638"/>
      <c r="K931" s="637"/>
      <c r="L931" s="638"/>
      <c r="M931" s="637"/>
      <c r="N931" s="634"/>
      <c r="O931" s="638"/>
      <c r="P931" s="638"/>
    </row>
    <row r="932" spans="1:16" ht="15.75" customHeight="1">
      <c r="A932" s="631"/>
      <c r="B932" s="631"/>
      <c r="C932" s="631"/>
      <c r="D932" s="631"/>
      <c r="E932" s="630"/>
      <c r="F932" s="628"/>
      <c r="G932" s="628"/>
      <c r="H932" s="631"/>
      <c r="I932" s="691"/>
      <c r="J932" s="631"/>
      <c r="K932" s="630"/>
      <c r="L932" s="631"/>
      <c r="M932" s="630"/>
      <c r="N932" s="628"/>
      <c r="O932" s="631"/>
      <c r="P932" s="631"/>
    </row>
    <row r="933" spans="1:16" ht="15.75" customHeight="1">
      <c r="A933" s="638"/>
      <c r="B933" s="638"/>
      <c r="C933" s="638"/>
      <c r="D933" s="638"/>
      <c r="E933" s="637"/>
      <c r="F933" s="634"/>
      <c r="G933" s="634"/>
      <c r="H933" s="638"/>
      <c r="I933" s="690"/>
      <c r="J933" s="638"/>
      <c r="K933" s="637"/>
      <c r="L933" s="638"/>
      <c r="M933" s="637"/>
      <c r="N933" s="634"/>
      <c r="O933" s="638"/>
      <c r="P933" s="638"/>
    </row>
    <row r="934" spans="1:16" ht="15.75" customHeight="1">
      <c r="A934" s="631"/>
      <c r="B934" s="631"/>
      <c r="C934" s="631"/>
      <c r="D934" s="631"/>
      <c r="E934" s="630"/>
      <c r="F934" s="628"/>
      <c r="G934" s="628"/>
      <c r="H934" s="631"/>
      <c r="I934" s="691"/>
      <c r="J934" s="631"/>
      <c r="K934" s="630"/>
      <c r="L934" s="631"/>
      <c r="M934" s="630"/>
      <c r="N934" s="628"/>
      <c r="O934" s="631"/>
      <c r="P934" s="631"/>
    </row>
    <row r="935" spans="1:16" ht="15.75" customHeight="1">
      <c r="A935" s="638"/>
      <c r="B935" s="638"/>
      <c r="C935" s="638"/>
      <c r="D935" s="638"/>
      <c r="E935" s="637"/>
      <c r="F935" s="634"/>
      <c r="G935" s="634"/>
      <c r="H935" s="638"/>
      <c r="I935" s="690"/>
      <c r="J935" s="638"/>
      <c r="K935" s="637"/>
      <c r="L935" s="638"/>
      <c r="M935" s="637"/>
      <c r="N935" s="634"/>
      <c r="O935" s="638"/>
      <c r="P935" s="638"/>
    </row>
    <row r="936" spans="1:16" ht="15.75" customHeight="1">
      <c r="A936" s="631"/>
      <c r="B936" s="631"/>
      <c r="C936" s="631"/>
      <c r="D936" s="631"/>
      <c r="E936" s="630"/>
      <c r="F936" s="628"/>
      <c r="G936" s="628"/>
      <c r="H936" s="631"/>
      <c r="I936" s="691"/>
      <c r="J936" s="631"/>
      <c r="K936" s="630"/>
      <c r="L936" s="631"/>
      <c r="M936" s="630"/>
      <c r="N936" s="628"/>
      <c r="O936" s="631"/>
      <c r="P936" s="631"/>
    </row>
    <row r="937" spans="1:16" ht="15.75" customHeight="1">
      <c r="A937" s="638"/>
      <c r="B937" s="638"/>
      <c r="C937" s="638"/>
      <c r="D937" s="638"/>
      <c r="E937" s="637"/>
      <c r="F937" s="634"/>
      <c r="G937" s="634"/>
      <c r="H937" s="638"/>
      <c r="I937" s="690"/>
      <c r="J937" s="638"/>
      <c r="K937" s="637"/>
      <c r="L937" s="638"/>
      <c r="M937" s="637"/>
      <c r="N937" s="634"/>
      <c r="O937" s="638"/>
      <c r="P937" s="638"/>
    </row>
    <row r="938" spans="1:16" ht="15.75" customHeight="1">
      <c r="A938" s="631"/>
      <c r="B938" s="631"/>
      <c r="C938" s="631"/>
      <c r="D938" s="631"/>
      <c r="E938" s="630"/>
      <c r="F938" s="628"/>
      <c r="G938" s="628"/>
      <c r="H938" s="631"/>
      <c r="I938" s="691"/>
      <c r="J938" s="631"/>
      <c r="K938" s="630"/>
      <c r="L938" s="631"/>
      <c r="M938" s="630"/>
      <c r="N938" s="628"/>
      <c r="O938" s="631"/>
      <c r="P938" s="631"/>
    </row>
    <row r="939" spans="1:16" ht="15.75" customHeight="1">
      <c r="A939" s="638"/>
      <c r="B939" s="638"/>
      <c r="C939" s="638"/>
      <c r="D939" s="638"/>
      <c r="E939" s="637"/>
      <c r="F939" s="634"/>
      <c r="G939" s="634"/>
      <c r="H939" s="638"/>
      <c r="I939" s="690"/>
      <c r="J939" s="638"/>
      <c r="K939" s="637"/>
      <c r="L939" s="638"/>
      <c r="M939" s="637"/>
      <c r="N939" s="634"/>
      <c r="O939" s="638"/>
      <c r="P939" s="638"/>
    </row>
    <row r="940" spans="1:16" ht="15.75" customHeight="1">
      <c r="A940" s="631"/>
      <c r="B940" s="631"/>
      <c r="C940" s="631"/>
      <c r="D940" s="631"/>
      <c r="E940" s="630"/>
      <c r="F940" s="628"/>
      <c r="G940" s="628"/>
      <c r="H940" s="631"/>
      <c r="I940" s="691"/>
      <c r="J940" s="631"/>
      <c r="K940" s="630"/>
      <c r="L940" s="631"/>
      <c r="M940" s="630"/>
      <c r="N940" s="628"/>
      <c r="O940" s="631"/>
      <c r="P940" s="631"/>
    </row>
    <row r="941" spans="1:16" ht="15.75" customHeight="1">
      <c r="A941" s="638"/>
      <c r="B941" s="638"/>
      <c r="C941" s="638"/>
      <c r="D941" s="638"/>
      <c r="E941" s="637"/>
      <c r="F941" s="634"/>
      <c r="G941" s="634"/>
      <c r="H941" s="638"/>
      <c r="I941" s="690"/>
      <c r="J941" s="638"/>
      <c r="K941" s="637"/>
      <c r="L941" s="638"/>
      <c r="M941" s="637"/>
      <c r="N941" s="634"/>
      <c r="O941" s="638"/>
      <c r="P941" s="638"/>
    </row>
    <row r="942" spans="1:16" ht="15.75" customHeight="1">
      <c r="A942" s="631"/>
      <c r="B942" s="631"/>
      <c r="C942" s="631"/>
      <c r="D942" s="631"/>
      <c r="E942" s="630"/>
      <c r="F942" s="628"/>
      <c r="G942" s="628"/>
      <c r="H942" s="631"/>
      <c r="I942" s="691"/>
      <c r="J942" s="631"/>
      <c r="K942" s="630"/>
      <c r="L942" s="631"/>
      <c r="M942" s="630"/>
      <c r="N942" s="628"/>
      <c r="O942" s="631"/>
      <c r="P942" s="631"/>
    </row>
    <row r="943" spans="1:16" ht="15.75" customHeight="1">
      <c r="A943" s="638"/>
      <c r="B943" s="638"/>
      <c r="C943" s="638"/>
      <c r="D943" s="638"/>
      <c r="E943" s="637"/>
      <c r="F943" s="634"/>
      <c r="G943" s="634"/>
      <c r="H943" s="638"/>
      <c r="I943" s="690"/>
      <c r="J943" s="638"/>
      <c r="K943" s="637"/>
      <c r="L943" s="638"/>
      <c r="M943" s="637"/>
      <c r="N943" s="634"/>
      <c r="O943" s="638"/>
      <c r="P943" s="638"/>
    </row>
    <row r="944" spans="1:16" ht="15.75" customHeight="1">
      <c r="A944" s="631"/>
      <c r="B944" s="631"/>
      <c r="C944" s="631"/>
      <c r="D944" s="631"/>
      <c r="E944" s="630"/>
      <c r="F944" s="628"/>
      <c r="G944" s="628"/>
      <c r="H944" s="631"/>
      <c r="I944" s="691"/>
      <c r="J944" s="631"/>
      <c r="K944" s="630"/>
      <c r="L944" s="631"/>
      <c r="M944" s="630"/>
      <c r="N944" s="628"/>
      <c r="O944" s="631"/>
      <c r="P944" s="631"/>
    </row>
    <row r="945" spans="1:16" ht="15.75" customHeight="1">
      <c r="A945" s="638"/>
      <c r="B945" s="638"/>
      <c r="C945" s="638"/>
      <c r="D945" s="638"/>
      <c r="E945" s="637"/>
      <c r="F945" s="634"/>
      <c r="G945" s="634"/>
      <c r="H945" s="638"/>
      <c r="I945" s="690"/>
      <c r="J945" s="638"/>
      <c r="K945" s="637"/>
      <c r="L945" s="638"/>
      <c r="M945" s="637"/>
      <c r="N945" s="634"/>
      <c r="O945" s="638"/>
      <c r="P945" s="638"/>
    </row>
    <row r="946" spans="1:16" ht="15.75" customHeight="1">
      <c r="A946" s="631"/>
      <c r="B946" s="631"/>
      <c r="C946" s="631"/>
      <c r="D946" s="631"/>
      <c r="E946" s="630"/>
      <c r="F946" s="628"/>
      <c r="G946" s="628"/>
      <c r="H946" s="631"/>
      <c r="I946" s="691"/>
      <c r="J946" s="631"/>
      <c r="K946" s="630"/>
      <c r="L946" s="631"/>
      <c r="M946" s="630"/>
      <c r="N946" s="628"/>
      <c r="O946" s="631"/>
      <c r="P946" s="631"/>
    </row>
    <row r="947" spans="1:16" ht="15.75" customHeight="1">
      <c r="A947" s="638"/>
      <c r="B947" s="638"/>
      <c r="C947" s="638"/>
      <c r="D947" s="638"/>
      <c r="E947" s="637"/>
      <c r="F947" s="634"/>
      <c r="G947" s="634"/>
      <c r="H947" s="638"/>
      <c r="I947" s="690"/>
      <c r="J947" s="638"/>
      <c r="K947" s="637"/>
      <c r="L947" s="638"/>
      <c r="M947" s="637"/>
      <c r="N947" s="634"/>
      <c r="O947" s="638"/>
      <c r="P947" s="638"/>
    </row>
    <row r="948" spans="1:16" ht="15.75" customHeight="1">
      <c r="A948" s="631"/>
      <c r="B948" s="631"/>
      <c r="C948" s="631"/>
      <c r="D948" s="631"/>
      <c r="E948" s="630"/>
      <c r="F948" s="628"/>
      <c r="G948" s="628"/>
      <c r="H948" s="631"/>
      <c r="I948" s="691"/>
      <c r="J948" s="631"/>
      <c r="K948" s="630"/>
      <c r="L948" s="631"/>
      <c r="M948" s="630"/>
      <c r="N948" s="628"/>
      <c r="O948" s="631"/>
      <c r="P948" s="631"/>
    </row>
    <row r="949" spans="1:16" ht="15.75" customHeight="1">
      <c r="A949" s="638"/>
      <c r="B949" s="638"/>
      <c r="C949" s="638"/>
      <c r="D949" s="638"/>
      <c r="E949" s="637"/>
      <c r="F949" s="634"/>
      <c r="G949" s="634"/>
      <c r="H949" s="638"/>
      <c r="I949" s="690"/>
      <c r="J949" s="638"/>
      <c r="K949" s="637"/>
      <c r="L949" s="638"/>
      <c r="M949" s="637"/>
      <c r="N949" s="634"/>
      <c r="O949" s="638"/>
      <c r="P949" s="638"/>
    </row>
    <row r="950" spans="1:16" ht="15.75" customHeight="1">
      <c r="A950" s="631"/>
      <c r="B950" s="631"/>
      <c r="C950" s="631"/>
      <c r="D950" s="631"/>
      <c r="E950" s="630"/>
      <c r="F950" s="628"/>
      <c r="G950" s="628"/>
      <c r="H950" s="631"/>
      <c r="I950" s="691"/>
      <c r="J950" s="631"/>
      <c r="K950" s="630"/>
      <c r="L950" s="631"/>
      <c r="M950" s="630"/>
      <c r="N950" s="628"/>
      <c r="O950" s="631"/>
      <c r="P950" s="631"/>
    </row>
    <row r="951" spans="1:16" ht="15.75" customHeight="1">
      <c r="A951" s="638"/>
      <c r="B951" s="638"/>
      <c r="C951" s="638"/>
      <c r="D951" s="638"/>
      <c r="E951" s="637"/>
      <c r="F951" s="634"/>
      <c r="G951" s="634"/>
      <c r="H951" s="638"/>
      <c r="I951" s="690"/>
      <c r="J951" s="638"/>
      <c r="K951" s="637"/>
      <c r="L951" s="638"/>
      <c r="M951" s="637"/>
      <c r="N951" s="634"/>
      <c r="O951" s="638"/>
      <c r="P951" s="638"/>
    </row>
    <row r="952" spans="1:16" ht="15.75" customHeight="1">
      <c r="A952" s="631"/>
      <c r="B952" s="631"/>
      <c r="C952" s="631"/>
      <c r="D952" s="631"/>
      <c r="E952" s="630"/>
      <c r="F952" s="628"/>
      <c r="G952" s="628"/>
      <c r="H952" s="631"/>
      <c r="I952" s="691"/>
      <c r="J952" s="631"/>
      <c r="K952" s="630"/>
      <c r="L952" s="631"/>
      <c r="M952" s="630"/>
      <c r="N952" s="628"/>
      <c r="O952" s="631"/>
      <c r="P952" s="631"/>
    </row>
    <row r="953" spans="1:16" ht="15.75" customHeight="1">
      <c r="A953" s="638"/>
      <c r="B953" s="638"/>
      <c r="C953" s="638"/>
      <c r="D953" s="638"/>
      <c r="E953" s="637"/>
      <c r="F953" s="634"/>
      <c r="G953" s="634"/>
      <c r="H953" s="638"/>
      <c r="I953" s="690"/>
      <c r="J953" s="638"/>
      <c r="K953" s="637"/>
      <c r="L953" s="638"/>
      <c r="M953" s="637"/>
      <c r="N953" s="634"/>
      <c r="O953" s="638"/>
      <c r="P953" s="638"/>
    </row>
    <row r="954" spans="1:16" ht="15.75" customHeight="1">
      <c r="A954" s="631"/>
      <c r="B954" s="631"/>
      <c r="C954" s="631"/>
      <c r="D954" s="631"/>
      <c r="E954" s="630"/>
      <c r="F954" s="628"/>
      <c r="G954" s="628"/>
      <c r="H954" s="631"/>
      <c r="I954" s="691"/>
      <c r="J954" s="631"/>
      <c r="K954" s="630"/>
      <c r="L954" s="631"/>
      <c r="M954" s="630"/>
      <c r="N954" s="628"/>
      <c r="O954" s="631"/>
      <c r="P954" s="631"/>
    </row>
    <row r="955" spans="1:16" ht="15.75" customHeight="1">
      <c r="A955" s="638"/>
      <c r="B955" s="638"/>
      <c r="C955" s="638"/>
      <c r="D955" s="638"/>
      <c r="E955" s="637"/>
      <c r="F955" s="634"/>
      <c r="G955" s="634"/>
      <c r="H955" s="638"/>
      <c r="I955" s="690"/>
      <c r="J955" s="638"/>
      <c r="K955" s="637"/>
      <c r="L955" s="638"/>
      <c r="M955" s="637"/>
      <c r="N955" s="634"/>
      <c r="O955" s="638"/>
      <c r="P955" s="638"/>
    </row>
    <row r="956" spans="1:16" ht="15.75" customHeight="1">
      <c r="A956" s="631"/>
      <c r="B956" s="631"/>
      <c r="C956" s="631"/>
      <c r="D956" s="631"/>
      <c r="E956" s="630"/>
      <c r="F956" s="628"/>
      <c r="G956" s="628"/>
      <c r="H956" s="631"/>
      <c r="I956" s="691"/>
      <c r="J956" s="631"/>
      <c r="K956" s="630"/>
      <c r="L956" s="631"/>
      <c r="M956" s="630"/>
      <c r="N956" s="628"/>
      <c r="O956" s="631"/>
      <c r="P956" s="631"/>
    </row>
    <row r="957" spans="1:16" ht="15.75" customHeight="1">
      <c r="A957" s="638"/>
      <c r="B957" s="638"/>
      <c r="C957" s="638"/>
      <c r="D957" s="638"/>
      <c r="E957" s="637"/>
      <c r="F957" s="634"/>
      <c r="G957" s="634"/>
      <c r="H957" s="638"/>
      <c r="I957" s="690"/>
      <c r="J957" s="638"/>
      <c r="K957" s="637"/>
      <c r="L957" s="638"/>
      <c r="M957" s="637"/>
      <c r="N957" s="634"/>
      <c r="O957" s="638"/>
      <c r="P957" s="638"/>
    </row>
    <row r="958" spans="1:16" ht="15.75" customHeight="1">
      <c r="A958" s="631"/>
      <c r="B958" s="631"/>
      <c r="C958" s="631"/>
      <c r="D958" s="631"/>
      <c r="E958" s="630"/>
      <c r="F958" s="628"/>
      <c r="G958" s="628"/>
      <c r="H958" s="631"/>
      <c r="I958" s="691"/>
      <c r="J958" s="631"/>
      <c r="K958" s="630"/>
      <c r="L958" s="631"/>
      <c r="M958" s="630"/>
      <c r="N958" s="628"/>
      <c r="O958" s="631"/>
      <c r="P958" s="631"/>
    </row>
    <row r="959" spans="1:16" ht="15.75" customHeight="1">
      <c r="A959" s="638"/>
      <c r="B959" s="638"/>
      <c r="C959" s="638"/>
      <c r="D959" s="638"/>
      <c r="E959" s="637"/>
      <c r="F959" s="634"/>
      <c r="G959" s="634"/>
      <c r="H959" s="638"/>
      <c r="I959" s="690"/>
      <c r="J959" s="638"/>
      <c r="K959" s="637"/>
      <c r="L959" s="638"/>
      <c r="M959" s="637"/>
      <c r="N959" s="634"/>
      <c r="O959" s="638"/>
      <c r="P959" s="638"/>
    </row>
    <row r="960" spans="1:16" ht="15.75" customHeight="1">
      <c r="A960" s="631"/>
      <c r="B960" s="631"/>
      <c r="C960" s="631"/>
      <c r="D960" s="631"/>
      <c r="E960" s="630"/>
      <c r="F960" s="628"/>
      <c r="G960" s="628"/>
      <c r="H960" s="631"/>
      <c r="I960" s="691"/>
      <c r="J960" s="631"/>
      <c r="K960" s="630"/>
      <c r="L960" s="631"/>
      <c r="M960" s="630"/>
      <c r="N960" s="628"/>
      <c r="O960" s="631"/>
      <c r="P960" s="631"/>
    </row>
    <row r="961" spans="1:16" ht="15.75" customHeight="1">
      <c r="A961" s="638"/>
      <c r="B961" s="638"/>
      <c r="C961" s="638"/>
      <c r="D961" s="638"/>
      <c r="E961" s="637"/>
      <c r="F961" s="634"/>
      <c r="G961" s="634"/>
      <c r="H961" s="638"/>
      <c r="I961" s="690"/>
      <c r="J961" s="638"/>
      <c r="K961" s="637"/>
      <c r="L961" s="638"/>
      <c r="M961" s="637"/>
      <c r="N961" s="634"/>
      <c r="O961" s="638"/>
      <c r="P961" s="638"/>
    </row>
    <row r="962" spans="1:16" ht="15.75" customHeight="1">
      <c r="A962" s="631"/>
      <c r="B962" s="631"/>
      <c r="C962" s="631"/>
      <c r="D962" s="631"/>
      <c r="E962" s="630"/>
      <c r="F962" s="628"/>
      <c r="G962" s="628"/>
      <c r="H962" s="631"/>
      <c r="I962" s="691"/>
      <c r="J962" s="631"/>
      <c r="K962" s="630"/>
      <c r="L962" s="631"/>
      <c r="M962" s="630"/>
      <c r="N962" s="628"/>
      <c r="O962" s="631"/>
      <c r="P962" s="631"/>
    </row>
    <row r="963" spans="1:16" ht="15.75" customHeight="1">
      <c r="A963" s="638"/>
      <c r="B963" s="638"/>
      <c r="C963" s="638"/>
      <c r="D963" s="638"/>
      <c r="E963" s="637"/>
      <c r="F963" s="634"/>
      <c r="G963" s="634"/>
      <c r="H963" s="638"/>
      <c r="I963" s="690"/>
      <c r="J963" s="638"/>
      <c r="K963" s="637"/>
      <c r="L963" s="638"/>
      <c r="M963" s="637"/>
      <c r="N963" s="634"/>
      <c r="O963" s="638"/>
      <c r="P963" s="638"/>
    </row>
    <row r="964" spans="1:16" ht="15.75" customHeight="1">
      <c r="A964" s="631"/>
      <c r="B964" s="631"/>
      <c r="C964" s="631"/>
      <c r="D964" s="631"/>
      <c r="E964" s="630"/>
      <c r="F964" s="628"/>
      <c r="G964" s="628"/>
      <c r="H964" s="631"/>
      <c r="I964" s="691"/>
      <c r="J964" s="631"/>
      <c r="K964" s="630"/>
      <c r="L964" s="631"/>
      <c r="M964" s="630"/>
      <c r="N964" s="628"/>
      <c r="O964" s="631"/>
      <c r="P964" s="631"/>
    </row>
    <row r="965" spans="1:16" ht="15.75" customHeight="1">
      <c r="A965" s="638"/>
      <c r="B965" s="638"/>
      <c r="C965" s="638"/>
      <c r="D965" s="638"/>
      <c r="E965" s="637"/>
      <c r="F965" s="634"/>
      <c r="G965" s="634"/>
      <c r="H965" s="638"/>
      <c r="I965" s="690"/>
      <c r="J965" s="638"/>
      <c r="K965" s="637"/>
      <c r="L965" s="638"/>
      <c r="M965" s="637"/>
      <c r="N965" s="634"/>
      <c r="O965" s="638"/>
      <c r="P965" s="638"/>
    </row>
    <row r="966" spans="1:16" ht="15.75" customHeight="1">
      <c r="A966" s="631"/>
      <c r="B966" s="631"/>
      <c r="C966" s="631"/>
      <c r="D966" s="631"/>
      <c r="E966" s="630"/>
      <c r="F966" s="628"/>
      <c r="G966" s="628"/>
      <c r="H966" s="631"/>
      <c r="I966" s="691"/>
      <c r="J966" s="631"/>
      <c r="K966" s="630"/>
      <c r="L966" s="631"/>
      <c r="M966" s="630"/>
      <c r="N966" s="628"/>
      <c r="O966" s="631"/>
      <c r="P966" s="631"/>
    </row>
    <row r="967" spans="1:16" ht="15.75" customHeight="1">
      <c r="A967" s="638"/>
      <c r="B967" s="638"/>
      <c r="C967" s="638"/>
      <c r="D967" s="638"/>
      <c r="E967" s="637"/>
      <c r="F967" s="634"/>
      <c r="G967" s="634"/>
      <c r="H967" s="638"/>
      <c r="I967" s="690"/>
      <c r="J967" s="638"/>
      <c r="K967" s="637"/>
      <c r="L967" s="638"/>
      <c r="M967" s="637"/>
      <c r="N967" s="634"/>
      <c r="O967" s="638"/>
      <c r="P967" s="638"/>
    </row>
    <row r="968" spans="1:16" ht="15.75" customHeight="1">
      <c r="A968" s="631"/>
      <c r="B968" s="631"/>
      <c r="C968" s="631"/>
      <c r="D968" s="631"/>
      <c r="E968" s="630"/>
      <c r="F968" s="628"/>
      <c r="G968" s="628"/>
      <c r="H968" s="631"/>
      <c r="I968" s="691"/>
      <c r="J968" s="631"/>
      <c r="K968" s="630"/>
      <c r="L968" s="631"/>
      <c r="M968" s="630"/>
      <c r="N968" s="628"/>
      <c r="O968" s="631"/>
      <c r="P968" s="631"/>
    </row>
    <row r="969" spans="1:16" ht="15.75" customHeight="1">
      <c r="A969" s="638"/>
      <c r="B969" s="638"/>
      <c r="C969" s="638"/>
      <c r="D969" s="638"/>
      <c r="E969" s="637"/>
      <c r="F969" s="634"/>
      <c r="G969" s="634"/>
      <c r="H969" s="638"/>
      <c r="I969" s="690"/>
      <c r="J969" s="638"/>
      <c r="K969" s="637"/>
      <c r="L969" s="638"/>
      <c r="M969" s="637"/>
      <c r="N969" s="634"/>
      <c r="O969" s="638"/>
      <c r="P969" s="638"/>
    </row>
    <row r="970" spans="1:16" ht="15.75" customHeight="1">
      <c r="A970" s="631"/>
      <c r="B970" s="631"/>
      <c r="C970" s="631"/>
      <c r="D970" s="631"/>
      <c r="E970" s="630"/>
      <c r="F970" s="628"/>
      <c r="G970" s="628"/>
      <c r="H970" s="631"/>
      <c r="I970" s="691"/>
      <c r="J970" s="631"/>
      <c r="K970" s="630"/>
      <c r="L970" s="631"/>
      <c r="M970" s="630"/>
      <c r="N970" s="628"/>
      <c r="O970" s="631"/>
      <c r="P970" s="631"/>
    </row>
    <row r="971" spans="1:16" ht="15.75" customHeight="1">
      <c r="A971" s="638"/>
      <c r="B971" s="638"/>
      <c r="C971" s="638"/>
      <c r="D971" s="638"/>
      <c r="E971" s="637"/>
      <c r="F971" s="634"/>
      <c r="G971" s="634"/>
      <c r="H971" s="638"/>
      <c r="I971" s="690"/>
      <c r="J971" s="638"/>
      <c r="K971" s="637"/>
      <c r="L971" s="638"/>
      <c r="M971" s="637"/>
      <c r="N971" s="634"/>
      <c r="O971" s="638"/>
      <c r="P971" s="638"/>
    </row>
    <row r="972" spans="1:16" ht="15.75" customHeight="1">
      <c r="A972" s="631"/>
      <c r="B972" s="631"/>
      <c r="C972" s="631"/>
      <c r="D972" s="631"/>
      <c r="E972" s="630"/>
      <c r="F972" s="628"/>
      <c r="G972" s="628"/>
      <c r="H972" s="631"/>
      <c r="I972" s="691"/>
      <c r="J972" s="631"/>
      <c r="K972" s="630"/>
      <c r="L972" s="631"/>
      <c r="M972" s="630"/>
      <c r="N972" s="628"/>
      <c r="O972" s="631"/>
      <c r="P972" s="631"/>
    </row>
    <row r="973" spans="1:16" ht="15.75" customHeight="1">
      <c r="A973" s="638"/>
      <c r="B973" s="638"/>
      <c r="C973" s="638"/>
      <c r="D973" s="638"/>
      <c r="E973" s="637"/>
      <c r="F973" s="634"/>
      <c r="G973" s="634"/>
      <c r="H973" s="638"/>
      <c r="I973" s="690"/>
      <c r="J973" s="638"/>
      <c r="K973" s="637"/>
      <c r="L973" s="638"/>
      <c r="M973" s="637"/>
      <c r="N973" s="634"/>
      <c r="O973" s="638"/>
      <c r="P973" s="638"/>
    </row>
    <row r="974" spans="1:16" ht="15.75" customHeight="1">
      <c r="A974" s="631"/>
      <c r="B974" s="631"/>
      <c r="C974" s="631"/>
      <c r="D974" s="631"/>
      <c r="E974" s="630"/>
      <c r="F974" s="628"/>
      <c r="G974" s="628"/>
      <c r="H974" s="631"/>
      <c r="I974" s="691"/>
      <c r="J974" s="631"/>
      <c r="K974" s="630"/>
      <c r="L974" s="631"/>
      <c r="M974" s="630"/>
      <c r="N974" s="628"/>
      <c r="O974" s="631"/>
      <c r="P974" s="631"/>
    </row>
    <row r="975" spans="1:16" ht="15.75" customHeight="1">
      <c r="A975" s="638"/>
      <c r="B975" s="638"/>
      <c r="C975" s="638"/>
      <c r="D975" s="638"/>
      <c r="E975" s="637"/>
      <c r="F975" s="634"/>
      <c r="G975" s="634"/>
      <c r="H975" s="638"/>
      <c r="I975" s="690"/>
      <c r="J975" s="638"/>
      <c r="K975" s="637"/>
      <c r="L975" s="638"/>
      <c r="M975" s="637"/>
      <c r="N975" s="634"/>
      <c r="O975" s="638"/>
      <c r="P975" s="638"/>
    </row>
    <row r="976" spans="1:16" ht="15.75" customHeight="1">
      <c r="A976" s="631"/>
      <c r="B976" s="631"/>
      <c r="C976" s="631"/>
      <c r="D976" s="631"/>
      <c r="E976" s="630"/>
      <c r="F976" s="628"/>
      <c r="G976" s="628"/>
      <c r="H976" s="631"/>
      <c r="I976" s="691"/>
      <c r="J976" s="631"/>
      <c r="K976" s="630"/>
      <c r="L976" s="631"/>
      <c r="M976" s="630"/>
      <c r="N976" s="628"/>
      <c r="O976" s="631"/>
      <c r="P976" s="631"/>
    </row>
    <row r="977" spans="1:16" ht="15.75" customHeight="1">
      <c r="A977" s="638"/>
      <c r="B977" s="638"/>
      <c r="C977" s="638"/>
      <c r="D977" s="638"/>
      <c r="E977" s="637"/>
      <c r="F977" s="634"/>
      <c r="G977" s="634"/>
      <c r="H977" s="638"/>
      <c r="I977" s="690"/>
      <c r="J977" s="638"/>
      <c r="K977" s="637"/>
      <c r="L977" s="638"/>
      <c r="M977" s="637"/>
      <c r="N977" s="634"/>
      <c r="O977" s="638"/>
      <c r="P977" s="638"/>
    </row>
    <row r="978" spans="1:16" ht="15.75" customHeight="1">
      <c r="A978" s="631"/>
      <c r="B978" s="631"/>
      <c r="C978" s="631"/>
      <c r="D978" s="631"/>
      <c r="E978" s="630"/>
      <c r="F978" s="628"/>
      <c r="G978" s="628"/>
      <c r="H978" s="631"/>
      <c r="I978" s="691"/>
      <c r="J978" s="631"/>
      <c r="K978" s="630"/>
      <c r="L978" s="631"/>
      <c r="M978" s="630"/>
      <c r="N978" s="628"/>
      <c r="O978" s="631"/>
      <c r="P978" s="631"/>
    </row>
    <row r="979" spans="1:16" ht="15.75" customHeight="1">
      <c r="A979" s="638"/>
      <c r="B979" s="638"/>
      <c r="C979" s="638"/>
      <c r="D979" s="638"/>
      <c r="E979" s="637"/>
      <c r="F979" s="634"/>
      <c r="G979" s="634"/>
      <c r="H979" s="638"/>
      <c r="I979" s="690"/>
      <c r="J979" s="638"/>
      <c r="K979" s="637"/>
      <c r="L979" s="638"/>
      <c r="M979" s="637"/>
      <c r="N979" s="634"/>
      <c r="O979" s="638"/>
      <c r="P979" s="638"/>
    </row>
    <row r="980" spans="1:16" ht="15.75" customHeight="1">
      <c r="A980" s="631"/>
      <c r="B980" s="631"/>
      <c r="C980" s="631"/>
      <c r="D980" s="631"/>
      <c r="E980" s="630"/>
      <c r="F980" s="628"/>
      <c r="G980" s="628"/>
      <c r="H980" s="631"/>
      <c r="I980" s="691"/>
      <c r="J980" s="631"/>
      <c r="K980" s="630"/>
      <c r="L980" s="631"/>
      <c r="M980" s="630"/>
      <c r="N980" s="628"/>
      <c r="O980" s="631"/>
      <c r="P980" s="631"/>
    </row>
    <row r="981" spans="1:16" ht="15.75" customHeight="1">
      <c r="A981" s="638"/>
      <c r="B981" s="638"/>
      <c r="C981" s="638"/>
      <c r="D981" s="638"/>
      <c r="E981" s="637"/>
      <c r="F981" s="634"/>
      <c r="G981" s="634"/>
      <c r="H981" s="638"/>
      <c r="I981" s="690"/>
      <c r="J981" s="638"/>
      <c r="K981" s="637"/>
      <c r="L981" s="638"/>
      <c r="M981" s="637"/>
      <c r="N981" s="634"/>
      <c r="O981" s="638"/>
      <c r="P981" s="638"/>
    </row>
    <row r="982" spans="1:16" ht="15.75" customHeight="1">
      <c r="A982" s="631"/>
      <c r="B982" s="631"/>
      <c r="C982" s="631"/>
      <c r="D982" s="631"/>
      <c r="E982" s="630"/>
      <c r="F982" s="628"/>
      <c r="G982" s="628"/>
      <c r="H982" s="631"/>
      <c r="I982" s="691"/>
      <c r="J982" s="631"/>
      <c r="K982" s="630"/>
      <c r="L982" s="631"/>
      <c r="M982" s="630"/>
      <c r="N982" s="628"/>
      <c r="O982" s="631"/>
      <c r="P982" s="631"/>
    </row>
    <row r="983" spans="1:16" ht="15.75" customHeight="1">
      <c r="A983" s="638"/>
      <c r="B983" s="638"/>
      <c r="C983" s="638"/>
      <c r="D983" s="638"/>
      <c r="E983" s="637"/>
      <c r="F983" s="634"/>
      <c r="G983" s="634"/>
      <c r="H983" s="638"/>
      <c r="I983" s="690"/>
      <c r="J983" s="638"/>
      <c r="K983" s="637"/>
      <c r="L983" s="638"/>
      <c r="M983" s="637"/>
      <c r="N983" s="634"/>
      <c r="O983" s="638"/>
      <c r="P983" s="638"/>
    </row>
    <row r="984" spans="1:16" ht="15.75" customHeight="1">
      <c r="A984" s="631"/>
      <c r="B984" s="631"/>
      <c r="C984" s="631"/>
      <c r="D984" s="631"/>
      <c r="E984" s="630"/>
      <c r="F984" s="628"/>
      <c r="G984" s="628"/>
      <c r="H984" s="631"/>
      <c r="I984" s="691"/>
      <c r="J984" s="631"/>
      <c r="K984" s="630"/>
      <c r="L984" s="631"/>
      <c r="M984" s="630"/>
      <c r="N984" s="628"/>
      <c r="O984" s="631"/>
      <c r="P984" s="631"/>
    </row>
    <row r="985" spans="1:16" ht="15.75" customHeight="1">
      <c r="A985" s="638"/>
      <c r="B985" s="638"/>
      <c r="C985" s="638"/>
      <c r="D985" s="638"/>
      <c r="E985" s="637"/>
      <c r="F985" s="634"/>
      <c r="G985" s="634"/>
      <c r="H985" s="638"/>
      <c r="I985" s="690"/>
      <c r="J985" s="638"/>
      <c r="K985" s="637"/>
      <c r="L985" s="638"/>
      <c r="M985" s="637"/>
      <c r="N985" s="634"/>
      <c r="O985" s="638"/>
      <c r="P985" s="638"/>
    </row>
    <row r="986" spans="1:16" ht="15.75" customHeight="1">
      <c r="A986" s="631"/>
      <c r="B986" s="631"/>
      <c r="C986" s="631"/>
      <c r="D986" s="631"/>
      <c r="E986" s="630"/>
      <c r="F986" s="628"/>
      <c r="G986" s="628"/>
      <c r="H986" s="631"/>
      <c r="I986" s="691"/>
      <c r="J986" s="631"/>
      <c r="K986" s="630"/>
      <c r="L986" s="631"/>
      <c r="M986" s="630"/>
      <c r="N986" s="628"/>
      <c r="O986" s="631"/>
      <c r="P986" s="631"/>
    </row>
    <row r="987" spans="1:16" ht="15.75" customHeight="1">
      <c r="A987" s="638"/>
      <c r="B987" s="638"/>
      <c r="C987" s="638"/>
      <c r="D987" s="638"/>
      <c r="E987" s="637"/>
      <c r="F987" s="634"/>
      <c r="G987" s="634"/>
      <c r="H987" s="638"/>
      <c r="I987" s="690"/>
      <c r="J987" s="638"/>
      <c r="K987" s="637"/>
      <c r="L987" s="638"/>
      <c r="M987" s="637"/>
      <c r="N987" s="634"/>
      <c r="O987" s="638"/>
      <c r="P987" s="638"/>
    </row>
    <row r="988" spans="1:16" ht="15.75" customHeight="1">
      <c r="A988" s="631"/>
      <c r="B988" s="631"/>
      <c r="C988" s="631"/>
      <c r="D988" s="631"/>
      <c r="E988" s="630"/>
      <c r="F988" s="628"/>
      <c r="G988" s="628"/>
      <c r="H988" s="631"/>
      <c r="I988" s="691"/>
      <c r="J988" s="631"/>
      <c r="K988" s="630"/>
      <c r="L988" s="631"/>
      <c r="M988" s="630"/>
      <c r="N988" s="628"/>
      <c r="O988" s="631"/>
      <c r="P988" s="631"/>
    </row>
    <row r="989" spans="1:16" ht="15.75" customHeight="1">
      <c r="A989" s="638"/>
      <c r="B989" s="638"/>
      <c r="C989" s="638"/>
      <c r="D989" s="638"/>
      <c r="E989" s="637"/>
      <c r="F989" s="634"/>
      <c r="G989" s="634"/>
      <c r="H989" s="638"/>
      <c r="I989" s="690"/>
      <c r="J989" s="638"/>
      <c r="K989" s="637"/>
      <c r="L989" s="638"/>
      <c r="M989" s="637"/>
      <c r="N989" s="634"/>
      <c r="O989" s="638"/>
      <c r="P989" s="638"/>
    </row>
    <row r="990" spans="1:16" ht="15.75" customHeight="1">
      <c r="A990" s="631"/>
      <c r="B990" s="631"/>
      <c r="C990" s="631"/>
      <c r="D990" s="631"/>
      <c r="E990" s="630"/>
      <c r="F990" s="628"/>
      <c r="G990" s="628"/>
      <c r="H990" s="631"/>
      <c r="I990" s="691"/>
      <c r="J990" s="631"/>
      <c r="K990" s="630"/>
      <c r="L990" s="631"/>
      <c r="M990" s="630"/>
      <c r="N990" s="628"/>
      <c r="O990" s="631"/>
      <c r="P990" s="631"/>
    </row>
    <row r="991" spans="1:16" ht="15.75" customHeight="1">
      <c r="A991" s="638"/>
      <c r="B991" s="638"/>
      <c r="C991" s="638"/>
      <c r="D991" s="638"/>
      <c r="E991" s="637"/>
      <c r="F991" s="634"/>
      <c r="G991" s="634"/>
      <c r="H991" s="638"/>
      <c r="I991" s="690"/>
      <c r="J991" s="638"/>
      <c r="K991" s="637"/>
      <c r="L991" s="638"/>
      <c r="M991" s="637"/>
      <c r="N991" s="634"/>
      <c r="O991" s="638"/>
      <c r="P991" s="638"/>
    </row>
    <row r="992" spans="1:16" ht="15.75" customHeight="1">
      <c r="A992" s="631"/>
      <c r="B992" s="631"/>
      <c r="C992" s="631"/>
      <c r="D992" s="631"/>
      <c r="E992" s="630"/>
      <c r="F992" s="628"/>
      <c r="G992" s="628"/>
      <c r="H992" s="631"/>
      <c r="I992" s="691"/>
      <c r="J992" s="631"/>
      <c r="K992" s="630"/>
      <c r="L992" s="631"/>
      <c r="M992" s="630"/>
      <c r="N992" s="628"/>
      <c r="O992" s="631"/>
      <c r="P992" s="631"/>
    </row>
    <row r="993" spans="1:16" ht="15.75" customHeight="1">
      <c r="A993" s="638"/>
      <c r="B993" s="638"/>
      <c r="C993" s="638"/>
      <c r="D993" s="638"/>
      <c r="E993" s="637"/>
      <c r="F993" s="634"/>
      <c r="G993" s="634"/>
      <c r="H993" s="638"/>
      <c r="I993" s="690"/>
      <c r="J993" s="638"/>
      <c r="K993" s="637"/>
      <c r="L993" s="638"/>
      <c r="M993" s="637"/>
      <c r="N993" s="634"/>
      <c r="O993" s="638"/>
      <c r="P993" s="638"/>
    </row>
    <row r="994" spans="1:16" ht="15.75" customHeight="1">
      <c r="A994" s="631"/>
      <c r="B994" s="631"/>
      <c r="C994" s="631"/>
      <c r="D994" s="631"/>
      <c r="E994" s="630"/>
      <c r="F994" s="628"/>
      <c r="G994" s="628"/>
      <c r="H994" s="631"/>
      <c r="I994" s="691"/>
      <c r="J994" s="631"/>
      <c r="K994" s="630"/>
      <c r="L994" s="631"/>
      <c r="M994" s="630"/>
      <c r="N994" s="628"/>
      <c r="O994" s="631"/>
      <c r="P994" s="631"/>
    </row>
    <row r="995" spans="1:16" ht="15.75" customHeight="1">
      <c r="A995" s="638"/>
      <c r="B995" s="638"/>
      <c r="C995" s="638"/>
      <c r="D995" s="638"/>
      <c r="E995" s="637"/>
      <c r="F995" s="634"/>
      <c r="G995" s="634"/>
      <c r="H995" s="638"/>
      <c r="I995" s="690"/>
      <c r="J995" s="638"/>
      <c r="K995" s="637"/>
      <c r="L995" s="638"/>
      <c r="M995" s="637"/>
      <c r="N995" s="634"/>
      <c r="O995" s="638"/>
      <c r="P995" s="638"/>
    </row>
    <row r="996" spans="1:16" ht="15.75" customHeight="1">
      <c r="A996" s="631"/>
      <c r="B996" s="631"/>
      <c r="C996" s="631"/>
      <c r="D996" s="631"/>
      <c r="E996" s="630"/>
      <c r="F996" s="628"/>
      <c r="G996" s="628"/>
      <c r="H996" s="631"/>
      <c r="I996" s="691"/>
      <c r="J996" s="631"/>
      <c r="K996" s="630"/>
      <c r="L996" s="631"/>
      <c r="M996" s="630"/>
      <c r="N996" s="628"/>
      <c r="O996" s="631"/>
      <c r="P996" s="631"/>
    </row>
    <row r="997" spans="1:16" ht="15.75" customHeight="1">
      <c r="A997" s="638"/>
      <c r="B997" s="638"/>
      <c r="C997" s="638"/>
      <c r="D997" s="638"/>
      <c r="E997" s="637"/>
      <c r="F997" s="634"/>
      <c r="G997" s="634"/>
      <c r="H997" s="638"/>
      <c r="I997" s="690"/>
      <c r="J997" s="638"/>
      <c r="K997" s="637"/>
      <c r="L997" s="638"/>
      <c r="M997" s="637"/>
      <c r="N997" s="634"/>
      <c r="O997" s="638"/>
      <c r="P997" s="638"/>
    </row>
    <row r="998" spans="1:16" ht="15.75" customHeight="1">
      <c r="A998" s="631"/>
      <c r="B998" s="631"/>
      <c r="C998" s="631"/>
      <c r="D998" s="631"/>
      <c r="E998" s="630"/>
      <c r="F998" s="628"/>
      <c r="G998" s="628"/>
      <c r="H998" s="631"/>
      <c r="I998" s="691"/>
      <c r="J998" s="631"/>
      <c r="K998" s="630"/>
      <c r="L998" s="631"/>
      <c r="M998" s="630"/>
      <c r="N998" s="628"/>
      <c r="O998" s="631"/>
      <c r="P998" s="631"/>
    </row>
    <row r="999" spans="1:16" ht="15.75" customHeight="1">
      <c r="A999" s="638"/>
      <c r="B999" s="638"/>
      <c r="C999" s="638"/>
      <c r="D999" s="638"/>
      <c r="E999" s="637"/>
      <c r="F999" s="634"/>
      <c r="G999" s="634"/>
      <c r="H999" s="638"/>
      <c r="I999" s="690"/>
      <c r="J999" s="638"/>
      <c r="K999" s="637"/>
      <c r="L999" s="638"/>
      <c r="M999" s="637"/>
      <c r="N999" s="634"/>
      <c r="O999" s="638"/>
      <c r="P999" s="638"/>
    </row>
    <row r="1000" spans="1:16" ht="15.75" customHeight="1">
      <c r="A1000" s="631"/>
      <c r="B1000" s="631"/>
      <c r="C1000" s="631"/>
      <c r="D1000" s="631"/>
      <c r="E1000" s="630"/>
      <c r="F1000" s="628"/>
      <c r="G1000" s="628"/>
      <c r="H1000" s="631"/>
      <c r="I1000" s="691"/>
      <c r="J1000" s="631"/>
      <c r="K1000" s="630"/>
      <c r="L1000" s="631"/>
      <c r="M1000" s="630"/>
      <c r="N1000" s="628"/>
      <c r="O1000" s="631"/>
      <c r="P1000" s="631"/>
    </row>
    <row r="1001" spans="1:16" ht="15.75" customHeight="1">
      <c r="A1001" s="638"/>
      <c r="B1001" s="638"/>
      <c r="C1001" s="638"/>
      <c r="D1001" s="638"/>
      <c r="E1001" s="637"/>
      <c r="F1001" s="634"/>
      <c r="G1001" s="634"/>
      <c r="H1001" s="638"/>
      <c r="I1001" s="690"/>
      <c r="J1001" s="638"/>
      <c r="K1001" s="637"/>
      <c r="L1001" s="638"/>
      <c r="M1001" s="637"/>
      <c r="N1001" s="634"/>
      <c r="O1001" s="638"/>
      <c r="P1001" s="638"/>
    </row>
  </sheetData>
  <mergeCells count="1">
    <mergeCell ref="A3:M3"/>
  </mergeCells>
  <conditionalFormatting sqref="A1:A2">
    <cfRule type="expression" dxfId="3" priority="9">
      <formula>COUNTIF($A:$A,#REF!)&gt;1</formula>
    </cfRule>
  </conditionalFormatting>
  <conditionalFormatting sqref="A4:A229 A348:A424 A499:A650 A703:A1001">
    <cfRule type="expression" dxfId="2" priority="8">
      <formula>COUNTIF($A:$A,A6)&gt;1</formula>
    </cfRule>
  </conditionalFormatting>
  <conditionalFormatting sqref="A230:A347">
    <cfRule type="expression" dxfId="1" priority="6">
      <formula>COUNTIF($A:$A,#REF!)&gt;1</formula>
    </cfRule>
  </conditionalFormatting>
  <conditionalFormatting sqref="A425:A498 A651:A702">
    <cfRule type="expression" dxfId="0" priority="7">
      <formula>COUNTIF($A:$A,#REF!)&gt;1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Fr-01</vt:lpstr>
      <vt:lpstr>Fr-02</vt:lpstr>
      <vt:lpstr>Fr-03.1</vt:lpstr>
      <vt:lpstr>Fr-03.2</vt:lpstr>
      <vt:lpstr>Screen scope 3</vt:lpstr>
      <vt:lpstr>Fr-04.1</vt:lpstr>
      <vt:lpstr>Fr-04.2</vt:lpstr>
      <vt:lpstr>Fr-05</vt:lpstr>
      <vt:lpstr>EF TGO AR4</vt:lpstr>
      <vt:lpstr>EF TGO AR5</vt:lpstr>
      <vt:lpstr>EF (1)</vt:lpstr>
      <vt:lpstr>บันทึกการปรับปรุง</vt:lpstr>
      <vt:lpstr>1.1 Stationary </vt:lpstr>
      <vt:lpstr>1.2 Mobile</vt:lpstr>
      <vt:lpstr>1.4 Fugitive Emission</vt:lpstr>
      <vt:lpstr>1.4.1 สารทำความเย็น</vt:lpstr>
      <vt:lpstr>1.4.2 สารดับเพลิง</vt:lpstr>
      <vt:lpstr>1.4.3 Septic</vt:lpstr>
      <vt:lpstr>1.4.4 ปุ๋ย</vt:lpstr>
      <vt:lpstr>1.4.5 ระบบบำบัดน้ำเสีย WWTP</vt:lpstr>
      <vt:lpstr>Scope 2.1 Purchased Electricity</vt:lpstr>
      <vt:lpstr>Scope 3.1.1 วัตถุดิบผลิต</vt:lpstr>
      <vt:lpstr>Scope 3.1.2 น้ำประปา</vt:lpstr>
      <vt:lpstr>Scope 3.1.3 กระดาษ A4</vt:lpstr>
      <vt:lpstr>Scope 3.1.4 จ้างเหมารถพนักงาน</vt:lpstr>
      <vt:lpstr>Scope 3.4</vt:lpstr>
      <vt:lpstr>Scope 3.5</vt:lpstr>
      <vt:lpstr>Scope 3.7</vt:lpstr>
      <vt:lpstr>Scope 3.9</vt:lpstr>
      <vt:lpstr>Scope 3.12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Natanee Vorayos</dc:creator>
  <cp:lastModifiedBy>Toranong Kiriwong</cp:lastModifiedBy>
  <cp:lastPrinted>2024-08-19T10:21:05Z</cp:lastPrinted>
  <dcterms:created xsi:type="dcterms:W3CDTF">2016-07-25T18:04:14Z</dcterms:created>
  <dcterms:modified xsi:type="dcterms:W3CDTF">2025-12-24T15:21:46Z</dcterms:modified>
</cp:coreProperties>
</file>