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apstone\"/>
    </mc:Choice>
  </mc:AlternateContent>
  <xr:revisionPtr revIDLastSave="0" documentId="13_ncr:1_{8460FC33-C68E-4C38-AFF1-64DAD72D5AD9}" xr6:coauthVersionLast="47" xr6:coauthVersionMax="47" xr10:uidLastSave="{00000000-0000-0000-0000-000000000000}"/>
  <workbookProtection workbookAlgorithmName="SHA-512" workbookHashValue="XGHNp8dJYEw+rTKI16qWod8yEecM3xGAx70zBHNrVDCpid8icyJvepGYbkxSjhh4SxTf4lVdDzxhfghPXL5iMg==" workbookSaltValue="fiK6SJwqv/aXAjDOK3VmNw==" workbookSpinCount="100000" lockStructure="1"/>
  <bookViews>
    <workbookView xWindow="1140" yWindow="1140" windowWidth="16589" windowHeight="8583" activeTab="2" xr2:uid="{D0A721D7-A427-4AE1-A521-CA02A7543ADA}"/>
  </bookViews>
  <sheets>
    <sheet name="Parking Rev" sheetId="1" r:id="rId1"/>
    <sheet name="Sheet1" sheetId="3" state="hidden" r:id="rId2"/>
    <sheet name="Storage Rev" sheetId="2" r:id="rId3"/>
  </sheets>
  <definedNames>
    <definedName name="_xlnm._FilterDatabase" localSheetId="0" hidden="1">'Parking Rev'!$A$3:$BZ$46</definedName>
    <definedName name="_xlnm._FilterDatabase" localSheetId="2" hidden="1">'Storage Rev'!$A$2:$AM$45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21" i="1" l="1"/>
  <c r="BP5" i="1"/>
  <c r="BP28" i="1"/>
  <c r="AI11" i="1"/>
  <c r="AI10" i="1"/>
  <c r="AI9" i="1"/>
  <c r="AI12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" i="1"/>
  <c r="CR5" i="1" l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" i="1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3" i="2"/>
  <c r="BC44" i="2"/>
  <c r="BC45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3" i="2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8" i="1"/>
  <c r="DI29" i="1"/>
  <c r="DI30" i="1"/>
  <c r="DI31" i="1"/>
  <c r="DI32" i="1"/>
  <c r="DI33" i="1"/>
  <c r="DI35" i="1"/>
  <c r="DI37" i="1"/>
  <c r="DI38" i="1"/>
  <c r="DI39" i="1"/>
  <c r="DI40" i="1"/>
  <c r="DI41" i="1"/>
  <c r="DI42" i="1"/>
  <c r="DI43" i="1"/>
  <c r="DI44" i="1"/>
  <c r="DI45" i="1"/>
  <c r="DI46" i="1"/>
  <c r="DI4" i="1"/>
  <c r="DE46" i="1"/>
  <c r="DE45" i="1"/>
  <c r="DE44" i="1"/>
  <c r="DE43" i="1"/>
  <c r="DE42" i="1"/>
  <c r="DE41" i="1"/>
  <c r="DE40" i="1"/>
  <c r="DE39" i="1"/>
  <c r="DE38" i="1"/>
  <c r="DE37" i="1"/>
  <c r="DE35" i="1"/>
  <c r="DE33" i="1"/>
  <c r="DE32" i="1"/>
  <c r="DE31" i="1"/>
  <c r="DE30" i="1"/>
  <c r="DE28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B46" i="1"/>
  <c r="DB45" i="1"/>
  <c r="DB44" i="1"/>
  <c r="DB43" i="1"/>
  <c r="DB42" i="1"/>
  <c r="DB41" i="1"/>
  <c r="DB40" i="1"/>
  <c r="DB39" i="1"/>
  <c r="DB38" i="1"/>
  <c r="DB37" i="1"/>
  <c r="DB35" i="1"/>
  <c r="DB33" i="1"/>
  <c r="DB32" i="1"/>
  <c r="DB31" i="1"/>
  <c r="DB30" i="1"/>
  <c r="DB28" i="1"/>
  <c r="DB26" i="1"/>
  <c r="DB25" i="1"/>
  <c r="DB24" i="1"/>
  <c r="DB23" i="1"/>
  <c r="DB22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BO46" i="1"/>
  <c r="BO45" i="1"/>
  <c r="BO44" i="1"/>
  <c r="BO43" i="1"/>
  <c r="BO42" i="1"/>
  <c r="BO41" i="1"/>
  <c r="BO40" i="1"/>
  <c r="BO39" i="1"/>
  <c r="BO38" i="1"/>
  <c r="BO37" i="1"/>
  <c r="BO35" i="1"/>
  <c r="BO33" i="1"/>
  <c r="BO32" i="1"/>
  <c r="BO31" i="1"/>
  <c r="BO30" i="1"/>
  <c r="BO28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I46" i="1"/>
  <c r="BI45" i="1"/>
  <c r="BI44" i="1"/>
  <c r="BI43" i="1"/>
  <c r="BI42" i="1"/>
  <c r="BI41" i="1"/>
  <c r="BI40" i="1"/>
  <c r="BI39" i="1"/>
  <c r="BI38" i="1"/>
  <c r="BI37" i="1"/>
  <c r="BI35" i="1"/>
  <c r="BI33" i="1"/>
  <c r="BI32" i="1"/>
  <c r="BI31" i="1"/>
  <c r="BI30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F46" i="1"/>
  <c r="BF45" i="1"/>
  <c r="BF44" i="1"/>
  <c r="BF43" i="1"/>
  <c r="BF42" i="1"/>
  <c r="BF41" i="1"/>
  <c r="BF40" i="1"/>
  <c r="BF39" i="1"/>
  <c r="BF38" i="1"/>
  <c r="BF37" i="1"/>
  <c r="BF35" i="1"/>
  <c r="BF33" i="1"/>
  <c r="BF32" i="1"/>
  <c r="BF31" i="1"/>
  <c r="BF30" i="1"/>
  <c r="BF28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C46" i="1"/>
  <c r="BC45" i="1"/>
  <c r="BC44" i="1"/>
  <c r="BC43" i="1"/>
  <c r="BC42" i="1"/>
  <c r="BC41" i="1"/>
  <c r="BC40" i="1"/>
  <c r="BC39" i="1"/>
  <c r="BC38" i="1"/>
  <c r="BC37" i="1"/>
  <c r="BC35" i="1"/>
  <c r="BC33" i="1"/>
  <c r="BC32" i="1"/>
  <c r="BC31" i="1"/>
  <c r="BC30" i="1"/>
  <c r="BC28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AZ46" i="1"/>
  <c r="AZ45" i="1"/>
  <c r="AZ44" i="1"/>
  <c r="AZ43" i="1"/>
  <c r="AZ42" i="1"/>
  <c r="AZ41" i="1"/>
  <c r="AZ40" i="1"/>
  <c r="AZ39" i="1"/>
  <c r="AZ38" i="1"/>
  <c r="AZ37" i="1"/>
  <c r="AZ35" i="1"/>
  <c r="AZ34" i="1"/>
  <c r="AZ33" i="1"/>
  <c r="AZ32" i="1"/>
  <c r="AZ31" i="1"/>
  <c r="AZ30" i="1"/>
  <c r="AZ29" i="1"/>
  <c r="AZ28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8" i="1"/>
  <c r="AW26" i="1"/>
  <c r="AW25" i="1"/>
  <c r="AW24" i="1"/>
  <c r="AW22" i="1"/>
  <c r="AW21" i="1"/>
  <c r="AW19" i="1"/>
  <c r="AW18" i="1"/>
  <c r="AW17" i="1"/>
  <c r="AW16" i="1"/>
  <c r="AW15" i="1"/>
  <c r="AW14" i="1"/>
  <c r="AW13" i="1"/>
  <c r="AW12" i="1"/>
  <c r="AW10" i="1"/>
  <c r="AW9" i="1"/>
  <c r="AW8" i="1"/>
  <c r="AW7" i="1"/>
  <c r="AW6" i="1"/>
  <c r="AW5" i="1"/>
  <c r="AW4" i="1"/>
  <c r="AS11" i="1"/>
  <c r="AT4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0" i="1"/>
  <c r="AQ9" i="1"/>
  <c r="AQ8" i="1"/>
  <c r="AQ7" i="1"/>
  <c r="AQ6" i="1"/>
  <c r="AQ5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K45" i="1"/>
  <c r="AK44" i="1"/>
  <c r="AK43" i="1"/>
  <c r="AK42" i="1"/>
  <c r="AK39" i="1"/>
  <c r="AK38" i="1"/>
  <c r="AK37" i="1"/>
  <c r="AK36" i="1"/>
  <c r="AK34" i="1"/>
  <c r="AK29" i="1"/>
  <c r="AK22" i="1"/>
  <c r="AK21" i="1"/>
  <c r="AK19" i="1"/>
  <c r="AK17" i="1"/>
  <c r="AK15" i="1"/>
  <c r="AK13" i="1"/>
  <c r="AK8" i="1"/>
  <c r="AK7" i="1"/>
  <c r="AK5" i="1"/>
  <c r="BQ33" i="2" l="1"/>
  <c r="DH34" i="1"/>
  <c r="DI34" i="1" s="1"/>
  <c r="DH36" i="1"/>
  <c r="DI36" i="1" s="1"/>
  <c r="DF27" i="1"/>
  <c r="DI27" i="1" s="1"/>
  <c r="BP33" i="2"/>
  <c r="BO33" i="2"/>
  <c r="DD36" i="1"/>
  <c r="DE36" i="1" s="1"/>
  <c r="DD34" i="1"/>
  <c r="DE34" i="1" s="1"/>
  <c r="DC29" i="1"/>
  <c r="DE29" i="1" s="1"/>
  <c r="DC27" i="1"/>
  <c r="DE27" i="1" s="1"/>
  <c r="DA36" i="1"/>
  <c r="DB36" i="1" s="1"/>
  <c r="DA34" i="1"/>
  <c r="DB34" i="1" s="1"/>
  <c r="CZ29" i="1"/>
  <c r="DB29" i="1" s="1"/>
  <c r="CZ27" i="1"/>
  <c r="DB27" i="1" s="1"/>
  <c r="AW33" i="2"/>
  <c r="BN34" i="1"/>
  <c r="BO34" i="1" s="1"/>
  <c r="BN36" i="1"/>
  <c r="BO36" i="1" s="1"/>
  <c r="BM29" i="1"/>
  <c r="BO29" i="1" s="1"/>
  <c r="BM27" i="1"/>
  <c r="BO27" i="1" s="1"/>
  <c r="AU33" i="2"/>
  <c r="BH34" i="1"/>
  <c r="BI34" i="1" s="1"/>
  <c r="BH36" i="1"/>
  <c r="BI36" i="1" s="1"/>
  <c r="BG29" i="1"/>
  <c r="BI29" i="1" s="1"/>
  <c r="AT33" i="2" l="1"/>
  <c r="BE34" i="1"/>
  <c r="BF34" i="1" s="1"/>
  <c r="BE36" i="1"/>
  <c r="BF36" i="1" s="1"/>
  <c r="BD29" i="1"/>
  <c r="BF29" i="1" s="1"/>
  <c r="BD27" i="1"/>
  <c r="BF27" i="1" s="1"/>
  <c r="AS33" i="2" l="1"/>
  <c r="BB34" i="1" l="1"/>
  <c r="BC34" i="1" s="1"/>
  <c r="BB36" i="1"/>
  <c r="BC36" i="1" s="1"/>
  <c r="BA29" i="1"/>
  <c r="BC29" i="1" s="1"/>
  <c r="BA27" i="1"/>
  <c r="BC27" i="1" s="1"/>
  <c r="AY36" i="1" l="1"/>
  <c r="AZ36" i="1" s="1"/>
  <c r="AU27" i="1"/>
  <c r="AW27" i="1" s="1"/>
  <c r="AO27" i="1"/>
  <c r="AQ27" i="1" s="1"/>
  <c r="AX27" i="1"/>
  <c r="AZ27" i="1" s="1"/>
  <c r="AU46" i="1" l="1"/>
  <c r="AW46" i="1" s="1"/>
  <c r="AU29" i="1"/>
  <c r="AW29" i="1" s="1"/>
  <c r="AU23" i="1"/>
  <c r="AW23" i="1" s="1"/>
  <c r="AU20" i="1"/>
  <c r="AW20" i="1" s="1"/>
  <c r="AU11" i="1"/>
  <c r="AW11" i="1" s="1"/>
  <c r="AP11" i="1"/>
  <c r="AQ11" i="1" s="1"/>
  <c r="AO4" i="1"/>
  <c r="AQ4" i="1" s="1"/>
  <c r="AO45" i="2"/>
  <c r="AO34" i="2"/>
  <c r="AO33" i="2"/>
  <c r="BD45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CV46" i="1" l="1"/>
  <c r="CX46" i="1" s="1"/>
  <c r="CU46" i="1"/>
  <c r="CW46" i="1" s="1"/>
  <c r="CV44" i="1"/>
  <c r="CX44" i="1" s="1"/>
  <c r="CU44" i="1"/>
  <c r="CW44" i="1" s="1"/>
  <c r="CV43" i="1"/>
  <c r="CX43" i="1" s="1"/>
  <c r="CU43" i="1"/>
  <c r="CW43" i="1" s="1"/>
  <c r="CV42" i="1"/>
  <c r="CX42" i="1" s="1"/>
  <c r="CU42" i="1"/>
  <c r="CW42" i="1" s="1"/>
  <c r="CV41" i="1"/>
  <c r="CX41" i="1" s="1"/>
  <c r="CU41" i="1"/>
  <c r="CW41" i="1" s="1"/>
  <c r="CV40" i="1"/>
  <c r="CX40" i="1" s="1"/>
  <c r="CU40" i="1"/>
  <c r="CW40" i="1" s="1"/>
  <c r="CV39" i="1"/>
  <c r="CX39" i="1" s="1"/>
  <c r="CU39" i="1"/>
  <c r="CW39" i="1" s="1"/>
  <c r="CV38" i="1"/>
  <c r="CX38" i="1" s="1"/>
  <c r="CU38" i="1"/>
  <c r="CW38" i="1" s="1"/>
  <c r="CV37" i="1"/>
  <c r="CX37" i="1" s="1"/>
  <c r="CU37" i="1"/>
  <c r="CW37" i="1" s="1"/>
  <c r="CV36" i="1"/>
  <c r="CX36" i="1" s="1"/>
  <c r="CU36" i="1"/>
  <c r="CW36" i="1" s="1"/>
  <c r="CV35" i="1"/>
  <c r="CX35" i="1" s="1"/>
  <c r="CU35" i="1"/>
  <c r="CW35" i="1" s="1"/>
  <c r="CV34" i="1"/>
  <c r="CX34" i="1" s="1"/>
  <c r="CU34" i="1"/>
  <c r="CW34" i="1" s="1"/>
  <c r="CV33" i="1"/>
  <c r="CX33" i="1" s="1"/>
  <c r="CU33" i="1"/>
  <c r="CW33" i="1" s="1"/>
  <c r="CV32" i="1"/>
  <c r="CX32" i="1" s="1"/>
  <c r="CU32" i="1"/>
  <c r="CW32" i="1" s="1"/>
  <c r="CV31" i="1"/>
  <c r="CX31" i="1" s="1"/>
  <c r="CU31" i="1"/>
  <c r="CW31" i="1" s="1"/>
  <c r="CV30" i="1"/>
  <c r="CX30" i="1" s="1"/>
  <c r="CU30" i="1"/>
  <c r="CW30" i="1" s="1"/>
  <c r="CV29" i="1"/>
  <c r="CX29" i="1" s="1"/>
  <c r="CU29" i="1"/>
  <c r="CW29" i="1" s="1"/>
  <c r="CV28" i="1"/>
  <c r="CX28" i="1" s="1"/>
  <c r="CU28" i="1"/>
  <c r="CW28" i="1" s="1"/>
  <c r="CV27" i="1"/>
  <c r="CX27" i="1" s="1"/>
  <c r="CU27" i="1"/>
  <c r="CW27" i="1" s="1"/>
  <c r="CV26" i="1"/>
  <c r="CX26" i="1" s="1"/>
  <c r="CU26" i="1"/>
  <c r="CW26" i="1" s="1"/>
  <c r="CV25" i="1"/>
  <c r="CX25" i="1" s="1"/>
  <c r="CU25" i="1"/>
  <c r="CW25" i="1" s="1"/>
  <c r="CV24" i="1"/>
  <c r="CX24" i="1" s="1"/>
  <c r="CU24" i="1"/>
  <c r="CW24" i="1" s="1"/>
  <c r="CV23" i="1"/>
  <c r="CX23" i="1" s="1"/>
  <c r="CU23" i="1"/>
  <c r="CW23" i="1" s="1"/>
  <c r="CV22" i="1"/>
  <c r="CX22" i="1" s="1"/>
  <c r="CU22" i="1"/>
  <c r="CW22" i="1" s="1"/>
  <c r="CV21" i="1"/>
  <c r="CX21" i="1" s="1"/>
  <c r="CU21" i="1"/>
  <c r="CW21" i="1" s="1"/>
  <c r="CV20" i="1"/>
  <c r="CX20" i="1" s="1"/>
  <c r="CU20" i="1"/>
  <c r="CW20" i="1" s="1"/>
  <c r="CV19" i="1"/>
  <c r="CX19" i="1" s="1"/>
  <c r="CU19" i="1"/>
  <c r="CW19" i="1" s="1"/>
  <c r="CV18" i="1"/>
  <c r="CX18" i="1" s="1"/>
  <c r="CU18" i="1"/>
  <c r="CW18" i="1" s="1"/>
  <c r="CV17" i="1"/>
  <c r="CX17" i="1" s="1"/>
  <c r="CU17" i="1"/>
  <c r="CW17" i="1" s="1"/>
  <c r="CV16" i="1"/>
  <c r="CX16" i="1" s="1"/>
  <c r="CU16" i="1"/>
  <c r="CW16" i="1" s="1"/>
  <c r="CV15" i="1"/>
  <c r="CX15" i="1" s="1"/>
  <c r="CU15" i="1"/>
  <c r="CW15" i="1" s="1"/>
  <c r="CV14" i="1"/>
  <c r="CX14" i="1" s="1"/>
  <c r="CU14" i="1"/>
  <c r="CW14" i="1" s="1"/>
  <c r="CV13" i="1"/>
  <c r="CX13" i="1" s="1"/>
  <c r="CU13" i="1"/>
  <c r="CW13" i="1" s="1"/>
  <c r="CV12" i="1"/>
  <c r="CX12" i="1" s="1"/>
  <c r="CU12" i="1"/>
  <c r="CW12" i="1" s="1"/>
  <c r="CV11" i="1"/>
  <c r="CX11" i="1" s="1"/>
  <c r="CU11" i="1"/>
  <c r="CW11" i="1" s="1"/>
  <c r="CV10" i="1"/>
  <c r="CX10" i="1" s="1"/>
  <c r="CU10" i="1"/>
  <c r="CW10" i="1" s="1"/>
  <c r="CV9" i="1"/>
  <c r="CX9" i="1" s="1"/>
  <c r="CU9" i="1"/>
  <c r="CW9" i="1" s="1"/>
  <c r="CV8" i="1"/>
  <c r="CX8" i="1" s="1"/>
  <c r="CU8" i="1"/>
  <c r="CW8" i="1" s="1"/>
  <c r="CV7" i="1"/>
  <c r="CX7" i="1" s="1"/>
  <c r="CU7" i="1"/>
  <c r="CW7" i="1" s="1"/>
  <c r="CV6" i="1"/>
  <c r="CX6" i="1" s="1"/>
  <c r="CU6" i="1"/>
  <c r="CW6" i="1" s="1"/>
  <c r="CV5" i="1"/>
  <c r="CX5" i="1" s="1"/>
  <c r="CU5" i="1"/>
  <c r="CW5" i="1" s="1"/>
  <c r="CV4" i="1"/>
  <c r="CX4" i="1" s="1"/>
  <c r="CU4" i="1"/>
  <c r="CW4" i="1" s="1"/>
  <c r="AI25" i="1"/>
  <c r="AK25" i="1" s="1"/>
  <c r="AJ33" i="1"/>
  <c r="AI33" i="1"/>
  <c r="AI41" i="1"/>
  <c r="AK41" i="1" s="1"/>
  <c r="AJ40" i="1"/>
  <c r="AI40" i="1"/>
  <c r="AK11" i="1"/>
  <c r="AK33" i="1" l="1"/>
  <c r="AK40" i="1"/>
  <c r="AJ16" i="1"/>
  <c r="AI16" i="1"/>
  <c r="AJ20" i="1"/>
  <c r="AI20" i="1"/>
  <c r="AI23" i="1"/>
  <c r="AK23" i="1" s="1"/>
  <c r="AI24" i="1"/>
  <c r="AK24" i="1" s="1"/>
  <c r="AI18" i="1"/>
  <c r="AK18" i="1" s="1"/>
  <c r="AI32" i="1"/>
  <c r="AJ32" i="1"/>
  <c r="AK32" i="1" s="1"/>
  <c r="AI28" i="1"/>
  <c r="AK28" i="1" s="1"/>
  <c r="AI26" i="1"/>
  <c r="AK26" i="1" s="1"/>
  <c r="AJ35" i="1"/>
  <c r="AI35" i="1"/>
  <c r="AI46" i="1"/>
  <c r="AK46" i="1" s="1"/>
  <c r="AJ31" i="1"/>
  <c r="AK31" i="1" s="1"/>
  <c r="AJ30" i="1"/>
  <c r="AI30" i="1"/>
  <c r="AI27" i="1"/>
  <c r="AK27" i="1" s="1"/>
  <c r="AI4" i="1"/>
  <c r="AK4" i="1" s="1"/>
  <c r="AI14" i="1"/>
  <c r="AK14" i="1" s="1"/>
  <c r="AK9" i="1"/>
  <c r="AK10" i="1"/>
  <c r="AK16" i="1" l="1"/>
  <c r="AK30" i="1"/>
  <c r="AK35" i="1"/>
  <c r="AK20" i="1"/>
  <c r="AK12" i="1"/>
  <c r="AJ6" i="1"/>
  <c r="AK6" i="1" s="1"/>
  <c r="AK4" i="2" l="1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24" i="2"/>
  <c r="AL24" i="2" s="1"/>
  <c r="AK25" i="2"/>
  <c r="AL25" i="2" s="1"/>
  <c r="AK26" i="2"/>
  <c r="AL26" i="2" s="1"/>
  <c r="AK27" i="2"/>
  <c r="AL27" i="2" s="1"/>
  <c r="AK28" i="2"/>
  <c r="AL28" i="2" s="1"/>
  <c r="AK29" i="2"/>
  <c r="AL29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6" i="2"/>
  <c r="AL36" i="2" s="1"/>
  <c r="AK37" i="2"/>
  <c r="AL37" i="2" s="1"/>
  <c r="AK38" i="2"/>
  <c r="AL38" i="2" s="1"/>
  <c r="AK39" i="2"/>
  <c r="AL39" i="2" s="1"/>
  <c r="AK40" i="2"/>
  <c r="AL40" i="2" s="1"/>
  <c r="AK41" i="2"/>
  <c r="AL41" i="2" s="1"/>
  <c r="AK42" i="2"/>
  <c r="AL42" i="2" s="1"/>
  <c r="AK43" i="2"/>
  <c r="AL43" i="2" s="1"/>
  <c r="AK45" i="2"/>
  <c r="AL45" i="2" s="1"/>
  <c r="AK3" i="2"/>
  <c r="AL3" i="2" s="1"/>
  <c r="CB5" i="1"/>
  <c r="CD5" i="1" s="1"/>
  <c r="CB6" i="1"/>
  <c r="CD6" i="1" s="1"/>
  <c r="CB7" i="1"/>
  <c r="CD7" i="1" s="1"/>
  <c r="CB8" i="1"/>
  <c r="CD8" i="1" s="1"/>
  <c r="CB9" i="1"/>
  <c r="CD9" i="1" s="1"/>
  <c r="CB10" i="1"/>
  <c r="CD10" i="1" s="1"/>
  <c r="CB11" i="1"/>
  <c r="CD11" i="1" s="1"/>
  <c r="CB12" i="1"/>
  <c r="CD12" i="1" s="1"/>
  <c r="CB13" i="1"/>
  <c r="CD13" i="1" s="1"/>
  <c r="CB14" i="1"/>
  <c r="CD14" i="1" s="1"/>
  <c r="CB15" i="1"/>
  <c r="CD15" i="1" s="1"/>
  <c r="CB16" i="1"/>
  <c r="CD16" i="1" s="1"/>
  <c r="CB17" i="1"/>
  <c r="CD17" i="1" s="1"/>
  <c r="CB18" i="1"/>
  <c r="CD18" i="1" s="1"/>
  <c r="CB19" i="1"/>
  <c r="CD19" i="1" s="1"/>
  <c r="CB20" i="1"/>
  <c r="CD20" i="1" s="1"/>
  <c r="CB21" i="1"/>
  <c r="CD21" i="1" s="1"/>
  <c r="CB22" i="1"/>
  <c r="CD22" i="1" s="1"/>
  <c r="CB23" i="1"/>
  <c r="CD23" i="1" s="1"/>
  <c r="CB24" i="1"/>
  <c r="CD24" i="1" s="1"/>
  <c r="CB25" i="1"/>
  <c r="CD25" i="1" s="1"/>
  <c r="CB26" i="1"/>
  <c r="CD26" i="1" s="1"/>
  <c r="CB27" i="1"/>
  <c r="CD27" i="1" s="1"/>
  <c r="CB28" i="1"/>
  <c r="CD28" i="1" s="1"/>
  <c r="CB29" i="1"/>
  <c r="CD29" i="1" s="1"/>
  <c r="CB30" i="1"/>
  <c r="CD30" i="1" s="1"/>
  <c r="CB31" i="1"/>
  <c r="CD31" i="1" s="1"/>
  <c r="CB32" i="1"/>
  <c r="CD32" i="1" s="1"/>
  <c r="CB33" i="1"/>
  <c r="CD33" i="1" s="1"/>
  <c r="CB34" i="1"/>
  <c r="CD34" i="1" s="1"/>
  <c r="CB35" i="1"/>
  <c r="CD35" i="1" s="1"/>
  <c r="CB36" i="1"/>
  <c r="CD36" i="1" s="1"/>
  <c r="CB37" i="1"/>
  <c r="CD37" i="1" s="1"/>
  <c r="CB38" i="1"/>
  <c r="CD38" i="1" s="1"/>
  <c r="CB39" i="1"/>
  <c r="CD39" i="1" s="1"/>
  <c r="CB40" i="1"/>
  <c r="CD40" i="1" s="1"/>
  <c r="CB41" i="1"/>
  <c r="CD41" i="1" s="1"/>
  <c r="CB42" i="1"/>
  <c r="CD42" i="1" s="1"/>
  <c r="CB43" i="1"/>
  <c r="CD43" i="1" s="1"/>
  <c r="CB44" i="1"/>
  <c r="CD44" i="1" s="1"/>
  <c r="CB46" i="1"/>
  <c r="CD46" i="1" s="1"/>
  <c r="CB4" i="1"/>
  <c r="CD4" i="1" s="1"/>
  <c r="CA5" i="1"/>
  <c r="CC5" i="1" s="1"/>
  <c r="CA6" i="1"/>
  <c r="CC6" i="1" s="1"/>
  <c r="CA7" i="1"/>
  <c r="CC7" i="1" s="1"/>
  <c r="CA8" i="1"/>
  <c r="CC8" i="1" s="1"/>
  <c r="CA9" i="1"/>
  <c r="CC9" i="1" s="1"/>
  <c r="CA10" i="1"/>
  <c r="CC10" i="1" s="1"/>
  <c r="CA11" i="1"/>
  <c r="CC11" i="1" s="1"/>
  <c r="CA12" i="1"/>
  <c r="CC12" i="1" s="1"/>
  <c r="CA13" i="1"/>
  <c r="CC13" i="1" s="1"/>
  <c r="CA14" i="1"/>
  <c r="CC14" i="1" s="1"/>
  <c r="CA15" i="1"/>
  <c r="CC15" i="1" s="1"/>
  <c r="CA16" i="1"/>
  <c r="CC16" i="1" s="1"/>
  <c r="CA17" i="1"/>
  <c r="CC17" i="1" s="1"/>
  <c r="CA18" i="1"/>
  <c r="CC18" i="1" s="1"/>
  <c r="CA19" i="1"/>
  <c r="CC19" i="1" s="1"/>
  <c r="CA20" i="1"/>
  <c r="CC20" i="1" s="1"/>
  <c r="CA21" i="1"/>
  <c r="CC21" i="1" s="1"/>
  <c r="CA22" i="1"/>
  <c r="CC22" i="1" s="1"/>
  <c r="CA23" i="1"/>
  <c r="CC23" i="1" s="1"/>
  <c r="CA24" i="1"/>
  <c r="CC24" i="1" s="1"/>
  <c r="CA25" i="1"/>
  <c r="CC25" i="1" s="1"/>
  <c r="CA26" i="1"/>
  <c r="CC26" i="1" s="1"/>
  <c r="CA27" i="1"/>
  <c r="CC27" i="1" s="1"/>
  <c r="CA28" i="1"/>
  <c r="CC28" i="1" s="1"/>
  <c r="CA29" i="1"/>
  <c r="CC29" i="1" s="1"/>
  <c r="CA30" i="1"/>
  <c r="CC30" i="1" s="1"/>
  <c r="CA31" i="1"/>
  <c r="CC31" i="1" s="1"/>
  <c r="CA32" i="1"/>
  <c r="CC32" i="1" s="1"/>
  <c r="CA33" i="1"/>
  <c r="CC33" i="1" s="1"/>
  <c r="CA34" i="1"/>
  <c r="CC34" i="1" s="1"/>
  <c r="CA35" i="1"/>
  <c r="CC35" i="1" s="1"/>
  <c r="CA36" i="1"/>
  <c r="CC36" i="1" s="1"/>
  <c r="CA37" i="1"/>
  <c r="CC37" i="1" s="1"/>
  <c r="CA38" i="1"/>
  <c r="CC38" i="1" s="1"/>
  <c r="CA39" i="1"/>
  <c r="CC39" i="1" s="1"/>
  <c r="CA40" i="1"/>
  <c r="CC40" i="1" s="1"/>
  <c r="CA41" i="1"/>
  <c r="CC41" i="1" s="1"/>
  <c r="CA42" i="1"/>
  <c r="CC42" i="1" s="1"/>
  <c r="CA43" i="1"/>
  <c r="CC43" i="1" s="1"/>
  <c r="CA44" i="1"/>
  <c r="CC44" i="1" s="1"/>
  <c r="CA46" i="1"/>
  <c r="CC46" i="1" s="1"/>
  <c r="CA4" i="1"/>
  <c r="CC4" i="1" s="1"/>
  <c r="AD5" i="2" l="1"/>
  <c r="AD4" i="2"/>
  <c r="AD3" i="2"/>
  <c r="AD43" i="2"/>
  <c r="AD42" i="2"/>
  <c r="AD41" i="2"/>
  <c r="AD40" i="2"/>
  <c r="AD39" i="2"/>
  <c r="AD38" i="2"/>
  <c r="AD37" i="2"/>
  <c r="AD36" i="2"/>
  <c r="AD35" i="2"/>
  <c r="AD24" i="2"/>
  <c r="AD23" i="2"/>
  <c r="AA27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5" i="2"/>
  <c r="AD26" i="2"/>
  <c r="AD27" i="2"/>
  <c r="AD28" i="2"/>
  <c r="AD29" i="2"/>
  <c r="AD30" i="2"/>
  <c r="AD31" i="2"/>
  <c r="AD32" i="2"/>
  <c r="AD33" i="2"/>
  <c r="AD34" i="2"/>
  <c r="AD45" i="2"/>
  <c r="AD6" i="2"/>
  <c r="AH46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" i="1"/>
  <c r="B15" i="2" l="1"/>
  <c r="B16" i="2"/>
  <c r="B6" i="2"/>
  <c r="B25" i="2"/>
  <c r="B17" i="2"/>
  <c r="B7" i="2"/>
  <c r="B18" i="2"/>
  <c r="B8" i="2"/>
  <c r="B19" i="2"/>
  <c r="B26" i="2"/>
  <c r="B27" i="2"/>
  <c r="B20" i="2"/>
  <c r="B9" i="2"/>
  <c r="B21" i="2"/>
  <c r="B22" i="2"/>
  <c r="B28" i="2"/>
  <c r="B29" i="2"/>
  <c r="B30" i="2"/>
  <c r="B10" i="2"/>
  <c r="B31" i="2"/>
  <c r="B11" i="2"/>
  <c r="B32" i="2"/>
  <c r="B12" i="2"/>
  <c r="B13" i="2"/>
  <c r="B33" i="2"/>
  <c r="B34" i="2"/>
  <c r="B45" i="2"/>
  <c r="B14" i="2"/>
  <c r="AA14" i="2"/>
  <c r="AA45" i="2"/>
  <c r="AA34" i="2"/>
  <c r="AA33" i="2"/>
  <c r="AA13" i="2"/>
  <c r="AA12" i="2"/>
  <c r="AA32" i="2"/>
  <c r="AA11" i="2"/>
  <c r="AA31" i="2"/>
  <c r="AA10" i="2"/>
  <c r="AA30" i="2"/>
  <c r="AA29" i="2"/>
  <c r="AA28" i="2"/>
  <c r="AA22" i="2"/>
  <c r="AA21" i="2"/>
  <c r="AA9" i="2"/>
  <c r="AA20" i="2"/>
  <c r="AA26" i="2"/>
  <c r="AA19" i="2"/>
  <c r="AA8" i="2"/>
  <c r="AA18" i="2"/>
  <c r="AA7" i="2"/>
  <c r="AA17" i="2"/>
  <c r="AA25" i="2"/>
  <c r="AA6" i="2"/>
  <c r="AA16" i="2"/>
  <c r="AA15" i="2"/>
  <c r="X14" i="2"/>
  <c r="X45" i="2"/>
  <c r="X34" i="2"/>
  <c r="X33" i="2"/>
  <c r="X13" i="2"/>
  <c r="X12" i="2"/>
  <c r="X32" i="2"/>
  <c r="X11" i="2"/>
  <c r="X31" i="2"/>
  <c r="X10" i="2"/>
  <c r="X30" i="2"/>
  <c r="X29" i="2"/>
  <c r="X28" i="2"/>
  <c r="X22" i="2"/>
  <c r="X21" i="2"/>
  <c r="X9" i="2"/>
  <c r="X20" i="2"/>
  <c r="X27" i="2"/>
  <c r="X26" i="2"/>
  <c r="X19" i="2"/>
  <c r="X8" i="2"/>
  <c r="X18" i="2"/>
  <c r="X7" i="2"/>
  <c r="X17" i="2"/>
  <c r="X25" i="2"/>
  <c r="X6" i="2"/>
  <c r="X16" i="2"/>
  <c r="X15" i="2"/>
  <c r="U14" i="2"/>
  <c r="U45" i="2"/>
  <c r="U34" i="2"/>
  <c r="U33" i="2"/>
  <c r="U13" i="2"/>
  <c r="U12" i="2"/>
  <c r="U32" i="2"/>
  <c r="U11" i="2"/>
  <c r="U31" i="2"/>
  <c r="U10" i="2"/>
  <c r="U30" i="2"/>
  <c r="U29" i="2"/>
  <c r="U28" i="2"/>
  <c r="U22" i="2"/>
  <c r="U21" i="2"/>
  <c r="U9" i="2"/>
  <c r="U20" i="2"/>
  <c r="U27" i="2"/>
  <c r="U26" i="2"/>
  <c r="U19" i="2"/>
  <c r="U8" i="2"/>
  <c r="U18" i="2"/>
  <c r="U7" i="2"/>
  <c r="U17" i="2"/>
  <c r="U25" i="2"/>
  <c r="U6" i="2"/>
  <c r="U16" i="2"/>
  <c r="U15" i="2"/>
  <c r="R14" i="2"/>
  <c r="R45" i="2"/>
  <c r="R34" i="2"/>
  <c r="R33" i="2"/>
  <c r="R13" i="2"/>
  <c r="R12" i="2"/>
  <c r="R32" i="2"/>
  <c r="R11" i="2"/>
  <c r="R31" i="2"/>
  <c r="R10" i="2"/>
  <c r="R30" i="2"/>
  <c r="R29" i="2"/>
  <c r="R28" i="2"/>
  <c r="R22" i="2"/>
  <c r="R21" i="2"/>
  <c r="R9" i="2"/>
  <c r="R20" i="2"/>
  <c r="R27" i="2"/>
  <c r="R26" i="2"/>
  <c r="R19" i="2"/>
  <c r="R8" i="2"/>
  <c r="R18" i="2"/>
  <c r="R7" i="2"/>
  <c r="R17" i="2"/>
  <c r="R25" i="2"/>
  <c r="R6" i="2"/>
  <c r="R16" i="2"/>
  <c r="R15" i="2"/>
  <c r="O14" i="2"/>
  <c r="O45" i="2"/>
  <c r="O34" i="2"/>
  <c r="O33" i="2"/>
  <c r="O13" i="2"/>
  <c r="O12" i="2"/>
  <c r="O32" i="2"/>
  <c r="O11" i="2"/>
  <c r="O31" i="2"/>
  <c r="O10" i="2"/>
  <c r="O30" i="2"/>
  <c r="O29" i="2"/>
  <c r="O28" i="2"/>
  <c r="O22" i="2"/>
  <c r="O21" i="2"/>
  <c r="O9" i="2"/>
  <c r="O20" i="2"/>
  <c r="O27" i="2"/>
  <c r="O26" i="2"/>
  <c r="O19" i="2"/>
  <c r="O8" i="2"/>
  <c r="O18" i="2"/>
  <c r="O7" i="2"/>
  <c r="O17" i="2"/>
  <c r="O25" i="2"/>
  <c r="O6" i="2"/>
  <c r="O16" i="2"/>
  <c r="O15" i="2"/>
  <c r="L14" i="2"/>
  <c r="L45" i="2"/>
  <c r="L34" i="2"/>
  <c r="L33" i="2"/>
  <c r="L13" i="2"/>
  <c r="L12" i="2"/>
  <c r="L32" i="2"/>
  <c r="L11" i="2"/>
  <c r="L31" i="2"/>
  <c r="L10" i="2"/>
  <c r="L30" i="2"/>
  <c r="L29" i="2"/>
  <c r="L28" i="2"/>
  <c r="L22" i="2"/>
  <c r="L21" i="2"/>
  <c r="L9" i="2"/>
  <c r="L20" i="2"/>
  <c r="L27" i="2"/>
  <c r="L26" i="2"/>
  <c r="L19" i="2"/>
  <c r="L8" i="2"/>
  <c r="L18" i="2"/>
  <c r="L7" i="2"/>
  <c r="L17" i="2"/>
  <c r="L25" i="2"/>
  <c r="L6" i="2"/>
  <c r="L16" i="2"/>
  <c r="L15" i="2"/>
  <c r="I15" i="2"/>
  <c r="I16" i="2"/>
  <c r="I6" i="2"/>
  <c r="I25" i="2"/>
  <c r="I17" i="2"/>
  <c r="I7" i="2"/>
  <c r="I18" i="2"/>
  <c r="I8" i="2"/>
  <c r="I19" i="2"/>
  <c r="I26" i="2"/>
  <c r="I27" i="2"/>
  <c r="I20" i="2"/>
  <c r="I9" i="2"/>
  <c r="I21" i="2"/>
  <c r="I22" i="2"/>
  <c r="I28" i="2"/>
  <c r="I29" i="2"/>
  <c r="I30" i="2"/>
  <c r="I10" i="2"/>
  <c r="I31" i="2"/>
  <c r="I11" i="2"/>
  <c r="I32" i="2"/>
  <c r="I12" i="2"/>
  <c r="I13" i="2"/>
  <c r="I33" i="2"/>
  <c r="I34" i="2"/>
  <c r="I45" i="2"/>
  <c r="I14" i="2"/>
  <c r="F15" i="2"/>
  <c r="F16" i="2"/>
  <c r="F6" i="2"/>
  <c r="F25" i="2"/>
  <c r="F17" i="2"/>
  <c r="F7" i="2"/>
  <c r="F8" i="2"/>
  <c r="F19" i="2"/>
  <c r="F26" i="2"/>
  <c r="F27" i="2"/>
  <c r="F20" i="2"/>
  <c r="F9" i="2"/>
  <c r="F21" i="2"/>
  <c r="F28" i="2"/>
  <c r="F29" i="2"/>
  <c r="F30" i="2"/>
  <c r="F10" i="2"/>
  <c r="F31" i="2"/>
  <c r="F11" i="2"/>
  <c r="F32" i="2"/>
  <c r="F12" i="2"/>
  <c r="F13" i="2"/>
  <c r="F33" i="2"/>
  <c r="F34" i="2"/>
  <c r="F45" i="2"/>
  <c r="F14" i="2"/>
  <c r="AA27" i="1" l="1"/>
  <c r="AA28" i="1"/>
  <c r="AA29" i="1"/>
  <c r="AA30" i="1"/>
  <c r="AA31" i="1"/>
  <c r="AA4" i="1"/>
  <c r="AA16" i="1"/>
  <c r="AA17" i="1"/>
  <c r="AA32" i="1"/>
  <c r="AA18" i="1"/>
  <c r="AA19" i="1"/>
  <c r="AA33" i="1"/>
  <c r="AA34" i="1"/>
  <c r="AA20" i="1"/>
  <c r="AA35" i="1"/>
  <c r="AA36" i="1"/>
  <c r="AA5" i="1"/>
  <c r="AA6" i="1"/>
  <c r="AA7" i="1"/>
  <c r="AA8" i="1"/>
  <c r="AA37" i="1"/>
  <c r="AA38" i="1"/>
  <c r="AA21" i="1"/>
  <c r="AA9" i="1"/>
  <c r="AA10" i="1"/>
  <c r="AA39" i="1"/>
  <c r="AA11" i="1"/>
  <c r="AA12" i="1"/>
  <c r="AA22" i="1"/>
  <c r="AA40" i="1"/>
  <c r="AA13" i="1"/>
  <c r="AA23" i="1"/>
  <c r="AA41" i="1"/>
  <c r="AA42" i="1"/>
  <c r="AA24" i="1"/>
  <c r="AA43" i="1"/>
  <c r="AA44" i="1"/>
  <c r="AA46" i="1"/>
  <c r="AA25" i="1"/>
  <c r="AA14" i="1"/>
  <c r="AA15" i="1"/>
  <c r="AA26" i="1"/>
  <c r="X27" i="1"/>
  <c r="X28" i="1"/>
  <c r="X29" i="1"/>
  <c r="X30" i="1"/>
  <c r="X31" i="1"/>
  <c r="X4" i="1"/>
  <c r="X16" i="1"/>
  <c r="X17" i="1"/>
  <c r="X32" i="1"/>
  <c r="X18" i="1"/>
  <c r="X19" i="1"/>
  <c r="X33" i="1"/>
  <c r="X34" i="1"/>
  <c r="X20" i="1"/>
  <c r="X35" i="1"/>
  <c r="X36" i="1"/>
  <c r="X5" i="1"/>
  <c r="X6" i="1"/>
  <c r="X7" i="1"/>
  <c r="X8" i="1"/>
  <c r="X37" i="1"/>
  <c r="X38" i="1"/>
  <c r="X21" i="1"/>
  <c r="X9" i="1"/>
  <c r="X10" i="1"/>
  <c r="X39" i="1"/>
  <c r="X11" i="1"/>
  <c r="X12" i="1"/>
  <c r="X22" i="1"/>
  <c r="X40" i="1"/>
  <c r="X13" i="1"/>
  <c r="X23" i="1"/>
  <c r="X41" i="1"/>
  <c r="X42" i="1"/>
  <c r="X24" i="1"/>
  <c r="X43" i="1"/>
  <c r="X44" i="1"/>
  <c r="X46" i="1"/>
  <c r="X25" i="1"/>
  <c r="X14" i="1"/>
  <c r="X15" i="1"/>
  <c r="X26" i="1"/>
  <c r="U27" i="1"/>
  <c r="U28" i="1"/>
  <c r="U29" i="1"/>
  <c r="U30" i="1"/>
  <c r="U31" i="1"/>
  <c r="U4" i="1"/>
  <c r="U16" i="1"/>
  <c r="U17" i="1"/>
  <c r="U32" i="1"/>
  <c r="U18" i="1"/>
  <c r="U19" i="1"/>
  <c r="U33" i="1"/>
  <c r="U34" i="1"/>
  <c r="U20" i="1"/>
  <c r="U35" i="1"/>
  <c r="U36" i="1"/>
  <c r="U5" i="1"/>
  <c r="U6" i="1"/>
  <c r="U7" i="1"/>
  <c r="U8" i="1"/>
  <c r="U37" i="1"/>
  <c r="U38" i="1"/>
  <c r="U21" i="1"/>
  <c r="U9" i="1"/>
  <c r="U10" i="1"/>
  <c r="U39" i="1"/>
  <c r="U11" i="1"/>
  <c r="U12" i="1"/>
  <c r="U22" i="1"/>
  <c r="U40" i="1"/>
  <c r="U13" i="1"/>
  <c r="U23" i="1"/>
  <c r="U41" i="1"/>
  <c r="U42" i="1"/>
  <c r="U24" i="1"/>
  <c r="U43" i="1"/>
  <c r="U44" i="1"/>
  <c r="U46" i="1"/>
  <c r="U25" i="1"/>
  <c r="U14" i="1"/>
  <c r="U15" i="1"/>
  <c r="U26" i="1"/>
  <c r="R27" i="1"/>
  <c r="R28" i="1"/>
  <c r="R29" i="1"/>
  <c r="R30" i="1"/>
  <c r="R31" i="1"/>
  <c r="R4" i="1"/>
  <c r="R16" i="1"/>
  <c r="R17" i="1"/>
  <c r="R32" i="1"/>
  <c r="R18" i="1"/>
  <c r="R19" i="1"/>
  <c r="R33" i="1"/>
  <c r="R34" i="1"/>
  <c r="R20" i="1"/>
  <c r="R35" i="1"/>
  <c r="R36" i="1"/>
  <c r="R5" i="1"/>
  <c r="R6" i="1"/>
  <c r="R7" i="1"/>
  <c r="R8" i="1"/>
  <c r="R37" i="1"/>
  <c r="R38" i="1"/>
  <c r="R21" i="1"/>
  <c r="R9" i="1"/>
  <c r="R10" i="1"/>
  <c r="R39" i="1"/>
  <c r="R11" i="1"/>
  <c r="R12" i="1"/>
  <c r="R22" i="1"/>
  <c r="R40" i="1"/>
  <c r="R13" i="1"/>
  <c r="R23" i="1"/>
  <c r="R41" i="1"/>
  <c r="R42" i="1"/>
  <c r="R24" i="1"/>
  <c r="R43" i="1"/>
  <c r="R44" i="1"/>
  <c r="R46" i="1"/>
  <c r="R25" i="1"/>
  <c r="R14" i="1"/>
  <c r="R15" i="1"/>
  <c r="R26" i="1"/>
  <c r="O27" i="1"/>
  <c r="O28" i="1"/>
  <c r="O29" i="1"/>
  <c r="O30" i="1"/>
  <c r="O31" i="1"/>
  <c r="O4" i="1"/>
  <c r="O16" i="1"/>
  <c r="O17" i="1"/>
  <c r="O32" i="1"/>
  <c r="O18" i="1"/>
  <c r="O19" i="1"/>
  <c r="O33" i="1"/>
  <c r="O34" i="1"/>
  <c r="O20" i="1"/>
  <c r="O35" i="1"/>
  <c r="O36" i="1"/>
  <c r="O5" i="1"/>
  <c r="O6" i="1"/>
  <c r="O7" i="1"/>
  <c r="O8" i="1"/>
  <c r="O37" i="1"/>
  <c r="O38" i="1"/>
  <c r="O21" i="1"/>
  <c r="O9" i="1"/>
  <c r="O10" i="1"/>
  <c r="O39" i="1"/>
  <c r="O11" i="1"/>
  <c r="O12" i="1"/>
  <c r="O22" i="1"/>
  <c r="O40" i="1"/>
  <c r="O13" i="1"/>
  <c r="O23" i="1"/>
  <c r="O41" i="1"/>
  <c r="O42" i="1"/>
  <c r="O24" i="1"/>
  <c r="O43" i="1"/>
  <c r="O44" i="1"/>
  <c r="O46" i="1"/>
  <c r="O25" i="1"/>
  <c r="O14" i="1"/>
  <c r="O15" i="1"/>
  <c r="O26" i="1"/>
  <c r="L27" i="1"/>
  <c r="L28" i="1"/>
  <c r="L29" i="1"/>
  <c r="L30" i="1"/>
  <c r="L31" i="1"/>
  <c r="L4" i="1"/>
  <c r="L16" i="1"/>
  <c r="L17" i="1"/>
  <c r="L32" i="1"/>
  <c r="L18" i="1"/>
  <c r="L19" i="1"/>
  <c r="L33" i="1"/>
  <c r="L34" i="1"/>
  <c r="L35" i="1"/>
  <c r="L36" i="1"/>
  <c r="L5" i="1"/>
  <c r="L6" i="1"/>
  <c r="L7" i="1"/>
  <c r="L8" i="1"/>
  <c r="L37" i="1"/>
  <c r="L38" i="1"/>
  <c r="L21" i="1"/>
  <c r="L9" i="1"/>
  <c r="L10" i="1"/>
  <c r="L39" i="1"/>
  <c r="L11" i="1"/>
  <c r="L12" i="1"/>
  <c r="L22" i="1"/>
  <c r="L40" i="1"/>
  <c r="L13" i="1"/>
  <c r="L23" i="1"/>
  <c r="L41" i="1"/>
  <c r="L42" i="1"/>
  <c r="L24" i="1"/>
  <c r="L43" i="1"/>
  <c r="L44" i="1"/>
  <c r="L46" i="1"/>
  <c r="L25" i="1"/>
  <c r="L14" i="1"/>
  <c r="L15" i="1"/>
  <c r="L26" i="1"/>
  <c r="I26" i="1"/>
  <c r="I27" i="1"/>
  <c r="I28" i="1"/>
  <c r="I29" i="1"/>
  <c r="I30" i="1"/>
  <c r="I31" i="1"/>
  <c r="I4" i="1"/>
  <c r="I16" i="1"/>
  <c r="I17" i="1"/>
  <c r="I32" i="1"/>
  <c r="I18" i="1"/>
  <c r="I19" i="1"/>
  <c r="I33" i="1"/>
  <c r="I34" i="1"/>
  <c r="I35" i="1"/>
  <c r="I36" i="1"/>
  <c r="I5" i="1"/>
  <c r="I6" i="1"/>
  <c r="I7" i="1"/>
  <c r="I8" i="1"/>
  <c r="I37" i="1"/>
  <c r="I38" i="1"/>
  <c r="I21" i="1"/>
  <c r="I9" i="1"/>
  <c r="I10" i="1"/>
  <c r="I39" i="1"/>
  <c r="I11" i="1"/>
  <c r="I12" i="1"/>
  <c r="I22" i="1"/>
  <c r="I40" i="1"/>
  <c r="I13" i="1"/>
  <c r="I23" i="1"/>
  <c r="I41" i="1"/>
  <c r="I42" i="1"/>
  <c r="I24" i="1"/>
  <c r="I43" i="1"/>
  <c r="I44" i="1"/>
  <c r="I46" i="1"/>
  <c r="I25" i="1"/>
  <c r="I14" i="1"/>
  <c r="I15" i="1"/>
  <c r="F26" i="1"/>
  <c r="F27" i="1"/>
  <c r="F28" i="1"/>
  <c r="F29" i="1"/>
  <c r="F30" i="1"/>
  <c r="F31" i="1"/>
  <c r="F4" i="1"/>
  <c r="F17" i="1"/>
  <c r="F32" i="1"/>
  <c r="F18" i="1"/>
  <c r="F19" i="1"/>
  <c r="F33" i="1"/>
  <c r="F34" i="1"/>
  <c r="F35" i="1"/>
  <c r="F36" i="1"/>
  <c r="F5" i="1"/>
  <c r="F6" i="1"/>
  <c r="F7" i="1"/>
  <c r="F8" i="1"/>
  <c r="F37" i="1"/>
  <c r="F38" i="1"/>
  <c r="F21" i="1"/>
  <c r="F9" i="1"/>
  <c r="F10" i="1"/>
  <c r="F39" i="1"/>
  <c r="F11" i="1"/>
  <c r="F12" i="1"/>
  <c r="F22" i="1"/>
  <c r="F40" i="1"/>
  <c r="F13" i="1"/>
  <c r="F23" i="1"/>
  <c r="F41" i="1"/>
  <c r="F42" i="1"/>
  <c r="F24" i="1"/>
  <c r="F43" i="1"/>
  <c r="F44" i="1"/>
  <c r="F46" i="1"/>
  <c r="F25" i="1"/>
  <c r="F14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tc={CC80B4C0-464F-4446-AC63-8A9564736D23}</author>
    <author>tc={684092CD-7B84-4650-B18F-AE880ACA5771}</author>
    <author>tc={3FC2D39E-987A-47D4-A0C7-29A380E7E14C}</author>
    <author>tc={234BCE4C-2F7C-4A46-B8DD-D82A247A6B3A}</author>
    <author>tc={611353AC-48B1-4403-AA6E-63EA274BF631}</author>
    <author>tc={6CE007BC-1B68-4752-9C2E-E80A845D2E74}</author>
    <author>tc={A5106D88-936A-4251-BF65-FD33EC27499B}</author>
    <author>tc={B585DFDE-D4FC-4B74-8AAC-D9FCEC92DC9A}</author>
    <author>tc={ADA947FB-8DB2-410F-8E91-F65EAFCDA6D1}</author>
    <author>tc={5CAE9D97-8D14-4796-92A5-6EAA3F023644}</author>
    <author>tc={F2D30223-A0F1-42FA-9CFF-5ABAA54B86F0}</author>
    <author>tc={C0F88641-EEE0-45C7-9959-B4D1F5573AF9}</author>
    <author>tc={A89DEE3B-09FA-43F1-A9C9-30D6E19A4F58}</author>
    <author>tc={A82288EE-D420-416F-9DB5-227F7FF40920}</author>
    <author>tc={D4FC3E88-BADD-4894-B242-80E05BFF243C}</author>
    <author>tc={7A175FA6-DD5E-448C-B709-A1C6C56512AD}</author>
    <author>tc={DA8AA390-0759-4C85-92B1-BDAD983C604B}</author>
  </authors>
  <commentList>
    <comment ref="AH3" authorId="0" shapeId="0" xr:uid="{CC80B4C0-464F-4446-AC63-8A9564736D23}">
      <text>
        <t>[线程批注]
你的Excel版本可读取此线程批注; 但如果在更新版本的Excel中打开文件，则对批注所作的任何改动都将被删除。了解详细信息: https://go.microsoft.com/fwlink/?linkid=870924
注释:
    Instead of giving one month rent free and loosing 8% in revenue we can utilize this as a negotiation tool if there is a requirement to close on a lease</t>
      </text>
    </comment>
    <comment ref="CN8" authorId="1" shapeId="0" xr:uid="{684092CD-7B84-4650-B18F-AE880ACA5771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underground/ indoor covered </t>
      </text>
    </comment>
    <comment ref="CO8" authorId="2" shapeId="0" xr:uid="{3FC2D39E-987A-47D4-A0C7-29A380E7E14C}">
      <text>
        <t>[线程批注]
你的Excel版本可读取此线程批注; 但如果在更新版本的Excel中打开文件，则对批注所作的任何改动都将被删除。了解详细信息: https://go.microsoft.com/fwlink/?linkid=870924
注释:
    energized / non-energized</t>
      </text>
    </comment>
    <comment ref="CJ9" authorId="3" shapeId="0" xr:uid="{234BCE4C-2F7C-4A46-B8DD-D82A247A6B3A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underground/ indoor covered </t>
      </text>
    </comment>
    <comment ref="CK9" authorId="4" shapeId="0" xr:uid="{611353AC-48B1-4403-AA6E-63EA274BF631}">
      <text>
        <t>[线程批注]
你的Excel版本可读取此线程批注; 但如果在更新版本的Excel中打开文件，则对批注所作的任何改动都将被删除。了解详细信息: https://go.microsoft.com/fwlink/?linkid=870924
注释:
    energized / non-energized</t>
      </text>
    </comment>
    <comment ref="AF25" authorId="5" shapeId="0" xr:uid="{6CE007BC-1B68-4752-9C2E-E80A845D2E74}">
      <text>
        <t>[线程批注]
你的Excel版本可读取此线程批注; 但如果在更新版本的Excel中打开文件，则对批注所作的任何改动都将被删除。了解详细信息: https://go.microsoft.com/fwlink/?linkid=870924
注释:
    Advance Parking</t>
      </text>
    </comment>
    <comment ref="BS26" authorId="6" shapeId="0" xr:uid="{A5106D88-936A-4251-BF65-FD33EC27499B}">
      <text>
        <t>[线程批注]
你的Excel版本可读取此线程批注; 但如果在更新版本的Excel中打开文件，则对批注所作的任何改动都将被删除。了解详细信息: https://go.microsoft.com/fwlink/?linkid=870924
注释:
    150 main Condo</t>
      </text>
    </comment>
    <comment ref="BU26" authorId="7" shapeId="0" xr:uid="{B585DFDE-D4FC-4B74-8AAC-D9FCEC92DC9A}">
      <text>
        <t>[线程批注]
你的Excel版本可读取此线程批注; 但如果在更新版本的Excel中打开文件，则对批注所作的任何改动都将被删除。了解详细信息: https://go.microsoft.com/fwlink/?linkid=870924
注释:
    20 George Street</t>
      </text>
    </comment>
    <comment ref="BS27" authorId="8" shapeId="0" xr:uid="{ADA947FB-8DB2-410F-8E91-F65EAFCDA6D1}">
      <text>
        <t>[线程批注]
你的Excel版本可读取此线程批注; 但如果在更新版本的Excel中打开文件，则对批注所作的任何改动都将被删除。了解详细信息: https://go.microsoft.com/fwlink/?linkid=870924
注释:
    Hanover</t>
      </text>
    </comment>
    <comment ref="BU27" authorId="9" shapeId="0" xr:uid="{5CAE9D97-8D14-4796-92A5-6EAA3F023644}">
      <text>
        <t>[线程批注]
你的Excel版本可读取此线程批注; 但如果在更新版本的Excel中打开文件，则对批注所作的任何改动都将被删除。了解详细信息: https://go.microsoft.com/fwlink/?linkid=870924
注释:
    Hanover</t>
      </text>
    </comment>
    <comment ref="BS28" authorId="10" shapeId="0" xr:uid="{F2D30223-A0F1-42FA-9CFF-5ABAA54B86F0}">
      <text>
        <t>[线程批注]
你的Excel版本可读取此线程批注; 但如果在更新版本的Excel中打开文件，则对批注所作的任何改动都将被删除。了解详细信息: https://go.microsoft.com/fwlink/?linkid=870924
注释:
    Parklane</t>
      </text>
    </comment>
    <comment ref="BU28" authorId="11" shapeId="0" xr:uid="{C0F88641-EEE0-45C7-9959-B4D1F5573AF9}">
      <text>
        <t>[线程批注]
你的Excel版本可读取此线程批注; 但如果在更新版本的Excel中打开文件，则对批注所作的任何改动都将被删除。了解详细信息: https://go.microsoft.com/fwlink/?linkid=870924
注释:
    Parklane</t>
      </text>
    </comment>
    <comment ref="BS32" authorId="12" shapeId="0" xr:uid="{A89DEE3B-09FA-43F1-A9C9-30D6E19A4F58}">
      <text>
        <t>[线程批注]
你的Excel版本可读取此线程批注; 但如果在更新版本的Excel中打开文件，则对批注所作的任何改动都将被删除。了解详细信息: https://go.microsoft.com/fwlink/?linkid=870924
注释:
    Gabriela Vesely:
the Scott,$125.00 Indoor</t>
      </text>
    </comment>
    <comment ref="BU32" authorId="13" shapeId="0" xr:uid="{A82288EE-D420-416F-9DB5-227F7FF40920}">
      <text>
        <t>[线程批注]
你的Excel版本可读取此线程批注; 但如果在更新版本的Excel中打开文件，则对批注所作的任何改动都将被删除。了解详细信息: https://go.microsoft.com/fwlink/?linkid=870924
注释:
    Park Place</t>
      </text>
    </comment>
    <comment ref="BW32" authorId="14" shapeId="0" xr:uid="{D4FC3E88-BADD-4894-B242-80E05BFF243C}">
      <text>
        <t>[线程批注]
你的Excel版本可读取此线程批注; 但如果在更新版本的Excel中打开文件，则对批注所作的任何改动都将被删除。了解详细信息: https://go.microsoft.com/fwlink/?linkid=870924
注释:
    Capitol Hill</t>
      </text>
    </comment>
    <comment ref="BX32" authorId="15" shapeId="0" xr:uid="{7A175FA6-DD5E-448C-B709-A1C6C56512AD}">
      <text>
        <t>[线程批注]
你的Excel版本可读取此线程批注; 但如果在更新版本的Excel中打开文件，则对批注所作的任何改动都将被删除。了解详细信息: https://go.microsoft.com/fwlink/?linkid=870924
注释:
    Capitol Hill</t>
      </text>
    </comment>
    <comment ref="BY32" authorId="16" shapeId="0" xr:uid="{DA8AA390-0759-4C85-92B1-BDAD983C604B}">
      <text>
        <t>[线程批注]
你的Excel版本可读取此线程批注; 但如果在更新版本的Excel中打开文件，则对批注所作的任何改动都将被删除。了解详细信息: https://go.microsoft.com/fwlink/?linkid=870924
注释:
    Ritten House</t>
      </text>
    </comment>
  </commentList>
</comments>
</file>

<file path=xl/sharedStrings.xml><?xml version="1.0" encoding="utf-8"?>
<sst xmlns="http://schemas.openxmlformats.org/spreadsheetml/2006/main" count="997" uniqueCount="279">
  <si>
    <t>Oct-Dec 2021</t>
  </si>
  <si>
    <t>Jan-Mar 2023</t>
  </si>
  <si>
    <t>Jan</t>
  </si>
  <si>
    <t>Feb</t>
  </si>
  <si>
    <t>Mar</t>
  </si>
  <si>
    <t>Apr</t>
  </si>
  <si>
    <t>May</t>
  </si>
  <si>
    <t>Jun</t>
  </si>
  <si>
    <t>Jul</t>
  </si>
  <si>
    <t>Aug</t>
  </si>
  <si>
    <t>Total Parking Units</t>
  </si>
  <si>
    <t>April</t>
  </si>
  <si>
    <t>June</t>
  </si>
  <si>
    <t>July</t>
  </si>
  <si>
    <t>Sep</t>
  </si>
  <si>
    <t>Oct</t>
  </si>
  <si>
    <t>Nov</t>
  </si>
  <si>
    <t>Dec</t>
  </si>
  <si>
    <t>Current Parking Charge/unit</t>
  </si>
  <si>
    <t>Comp 1 Parking Charge</t>
  </si>
  <si>
    <t>Comp 2 Parking Charge</t>
  </si>
  <si>
    <t>Comp 3 Parking Charge</t>
  </si>
  <si>
    <t>Comp 4 Parking Charge</t>
  </si>
  <si>
    <t>Current Parking Charge</t>
  </si>
  <si>
    <t>Property Code</t>
  </si>
  <si>
    <t>Province</t>
  </si>
  <si>
    <t>Property</t>
  </si>
  <si>
    <t>Occupied Units</t>
  </si>
  <si>
    <t>Parking Revenue</t>
  </si>
  <si>
    <t>Avg Parking Rev/Occupied Units</t>
  </si>
  <si>
    <t>Occ%</t>
  </si>
  <si>
    <t>Garage/Indoor</t>
  </si>
  <si>
    <t>Surface</t>
  </si>
  <si>
    <t>Commercial</t>
  </si>
  <si>
    <t>Occupied Parking Units</t>
  </si>
  <si>
    <t>Occ %</t>
  </si>
  <si>
    <t>Occupied Parking Indoor Feb</t>
  </si>
  <si>
    <t>Surface feb</t>
  </si>
  <si>
    <t>Occ% Feb</t>
  </si>
  <si>
    <t>Occupied Parking Indoor Mar</t>
  </si>
  <si>
    <t>Occupied Parking Surface Mar</t>
  </si>
  <si>
    <t>Occ% Mar</t>
  </si>
  <si>
    <t xml:space="preserve">Occupied Parking Indoor </t>
  </si>
  <si>
    <t xml:space="preserve">Surface </t>
  </si>
  <si>
    <t xml:space="preserve">Occ% </t>
  </si>
  <si>
    <t xml:space="preserve">Occupied Parking Surface </t>
  </si>
  <si>
    <t>Avg Occ 2022</t>
  </si>
  <si>
    <t>Average Garage</t>
  </si>
  <si>
    <t>Average Surface</t>
  </si>
  <si>
    <t>Our Parking vs Comp Parking</t>
  </si>
  <si>
    <t>Remarks</t>
  </si>
  <si>
    <t>Average Garage/Indoor Parking</t>
  </si>
  <si>
    <t>Average Surface Parking</t>
  </si>
  <si>
    <r>
      <rPr>
        <b/>
        <sz val="13"/>
        <color rgb="FF000000"/>
        <rFont val="Calibri"/>
        <family val="2"/>
      </rPr>
      <t>Premium Parking Spots</t>
    </r>
    <r>
      <rPr>
        <b/>
        <sz val="11"/>
        <color rgb="FF000000"/>
        <rFont val="Calibri"/>
        <family val="2"/>
      </rPr>
      <t>(Identify and update the parking spots numbers which could be priced higher than the other parking spots due to their location like closer to the elevator)</t>
    </r>
  </si>
  <si>
    <t>EV</t>
  </si>
  <si>
    <t>y41580</t>
  </si>
  <si>
    <t>AB</t>
  </si>
  <si>
    <t>Glenmore Heights</t>
  </si>
  <si>
    <t xml:space="preserve">Comp 4 has street parking </t>
  </si>
  <si>
    <t>y40210</t>
  </si>
  <si>
    <t>Royal View</t>
  </si>
  <si>
    <r>
      <t>Occupied 25 above ground and 87 underground.</t>
    </r>
    <r>
      <rPr>
        <sz val="11"/>
        <color rgb="FFFF0000"/>
        <rFont val="Calibri"/>
        <family val="2"/>
        <scheme val="minor"/>
      </rPr>
      <t>Royal View and Fifteen 15 should be charging simila</t>
    </r>
    <r>
      <rPr>
        <sz val="11"/>
        <color theme="1"/>
        <rFont val="Calibri"/>
        <family val="2"/>
        <scheme val="minor"/>
      </rPr>
      <t xml:space="preserve">r </t>
    </r>
  </si>
  <si>
    <t>40-70</t>
  </si>
  <si>
    <t>(1)Chelsea estates, (2)skygate towers, (3)royal plaza, (4)dorsett square</t>
  </si>
  <si>
    <t>y40230</t>
  </si>
  <si>
    <t>Lakeview Mews</t>
  </si>
  <si>
    <t>(1) Lakeview estates (2)Lakeview Apartments (3) Mayfair Estates (4) Lincoln Terrace</t>
  </si>
  <si>
    <t>y40940</t>
  </si>
  <si>
    <t>The Mansions</t>
  </si>
  <si>
    <t>(1) Elbow Tower, (2) River Heights, (3) Westside Apartments (4)Stenley Park Place</t>
  </si>
  <si>
    <t>y40960</t>
  </si>
  <si>
    <t>Rouleau</t>
  </si>
  <si>
    <t>(1) Portfolio, (2) Hull Estates, (3) Skygate Towers , (4) The Arch</t>
  </si>
  <si>
    <t>y40911</t>
  </si>
  <si>
    <t>Elata</t>
  </si>
  <si>
    <t>Underground-90,Indoor-60 for Comp 1</t>
  </si>
  <si>
    <t>y40910</t>
  </si>
  <si>
    <t>Glenmore Gardens</t>
  </si>
  <si>
    <t>y64170</t>
  </si>
  <si>
    <t>Discovery Pointe</t>
  </si>
  <si>
    <t>Second vehicle $110</t>
  </si>
  <si>
    <t>y40790</t>
  </si>
  <si>
    <t>Fifteen15</t>
  </si>
  <si>
    <t>y41590</t>
  </si>
  <si>
    <t>Park Square</t>
  </si>
  <si>
    <t>y41491</t>
  </si>
  <si>
    <t>Sodo</t>
  </si>
  <si>
    <t>Commercial lot is Indigo.</t>
  </si>
  <si>
    <t>y64180</t>
  </si>
  <si>
    <t>Calgary Place</t>
  </si>
  <si>
    <t>n/a</t>
  </si>
  <si>
    <t>Indigo Parking 584 stalls.  Commercial pay $150/month</t>
  </si>
  <si>
    <t>N/A through 3rd party Indigo Parking</t>
  </si>
  <si>
    <t>y63135</t>
  </si>
  <si>
    <t>BC</t>
  </si>
  <si>
    <t>The Saint George</t>
  </si>
  <si>
    <t>Sundance, Victoria, Bridgewater, Royals</t>
  </si>
  <si>
    <t>y31201</t>
  </si>
  <si>
    <t>Dunway Court</t>
  </si>
  <si>
    <t>Dunway and Larchway should have similar parking charge</t>
  </si>
  <si>
    <t>P1</t>
  </si>
  <si>
    <t>y63060</t>
  </si>
  <si>
    <t>Panarama Tower</t>
  </si>
  <si>
    <t>We can increase to $75/stall to allign with all our Bby properties</t>
  </si>
  <si>
    <t>y31202</t>
  </si>
  <si>
    <t>Larchway Gardens</t>
  </si>
  <si>
    <t>y63130</t>
  </si>
  <si>
    <t>Sundance Apartments</t>
  </si>
  <si>
    <t>Saint George, Royals, Bridgewater, Northwoods</t>
  </si>
  <si>
    <t>y31251</t>
  </si>
  <si>
    <t>NorthWoods Village</t>
  </si>
  <si>
    <t>Lynn Creek, Capilano Residences, Saint George, Bridgewater</t>
  </si>
  <si>
    <t>y31600</t>
  </si>
  <si>
    <t>Arbour Place</t>
  </si>
  <si>
    <t>Hazel and Arbor place at similar charge</t>
  </si>
  <si>
    <t>y63075</t>
  </si>
  <si>
    <t>Bayview Coal Harbour</t>
  </si>
  <si>
    <t>Commercial spots ( $ 150 and $200)</t>
  </si>
  <si>
    <t>P2-31, 166, 167, 168, 169; P3 - 53, 118, 119, 120</t>
  </si>
  <si>
    <t>y63070</t>
  </si>
  <si>
    <t>Yaletown 939</t>
  </si>
  <si>
    <t>Only P1 , but we have so many parking spots available , the price is ok</t>
  </si>
  <si>
    <t>y31300</t>
  </si>
  <si>
    <t>Metropolitan Towers</t>
  </si>
  <si>
    <t>File shows 233 parkin slots</t>
  </si>
  <si>
    <t>Advance parking  ($200)</t>
  </si>
  <si>
    <t>P1,P2 commercial parking P3,P4 P5 is residential the price is OK</t>
  </si>
  <si>
    <t>y55265</t>
  </si>
  <si>
    <t>ON</t>
  </si>
  <si>
    <t>Regency on Main</t>
  </si>
  <si>
    <t>82 Vacant</t>
  </si>
  <si>
    <t>200/300</t>
  </si>
  <si>
    <t>20 George / 149 Main W / 200 Bay / 93 Bold</t>
  </si>
  <si>
    <t xml:space="preserve">P4-1, P4-2, P5-59, P5-60, P6-23 </t>
  </si>
  <si>
    <t>y50121</t>
  </si>
  <si>
    <t>8 Silver Maple Court</t>
  </si>
  <si>
    <t>90/130</t>
  </si>
  <si>
    <t xml:space="preserve">P1-33, P1-34, P1-T32, P1T-52, P2-T32, P2-33, P2-34, P2-51, </t>
  </si>
  <si>
    <t>y55270</t>
  </si>
  <si>
    <t>Highrise on Lena</t>
  </si>
  <si>
    <t xml:space="preserve">Auburn towers,Barra Quenn,City Centre Condominium ,Riveriew rentals </t>
  </si>
  <si>
    <t>y50670</t>
  </si>
  <si>
    <t>Galleria Residences</t>
  </si>
  <si>
    <t>Surface = Single : Commercial = Tandem... - No competition has tandem spots</t>
  </si>
  <si>
    <t>(1) Res@ Y&amp;C, (2) Parkwillow, (3) Prelude, (4) Pivot</t>
  </si>
  <si>
    <t>A – 359, 360, 361, 361AA; 328 &amp; 329; B – 187, 186, 188, 189 (near visitor parking); C – 456, 455            tandem: 457A/B   458A/B</t>
  </si>
  <si>
    <t>y53620</t>
  </si>
  <si>
    <t>Lions Gate</t>
  </si>
  <si>
    <t>1) The Residence at Weston, 2) The Rathburn, 3) Grenadier Square at High Park Villa, 4)Pacific Way 1485 Williamsport Dr.</t>
  </si>
  <si>
    <t>It is hard to select premium spots as it depends the location of the rental unit . A different approach to premium pricing is needed</t>
  </si>
  <si>
    <t>y53630</t>
  </si>
  <si>
    <t>Mississauga Place</t>
  </si>
  <si>
    <t>Discussed raising charge to $100 indoors and $90 outdoors</t>
  </si>
  <si>
    <t>B1L1:122 to 128, 129 to 136; B1L2: 173 to 181, 172 to 163B; B2L3: 351 to 357, 362 to 401; B2L4: 396 to 401, 406 to 412</t>
  </si>
  <si>
    <t>y55275</t>
  </si>
  <si>
    <t>Lexington Grand</t>
  </si>
  <si>
    <t>Surface spots we have 53 that are Residental and 45 are Visitor parking and 1 guest suite parking,</t>
  </si>
  <si>
    <t>5Rittenhouse,63 Scott St.,81 York St.,Overlee Dr.</t>
  </si>
  <si>
    <t xml:space="preserve">P1-111,112,113,114,115,116,117,118,119,120,121,122,123,124,125 </t>
  </si>
  <si>
    <t>y65225</t>
  </si>
  <si>
    <t>Widdicombe Place</t>
  </si>
  <si>
    <t>included</t>
  </si>
  <si>
    <t xml:space="preserve">2000 Islington, Kingsway , Lincoln Towwers, Old Mill Towers- included, </t>
  </si>
  <si>
    <t>B-level: 39-45; 47-53;75-79;68-74;85-90; Tandem: 80-84 SB level: 239-248; Tandem: 249-258</t>
  </si>
  <si>
    <t>y53600</t>
  </si>
  <si>
    <t>Georgian Court Estates</t>
  </si>
  <si>
    <t xml:space="preserve">Parking outside only - working on parking audit so not 100% sure of the occupied because some long term residents have free parking. </t>
  </si>
  <si>
    <t>75-85</t>
  </si>
  <si>
    <t xml:space="preserve">1. 685/695/705 Surrey Lane, Burlington ON 2.Brantstone Gardens- 1259-1275 Brant St, Burlington ON 3. 2160 Lakeshore Rd 4. 360 Lakeshore Rd </t>
  </si>
  <si>
    <t>y53650</t>
  </si>
  <si>
    <t>Richmond Hill Apartments</t>
  </si>
  <si>
    <t>1.)165 Colborne - Outdoor only  2.)110 Inverlochy Blvd 3.) 9960 Bayview - Outdoor only 4.) Genesis Place</t>
  </si>
  <si>
    <t>y53590</t>
  </si>
  <si>
    <t>Cloisters of the Don</t>
  </si>
  <si>
    <t>101, 102, 103, 104, 105, 106, 160, 173, 174, 175, 176, 146, 147</t>
  </si>
  <si>
    <t>y53660</t>
  </si>
  <si>
    <t>Waterford Tower</t>
  </si>
  <si>
    <t xml:space="preserve">Indoor and outdoor parking same price, </t>
  </si>
  <si>
    <t xml:space="preserve">All indoor /garage parking spots should be priced higher -now is $85 outdoor and indoor </t>
  </si>
  <si>
    <t>y53580</t>
  </si>
  <si>
    <t>Bristol Court</t>
  </si>
  <si>
    <t xml:space="preserve">N/A until the new development completed </t>
  </si>
  <si>
    <t>y50131</t>
  </si>
  <si>
    <t>10 Lisa</t>
  </si>
  <si>
    <t>P1-73,P1-74, P1-75, P1-76, P1-77,P2-2,P2-3, P2-77, P2-78, P2-79, P2-80</t>
  </si>
  <si>
    <t>y65160</t>
  </si>
  <si>
    <t>Applewood on the Park</t>
  </si>
  <si>
    <t>Rates raised Oct 1/21-Due to garage restoration, parking concessions were offered March 2021-present - expected to be completed Nov 15</t>
  </si>
  <si>
    <t>3665 Arista 75-92, other between 100 120</t>
  </si>
  <si>
    <t>Underground from spot U10 to U42 EV 11-14. caR WASH #15-16 Ooutdoors from 45 to 64</t>
  </si>
  <si>
    <t>y65165</t>
  </si>
  <si>
    <t>50 Laurier</t>
  </si>
  <si>
    <t>VISITOR PARKING $10.00</t>
  </si>
  <si>
    <t>180/240</t>
  </si>
  <si>
    <t>y53000</t>
  </si>
  <si>
    <t>Bayview Mews</t>
  </si>
  <si>
    <t>N/A</t>
  </si>
  <si>
    <t>205, 207, 208, 209, 210, 211, 67, 69, 70, 71, 72, 73, 74, 75, 77</t>
  </si>
  <si>
    <t>y50680</t>
  </si>
  <si>
    <t>57 Charles at Bay</t>
  </si>
  <si>
    <t>3rd party parking via Impark and shared w/55 Charles. There are monthly parkers and also hourly parking available.</t>
  </si>
  <si>
    <t>Parking garage leased to Impark</t>
  </si>
  <si>
    <t>y52950</t>
  </si>
  <si>
    <t xml:space="preserve">Bretton Place            </t>
  </si>
  <si>
    <t>$203 (HST Included) for outdoor commercial Pkg</t>
  </si>
  <si>
    <r>
      <rPr>
        <sz val="11"/>
        <color rgb="FFFF0000"/>
        <rFont val="Calibri"/>
        <family val="2"/>
      </rPr>
      <t>33 Rosehil</t>
    </r>
    <r>
      <rPr>
        <sz val="11"/>
        <color rgb="FF000000"/>
        <rFont val="Calibri"/>
        <family val="2"/>
      </rPr>
      <t>l:(</t>
    </r>
    <r>
      <rPr>
        <sz val="11"/>
        <color rgb="FFFF0000"/>
        <rFont val="Calibri"/>
        <family val="2"/>
      </rPr>
      <t>B1</t>
    </r>
    <r>
      <rPr>
        <sz val="11"/>
        <color rgb="FF000000"/>
        <rFont val="Calibri"/>
        <family val="2"/>
      </rPr>
      <t xml:space="preserve"> 263,262,261,259,258,257, </t>
    </r>
    <r>
      <rPr>
        <sz val="11"/>
        <color rgb="FFFF0000"/>
        <rFont val="Calibri"/>
        <family val="2"/>
      </rPr>
      <t>B2</t>
    </r>
    <r>
      <rPr>
        <sz val="11"/>
        <color rgb="FF000000"/>
        <rFont val="Calibri"/>
        <family val="2"/>
      </rPr>
      <t xml:space="preserve"> 648,647,646,632,631,630,629,628.)</t>
    </r>
    <r>
      <rPr>
        <sz val="11"/>
        <color rgb="FFFF0000"/>
        <rFont val="Calibri"/>
        <family val="2"/>
      </rPr>
      <t>44 Jackes Ave</t>
    </r>
    <r>
      <rPr>
        <sz val="11"/>
        <color rgb="FF000000"/>
        <rFont val="Calibri"/>
        <family val="2"/>
      </rPr>
      <t xml:space="preserve"> (</t>
    </r>
    <r>
      <rPr>
        <sz val="11"/>
        <color rgb="FFFF0000"/>
        <rFont val="Calibri"/>
        <family val="2"/>
      </rPr>
      <t xml:space="preserve">B1 </t>
    </r>
    <r>
      <rPr>
        <sz val="11"/>
        <color rgb="FF000000"/>
        <rFont val="Calibri"/>
        <family val="2"/>
      </rPr>
      <t xml:space="preserve">250,249,248,289,290,291,247,246,245,244) </t>
    </r>
    <r>
      <rPr>
        <sz val="11"/>
        <color rgb="FFFF0000"/>
        <rFont val="Calibri"/>
        <family val="2"/>
      </rPr>
      <t>B2</t>
    </r>
    <r>
      <rPr>
        <sz val="11"/>
        <color rgb="FF000000"/>
        <rFont val="Calibri"/>
        <family val="2"/>
      </rPr>
      <t xml:space="preserve"> 612,610,609,608,607,663,662,661,617,618,619</t>
    </r>
  </si>
  <si>
    <t>y31602</t>
  </si>
  <si>
    <t>Hazel</t>
  </si>
  <si>
    <t>incl</t>
  </si>
  <si>
    <t>1). Amazing Brentwood, 2). Montecito Tower, 3). Horizon Tower, 4). The George,Comp 4 (parking incl. in rent)</t>
  </si>
  <si>
    <t xml:space="preserve">P1): 251-255 , 271-289 , townhomes 319-324; P2): 95-107 , 114-134 ; P3): 49-94;  P4): 1-48 </t>
  </si>
  <si>
    <t>y53640</t>
  </si>
  <si>
    <t>Residences on Bloor</t>
  </si>
  <si>
    <t>NTP - $145 + HST; 68 spots - for NTP vacant due to COVID 19; old residents - $105 - $110; new residents - $125 - $135;  2-handicap spots; 4- staff; 11-visitor's, 4 -garbage bin; 2 spots - construction bin/materials</t>
  </si>
  <si>
    <t xml:space="preserve">Comp 2 is 3rd party managed parking </t>
  </si>
  <si>
    <t>P1 Level - 1, 2, 3, 4, 7, 8, 9, 22, 23, 29, 30, 36, 37; P2 Level - 73, 74, 75, 76, 82, 83, 87, 88, 89, 90 91, 92, 93, 94; P3 Level - 144, 145, 146, 147, 153, 154, 158, 159, 160, 161, 162, 163, 164, 165; P4 Level - 215, 216, 217, 218, 233, 234, 235, 236, 237, 238</t>
  </si>
  <si>
    <t>Bretton Place</t>
  </si>
  <si>
    <t xml:space="preserve">June </t>
  </si>
  <si>
    <t>Oct-Dec</t>
  </si>
  <si>
    <t>Storage Rev</t>
  </si>
  <si>
    <t>Avg Rev</t>
  </si>
  <si>
    <t>Storage Units Available</t>
  </si>
  <si>
    <t>Avg Percentage of res Taking Storage</t>
  </si>
  <si>
    <t>Current Storage Charge</t>
  </si>
  <si>
    <t>Comp 1 Storage Charge</t>
  </si>
  <si>
    <t>Comp 2 Storage Charge</t>
  </si>
  <si>
    <t>Comp 3 Storage Charge</t>
  </si>
  <si>
    <t>Comp 4 Storage Charge</t>
  </si>
  <si>
    <t xml:space="preserve">Average Charge </t>
  </si>
  <si>
    <t>Our Storage vs Comp Storage</t>
  </si>
  <si>
    <t xml:space="preserve">No Storage Lockers </t>
  </si>
  <si>
    <t>No Storage Lockers- mayfair place $50/month</t>
  </si>
  <si>
    <t>Storage available in Glenmore Gardens</t>
  </si>
  <si>
    <t>Others do not have storage lockers</t>
  </si>
  <si>
    <t>35-50</t>
  </si>
  <si>
    <t xml:space="preserve"> 91 Bike stalls at $15.00, occupied stalls unknown</t>
  </si>
  <si>
    <t xml:space="preserve">located in the basement of each tower </t>
  </si>
  <si>
    <t>P1 &amp; P2</t>
  </si>
  <si>
    <t>no storage lockers for rent in chelsea estates, skygate towers, dorsett square or royal plaza</t>
  </si>
  <si>
    <t>Saint George, Sundance, Royals, Magnolia</t>
  </si>
  <si>
    <t>25 S/ 50 L</t>
  </si>
  <si>
    <t xml:space="preserve">     N/A</t>
  </si>
  <si>
    <t xml:space="preserve">  N/A</t>
  </si>
  <si>
    <t>P-5</t>
  </si>
  <si>
    <t>locked in the parking area</t>
  </si>
  <si>
    <t>Northwoods, Sundance, Royals, Magnolia</t>
  </si>
  <si>
    <t>25-40</t>
  </si>
  <si>
    <t>We can start charging $30 to allign all our Bby properties</t>
  </si>
  <si>
    <t>We can start charging $30 to allign with Hazel</t>
  </si>
  <si>
    <t xml:space="preserve">located in the parking area </t>
  </si>
  <si>
    <t>Northwoods, Saint George, Royals, Magnolia</t>
  </si>
  <si>
    <t>Total # of lockers is 116 for 15 Baif &amp; 109 for 45 Baif</t>
  </si>
  <si>
    <t>1.) 165 Colborne 2.) 110 Inverlochy - 1 Locker included 3.)9960 Bayview Ave. - No Lockers 4.) Genesis Place</t>
  </si>
  <si>
    <t>25-50-65</t>
  </si>
  <si>
    <t>ONE80FIVE LYON,  BALMORAL- 99 RANGE RD, Clarendon apt 20,24 York St</t>
  </si>
  <si>
    <t>As of November 1st</t>
  </si>
  <si>
    <t>Lockers only for the residents in the tower</t>
  </si>
  <si>
    <t>Price raised Nov 1/21</t>
  </si>
  <si>
    <t>En suite</t>
  </si>
  <si>
    <t>en suite</t>
  </si>
  <si>
    <t xml:space="preserve">1 locker vacant, </t>
  </si>
  <si>
    <t>275 regular lockers and 19 private</t>
  </si>
  <si>
    <t xml:space="preserve">2000 Islington, Kingsway Village, Lincoln Towwers, Old Mill Towers, </t>
  </si>
  <si>
    <t>7-8 available lockers</t>
  </si>
  <si>
    <t>$25/$50</t>
  </si>
  <si>
    <t>5-6 lockers + are being used for QuadReal site storage -will review and do an audit</t>
  </si>
  <si>
    <t>$20 - $35</t>
  </si>
  <si>
    <t>Rates for new residents: small - $25; Large - $35; old residents has free locker/s</t>
  </si>
  <si>
    <t>30-50</t>
  </si>
  <si>
    <t>for comp 4 one locker included with rental (55 Charles)</t>
  </si>
  <si>
    <t xml:space="preserve"># of lockers 238, old residents have free lockers and office about 10 </t>
  </si>
  <si>
    <t>No Storage at this property</t>
  </si>
  <si>
    <t>City View Inside parking $100.00 - Storage $50.00 - 9 &amp;11 Lisa Parking $85.00 and &amp;75.00, No Storage - 2&amp;4 Hanover Parking $85.00 and $75.00, No storage - 2, 4 &amp; 6 SMC Parking $85.00 and $75.00, No Storage</t>
  </si>
  <si>
    <t>no storage lockers</t>
  </si>
  <si>
    <t>No lockers</t>
  </si>
  <si>
    <t>no lockers</t>
  </si>
  <si>
    <t>30-50-30-30-incl</t>
  </si>
  <si>
    <t>Amazing Brentwood, Monencito Towers, Horizon Towers, The George</t>
  </si>
  <si>
    <t>Average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</si>
</sst>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3" fontId="0" fillId="0" borderId="14" xfId="0" applyNumberFormat="1" applyBorder="1" applyAlignment="1">
      <alignment horizontal="center"/>
    </xf>
    <xf numFmtId="0" fontId="0" fillId="0" borderId="4" xfId="0" applyBorder="1"/>
    <xf numFmtId="3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3" xfId="0" applyBorder="1"/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7" xfId="0" applyBorder="1"/>
    <xf numFmtId="3" fontId="0" fillId="0" borderId="22" xfId="0" applyNumberFormat="1" applyBorder="1" applyAlignment="1">
      <alignment horizontal="center"/>
    </xf>
    <xf numFmtId="0" fontId="0" fillId="0" borderId="21" xfId="0" applyBorder="1"/>
    <xf numFmtId="0" fontId="0" fillId="0" borderId="24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25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2" fillId="0" borderId="1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3" fillId="0" borderId="9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0" fillId="0" borderId="34" xfId="0" applyBorder="1"/>
    <xf numFmtId="0" fontId="0" fillId="0" borderId="36" xfId="0" applyBorder="1"/>
    <xf numFmtId="0" fontId="3" fillId="0" borderId="1" xfId="0" applyFont="1" applyBorder="1" applyAlignment="1">
      <alignment wrapText="1"/>
    </xf>
    <xf numFmtId="3" fontId="0" fillId="0" borderId="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3" borderId="2" xfId="0" applyFill="1" applyBorder="1"/>
    <xf numFmtId="0" fontId="0" fillId="3" borderId="11" xfId="0" applyFill="1" applyBorder="1"/>
    <xf numFmtId="0" fontId="0" fillId="0" borderId="39" xfId="0" applyBorder="1"/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3" fillId="3" borderId="40" xfId="0" applyFont="1" applyFill="1" applyBorder="1" applyAlignment="1">
      <alignment wrapText="1"/>
    </xf>
    <xf numFmtId="0" fontId="0" fillId="3" borderId="40" xfId="0" applyFill="1" applyBorder="1"/>
    <xf numFmtId="3" fontId="0" fillId="0" borderId="17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3" borderId="41" xfId="0" applyFill="1" applyBorder="1"/>
    <xf numFmtId="0" fontId="3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3" borderId="5" xfId="0" applyFont="1" applyFill="1" applyBorder="1" applyAlignment="1">
      <alignment wrapText="1"/>
    </xf>
    <xf numFmtId="0" fontId="3" fillId="3" borderId="44" xfId="0" applyFont="1" applyFill="1" applyBorder="1" applyAlignment="1">
      <alignment wrapText="1"/>
    </xf>
    <xf numFmtId="0" fontId="3" fillId="0" borderId="31" xfId="0" applyFont="1" applyBorder="1" applyAlignment="1">
      <alignment wrapText="1"/>
    </xf>
    <xf numFmtId="1" fontId="3" fillId="3" borderId="5" xfId="0" applyNumberFormat="1" applyFont="1" applyFill="1" applyBorder="1" applyAlignment="1">
      <alignment wrapText="1"/>
    </xf>
    <xf numFmtId="1" fontId="3" fillId="3" borderId="27" xfId="0" applyNumberFormat="1" applyFont="1" applyFill="1" applyBorder="1" applyAlignment="1">
      <alignment wrapText="1"/>
    </xf>
    <xf numFmtId="0" fontId="0" fillId="2" borderId="0" xfId="0" applyFill="1"/>
    <xf numFmtId="0" fontId="3" fillId="0" borderId="1" xfId="0" applyFont="1" applyBorder="1" applyAlignment="1">
      <alignment horizontal="center" wrapText="1"/>
    </xf>
    <xf numFmtId="0" fontId="6" fillId="0" borderId="30" xfId="0" applyFont="1" applyBorder="1"/>
    <xf numFmtId="0" fontId="6" fillId="0" borderId="31" xfId="0" applyFont="1" applyBorder="1"/>
    <xf numFmtId="0" fontId="3" fillId="0" borderId="1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Protection="1">
      <protection hidden="1"/>
    </xf>
    <xf numFmtId="10" fontId="0" fillId="0" borderId="0" xfId="0" applyNumberFormat="1" applyProtection="1">
      <protection hidden="1"/>
    </xf>
    <xf numFmtId="0" fontId="3" fillId="0" borderId="1" xfId="0" applyFont="1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wrapText="1"/>
      <protection hidden="1"/>
    </xf>
    <xf numFmtId="10" fontId="0" fillId="0" borderId="5" xfId="0" applyNumberFormat="1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0" fillId="3" borderId="2" xfId="0" applyFill="1" applyBorder="1" applyProtection="1">
      <protection hidden="1"/>
    </xf>
    <xf numFmtId="10" fontId="0" fillId="0" borderId="2" xfId="0" applyNumberFormat="1" applyBorder="1" applyAlignment="1" applyProtection="1">
      <alignment horizontal="center"/>
      <protection hidden="1"/>
    </xf>
    <xf numFmtId="0" fontId="0" fillId="2" borderId="2" xfId="0" applyFill="1" applyBorder="1" applyProtection="1">
      <protection hidden="1"/>
    </xf>
    <xf numFmtId="0" fontId="0" fillId="0" borderId="38" xfId="0" applyBorder="1" applyProtection="1">
      <protection hidden="1"/>
    </xf>
    <xf numFmtId="0" fontId="0" fillId="3" borderId="11" xfId="0" applyFill="1" applyBorder="1" applyProtection="1">
      <protection hidden="1"/>
    </xf>
    <xf numFmtId="1" fontId="0" fillId="0" borderId="0" xfId="0" applyNumberFormat="1" applyProtection="1">
      <protection hidden="1"/>
    </xf>
    <xf numFmtId="10" fontId="0" fillId="0" borderId="36" xfId="0" applyNumberFormat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9" xfId="0" applyBorder="1" applyProtection="1">
      <protection hidden="1"/>
    </xf>
    <xf numFmtId="0" fontId="6" fillId="3" borderId="36" xfId="0" applyFont="1" applyFill="1" applyBorder="1" applyProtection="1">
      <protection hidden="1"/>
    </xf>
    <xf numFmtId="0" fontId="6" fillId="3" borderId="34" xfId="0" applyFont="1" applyFill="1" applyBorder="1" applyProtection="1">
      <protection hidden="1"/>
    </xf>
    <xf numFmtId="10" fontId="3" fillId="0" borderId="1" xfId="0" applyNumberFormat="1" applyFont="1" applyBorder="1" applyAlignment="1" applyProtection="1">
      <alignment horizontal="center" wrapText="1"/>
      <protection hidden="1"/>
    </xf>
    <xf numFmtId="0" fontId="3" fillId="0" borderId="30" xfId="0" applyFont="1" applyBorder="1" applyAlignment="1" applyProtection="1">
      <alignment wrapText="1"/>
      <protection hidden="1"/>
    </xf>
    <xf numFmtId="0" fontId="3" fillId="0" borderId="32" xfId="0" applyFont="1" applyBorder="1" applyAlignment="1" applyProtection="1">
      <alignment wrapText="1"/>
      <protection hidden="1"/>
    </xf>
    <xf numFmtId="0" fontId="3" fillId="3" borderId="5" xfId="0" applyFont="1" applyFill="1" applyBorder="1" applyAlignment="1" applyProtection="1">
      <alignment wrapText="1"/>
      <protection hidden="1"/>
    </xf>
    <xf numFmtId="1" fontId="3" fillId="3" borderId="5" xfId="0" applyNumberFormat="1" applyFont="1" applyFill="1" applyBorder="1" applyAlignment="1" applyProtection="1">
      <alignment wrapText="1"/>
      <protection hidden="1"/>
    </xf>
    <xf numFmtId="0" fontId="3" fillId="3" borderId="32" xfId="0" applyFont="1" applyFill="1" applyBorder="1" applyAlignment="1" applyProtection="1">
      <alignment wrapText="1"/>
      <protection hidden="1"/>
    </xf>
    <xf numFmtId="0" fontId="0" fillId="0" borderId="5" xfId="0" applyBorder="1" applyProtection="1">
      <protection hidden="1"/>
    </xf>
    <xf numFmtId="0" fontId="0" fillId="0" borderId="44" xfId="0" applyBorder="1" applyProtection="1">
      <protection hidden="1"/>
    </xf>
    <xf numFmtId="0" fontId="3" fillId="0" borderId="33" xfId="0" applyFont="1" applyBorder="1" applyAlignment="1" applyProtection="1">
      <alignment wrapText="1"/>
      <protection hidden="1"/>
    </xf>
    <xf numFmtId="0" fontId="3" fillId="3" borderId="2" xfId="0" applyFont="1" applyFill="1" applyBorder="1" applyAlignment="1" applyProtection="1">
      <alignment wrapText="1"/>
      <protection hidden="1"/>
    </xf>
    <xf numFmtId="0" fontId="3" fillId="3" borderId="33" xfId="0" applyFont="1" applyFill="1" applyBorder="1" applyAlignment="1" applyProtection="1">
      <alignment wrapText="1"/>
      <protection hidden="1"/>
    </xf>
    <xf numFmtId="0" fontId="0" fillId="0" borderId="2" xfId="0" applyBorder="1" applyProtection="1">
      <protection hidden="1"/>
    </xf>
    <xf numFmtId="0" fontId="0" fillId="0" borderId="40" xfId="0" applyBorder="1" applyProtection="1">
      <protection hidden="1"/>
    </xf>
    <xf numFmtId="0" fontId="0" fillId="3" borderId="33" xfId="0" applyFill="1" applyBorder="1" applyProtection="1">
      <protection hidden="1"/>
    </xf>
    <xf numFmtId="10" fontId="0" fillId="0" borderId="11" xfId="0" applyNumberFormat="1" applyBorder="1" applyAlignment="1" applyProtection="1">
      <alignment horizontal="center"/>
      <protection hidden="1"/>
    </xf>
    <xf numFmtId="1" fontId="3" fillId="3" borderId="27" xfId="0" applyNumberFormat="1" applyFont="1" applyFill="1" applyBorder="1" applyAlignment="1" applyProtection="1">
      <alignment wrapText="1"/>
      <protection hidden="1"/>
    </xf>
    <xf numFmtId="0" fontId="0" fillId="3" borderId="38" xfId="0" applyFill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41" xfId="0" applyBorder="1" applyProtection="1">
      <protection hidden="1"/>
    </xf>
    <xf numFmtId="0" fontId="0" fillId="3" borderId="40" xfId="0" applyFill="1" applyBorder="1" applyProtection="1">
      <protection locked="0"/>
    </xf>
    <xf numFmtId="0" fontId="0" fillId="3" borderId="41" xfId="0" applyFill="1" applyBorder="1" applyProtection="1">
      <protection locked="0"/>
    </xf>
    <xf numFmtId="0" fontId="3" fillId="3" borderId="44" xfId="0" applyFont="1" applyFill="1" applyBorder="1" applyAlignment="1" applyProtection="1">
      <alignment wrapText="1"/>
      <protection locked="0"/>
    </xf>
    <xf numFmtId="1" fontId="3" fillId="3" borderId="5" xfId="0" applyNumberFormat="1" applyFont="1" applyFill="1" applyBorder="1" applyAlignment="1" applyProtection="1">
      <alignment wrapText="1"/>
      <protection locked="0"/>
    </xf>
    <xf numFmtId="0" fontId="3" fillId="3" borderId="40" xfId="0" applyFont="1" applyFill="1" applyBorder="1" applyAlignment="1" applyProtection="1">
      <alignment wrapText="1"/>
      <protection locked="0"/>
    </xf>
    <xf numFmtId="1" fontId="3" fillId="3" borderId="27" xfId="0" applyNumberFormat="1" applyFont="1" applyFill="1" applyBorder="1" applyAlignment="1" applyProtection="1">
      <alignment wrapText="1"/>
      <protection locked="0"/>
    </xf>
    <xf numFmtId="0" fontId="3" fillId="3" borderId="31" xfId="0" applyFont="1" applyFill="1" applyBorder="1" applyAlignment="1" applyProtection="1">
      <alignment horizontal="center" wrapText="1"/>
      <protection locked="0"/>
    </xf>
    <xf numFmtId="0" fontId="3" fillId="0" borderId="9" xfId="0" applyFont="1" applyBorder="1" applyAlignment="1" applyProtection="1">
      <alignment horizontal="center" wrapText="1"/>
      <protection locked="0"/>
    </xf>
    <xf numFmtId="0" fontId="3" fillId="0" borderId="25" xfId="0" applyFont="1" applyBorder="1" applyAlignment="1" applyProtection="1">
      <alignment horizontal="center" wrapText="1"/>
      <protection locked="0"/>
    </xf>
    <xf numFmtId="0" fontId="3" fillId="0" borderId="31" xfId="0" applyFont="1" applyBorder="1" applyAlignment="1" applyProtection="1">
      <alignment horizontal="center" wrapText="1"/>
      <protection locked="0"/>
    </xf>
    <xf numFmtId="0" fontId="3" fillId="0" borderId="36" xfId="0" applyFont="1" applyBorder="1" applyAlignment="1" applyProtection="1">
      <alignment horizontal="center" wrapText="1"/>
      <protection locked="0"/>
    </xf>
    <xf numFmtId="0" fontId="3" fillId="0" borderId="39" xfId="0" applyFont="1" applyBorder="1" applyAlignment="1" applyProtection="1">
      <alignment horizontal="center" wrapText="1"/>
      <protection locked="0"/>
    </xf>
    <xf numFmtId="1" fontId="0" fillId="3" borderId="2" xfId="0" applyNumberFormat="1" applyFill="1" applyBorder="1" applyProtection="1">
      <protection locked="0"/>
    </xf>
    <xf numFmtId="1" fontId="0" fillId="3" borderId="40" xfId="0" applyNumberFormat="1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1" fontId="0" fillId="2" borderId="40" xfId="0" applyNumberFormat="1" applyFill="1" applyBorder="1" applyProtection="1">
      <protection locked="0"/>
    </xf>
    <xf numFmtId="1" fontId="0" fillId="3" borderId="11" xfId="0" applyNumberFormat="1" applyFill="1" applyBorder="1" applyProtection="1">
      <protection locked="0"/>
    </xf>
    <xf numFmtId="1" fontId="0" fillId="3" borderId="41" xfId="0" applyNumberFormat="1" applyFill="1" applyBorder="1" applyProtection="1">
      <protection locked="0"/>
    </xf>
    <xf numFmtId="0" fontId="0" fillId="3" borderId="1" xfId="0" applyFill="1" applyBorder="1"/>
    <xf numFmtId="0" fontId="3" fillId="3" borderId="31" xfId="0" applyFont="1" applyFill="1" applyBorder="1" applyAlignment="1">
      <alignment horizontal="center" wrapText="1"/>
    </xf>
    <xf numFmtId="1" fontId="0" fillId="0" borderId="52" xfId="1" applyNumberFormat="1" applyFont="1" applyBorder="1" applyProtection="1"/>
    <xf numFmtId="1" fontId="0" fillId="0" borderId="32" xfId="1" applyNumberFormat="1" applyFont="1" applyBorder="1" applyProtection="1"/>
    <xf numFmtId="1" fontId="0" fillId="0" borderId="50" xfId="1" applyNumberFormat="1" applyFont="1" applyBorder="1" applyProtection="1"/>
    <xf numFmtId="1" fontId="0" fillId="0" borderId="33" xfId="1" applyNumberFormat="1" applyFont="1" applyBorder="1" applyProtection="1"/>
    <xf numFmtId="1" fontId="0" fillId="0" borderId="51" xfId="1" applyNumberFormat="1" applyFont="1" applyBorder="1" applyProtection="1"/>
    <xf numFmtId="1" fontId="0" fillId="0" borderId="38" xfId="1" applyNumberFormat="1" applyFont="1" applyBorder="1" applyProtection="1"/>
    <xf numFmtId="1" fontId="0" fillId="0" borderId="54" xfId="1" applyNumberFormat="1" applyFont="1" applyBorder="1" applyProtection="1"/>
    <xf numFmtId="1" fontId="0" fillId="0" borderId="47" xfId="1" applyNumberFormat="1" applyFont="1" applyBorder="1" applyProtection="1"/>
    <xf numFmtId="1" fontId="0" fillId="0" borderId="48" xfId="1" applyNumberFormat="1" applyFont="1" applyBorder="1" applyProtection="1"/>
    <xf numFmtId="1" fontId="0" fillId="0" borderId="49" xfId="1" applyNumberFormat="1" applyFont="1" applyBorder="1" applyProtection="1"/>
    <xf numFmtId="1" fontId="0" fillId="0" borderId="0" xfId="1" applyNumberFormat="1" applyFont="1" applyBorder="1" applyProtection="1"/>
    <xf numFmtId="1" fontId="0" fillId="0" borderId="53" xfId="1" applyNumberFormat="1" applyFont="1" applyBorder="1" applyProtection="1"/>
    <xf numFmtId="1" fontId="0" fillId="2" borderId="50" xfId="1" applyNumberFormat="1" applyFont="1" applyFill="1" applyBorder="1" applyProtection="1"/>
    <xf numFmtId="1" fontId="0" fillId="2" borderId="33" xfId="1" applyNumberFormat="1" applyFont="1" applyFill="1" applyBorder="1" applyProtection="1"/>
    <xf numFmtId="1" fontId="0" fillId="2" borderId="52" xfId="1" applyNumberFormat="1" applyFont="1" applyFill="1" applyBorder="1" applyProtection="1"/>
    <xf numFmtId="1" fontId="0" fillId="2" borderId="32" xfId="1" applyNumberFormat="1" applyFont="1" applyFill="1" applyBorder="1" applyProtection="1"/>
    <xf numFmtId="1" fontId="0" fillId="0" borderId="57" xfId="1" applyNumberFormat="1" applyFont="1" applyBorder="1" applyProtection="1"/>
    <xf numFmtId="1" fontId="0" fillId="0" borderId="56" xfId="1" applyNumberFormat="1" applyFont="1" applyBorder="1" applyProtection="1"/>
    <xf numFmtId="3" fontId="0" fillId="0" borderId="60" xfId="0" applyNumberFormat="1" applyBorder="1" applyAlignment="1">
      <alignment horizontal="center"/>
    </xf>
    <xf numFmtId="3" fontId="0" fillId="0" borderId="46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0" fillId="3" borderId="58" xfId="0" applyFill="1" applyBorder="1"/>
    <xf numFmtId="0" fontId="0" fillId="3" borderId="65" xfId="0" applyFill="1" applyBorder="1" applyProtection="1">
      <protection locked="0"/>
    </xf>
    <xf numFmtId="1" fontId="0" fillId="3" borderId="58" xfId="0" applyNumberFormat="1" applyFill="1" applyBorder="1" applyProtection="1">
      <protection locked="0"/>
    </xf>
    <xf numFmtId="1" fontId="0" fillId="3" borderId="65" xfId="0" applyNumberFormat="1" applyFill="1" applyBorder="1" applyProtection="1">
      <protection locked="0"/>
    </xf>
    <xf numFmtId="0" fontId="3" fillId="0" borderId="10" xfId="0" applyFont="1" applyBorder="1" applyAlignment="1">
      <alignment wrapText="1"/>
    </xf>
    <xf numFmtId="0" fontId="3" fillId="0" borderId="25" xfId="0" applyFont="1" applyBorder="1" applyAlignment="1">
      <alignment horizontal="center"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10" fontId="3" fillId="0" borderId="10" xfId="0" applyNumberFormat="1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43" xfId="0" applyFont="1" applyBorder="1" applyAlignment="1">
      <alignment wrapText="1"/>
    </xf>
    <xf numFmtId="10" fontId="3" fillId="0" borderId="23" xfId="0" applyNumberFormat="1" applyFont="1" applyBorder="1" applyAlignment="1">
      <alignment wrapText="1"/>
    </xf>
    <xf numFmtId="0" fontId="3" fillId="0" borderId="31" xfId="0" applyFont="1" applyBorder="1" applyAlignment="1">
      <alignment horizontal="center" wrapText="1"/>
    </xf>
    <xf numFmtId="3" fontId="0" fillId="2" borderId="6" xfId="0" applyNumberFormat="1" applyFill="1" applyBorder="1" applyAlignment="1">
      <alignment horizontal="center"/>
    </xf>
    <xf numFmtId="3" fontId="0" fillId="2" borderId="21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22" xfId="0" applyNumberFormat="1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0" fillId="0" borderId="22" xfId="0" applyBorder="1"/>
    <xf numFmtId="0" fontId="0" fillId="0" borderId="20" xfId="0" applyBorder="1"/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5" xfId="0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3" fontId="0" fillId="0" borderId="6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0" borderId="32" xfId="0" applyNumberFormat="1" applyBorder="1"/>
    <xf numFmtId="3" fontId="0" fillId="0" borderId="52" xfId="0" applyNumberFormat="1" applyBorder="1"/>
    <xf numFmtId="0" fontId="0" fillId="3" borderId="22" xfId="0" applyFill="1" applyBorder="1"/>
    <xf numFmtId="0" fontId="0" fillId="3" borderId="7" xfId="0" applyFill="1" applyBorder="1"/>
    <xf numFmtId="0" fontId="0" fillId="3" borderId="6" xfId="0" applyFill="1" applyBorder="1"/>
    <xf numFmtId="1" fontId="0" fillId="3" borderId="5" xfId="0" applyNumberFormat="1" applyFill="1" applyBorder="1"/>
    <xf numFmtId="1" fontId="0" fillId="3" borderId="44" xfId="0" applyNumberFormat="1" applyFill="1" applyBorder="1"/>
    <xf numFmtId="3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33" xfId="0" applyBorder="1"/>
    <xf numFmtId="0" fontId="0" fillId="0" borderId="50" xfId="0" applyBorder="1"/>
    <xf numFmtId="0" fontId="0" fillId="3" borderId="18" xfId="0" applyFill="1" applyBorder="1"/>
    <xf numFmtId="0" fontId="0" fillId="3" borderId="4" xfId="0" applyFill="1" applyBorder="1"/>
    <xf numFmtId="0" fontId="0" fillId="3" borderId="3" xfId="0" applyFill="1" applyBorder="1"/>
    <xf numFmtId="1" fontId="0" fillId="3" borderId="2" xfId="0" applyNumberFormat="1" applyFill="1" applyBorder="1"/>
    <xf numFmtId="1" fontId="0" fillId="3" borderId="40" xfId="0" applyNumberFormat="1" applyFill="1" applyBorder="1"/>
    <xf numFmtId="0" fontId="5" fillId="0" borderId="3" xfId="0" applyFont="1" applyBorder="1" applyAlignment="1">
      <alignment horizontal="center"/>
    </xf>
    <xf numFmtId="0" fontId="0" fillId="0" borderId="45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6" borderId="50" xfId="0" applyFill="1" applyBorder="1"/>
    <xf numFmtId="0" fontId="0" fillId="2" borderId="18" xfId="0" applyFill="1" applyBorder="1"/>
    <xf numFmtId="0" fontId="0" fillId="2" borderId="3" xfId="0" applyFill="1" applyBorder="1"/>
    <xf numFmtId="0" fontId="0" fillId="2" borderId="4" xfId="0" applyFill="1" applyBorder="1"/>
    <xf numFmtId="1" fontId="0" fillId="2" borderId="2" xfId="0" applyNumberFormat="1" applyFill="1" applyBorder="1"/>
    <xf numFmtId="1" fontId="0" fillId="2" borderId="40" xfId="0" applyNumberFormat="1" applyFill="1" applyBorder="1"/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0" borderId="53" xfId="0" applyBorder="1"/>
    <xf numFmtId="0" fontId="0" fillId="0" borderId="46" xfId="0" applyBorder="1"/>
    <xf numFmtId="0" fontId="0" fillId="0" borderId="58" xfId="0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63" xfId="0" applyNumberFormat="1" applyBorder="1" applyAlignment="1">
      <alignment horizontal="center"/>
    </xf>
    <xf numFmtId="0" fontId="0" fillId="0" borderId="62" xfId="0" applyBorder="1"/>
    <xf numFmtId="0" fontId="0" fillId="0" borderId="64" xfId="0" applyBorder="1"/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59" xfId="0" applyNumberFormat="1" applyBorder="1" applyAlignment="1">
      <alignment horizontal="center"/>
    </xf>
    <xf numFmtId="0" fontId="0" fillId="0" borderId="60" xfId="0" applyBorder="1"/>
    <xf numFmtId="0" fontId="0" fillId="2" borderId="62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3" borderId="62" xfId="0" applyFill="1" applyBorder="1"/>
    <xf numFmtId="0" fontId="0" fillId="3" borderId="61" xfId="0" applyFill="1" applyBorder="1"/>
    <xf numFmtId="0" fontId="0" fillId="3" borderId="60" xfId="0" applyFill="1" applyBorder="1"/>
    <xf numFmtId="1" fontId="0" fillId="3" borderId="58" xfId="0" applyNumberFormat="1" applyFill="1" applyBorder="1"/>
    <xf numFmtId="1" fontId="0" fillId="3" borderId="65" xfId="0" applyNumberFormat="1" applyFill="1" applyBorder="1"/>
    <xf numFmtId="3" fontId="0" fillId="0" borderId="26" xfId="0" applyNumberFormat="1" applyBorder="1" applyAlignment="1">
      <alignment horizontal="center"/>
    </xf>
    <xf numFmtId="0" fontId="0" fillId="0" borderId="29" xfId="0" applyBorder="1"/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8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3" borderId="19" xfId="0" applyFill="1" applyBorder="1"/>
    <xf numFmtId="0" fontId="0" fillId="3" borderId="13" xfId="0" applyFill="1" applyBorder="1"/>
    <xf numFmtId="0" fontId="0" fillId="3" borderId="12" xfId="0" applyFill="1" applyBorder="1"/>
    <xf numFmtId="1" fontId="0" fillId="3" borderId="11" xfId="0" applyNumberFormat="1" applyFill="1" applyBorder="1"/>
    <xf numFmtId="1" fontId="0" fillId="3" borderId="41" xfId="0" applyNumberFormat="1" applyFill="1" applyBorder="1"/>
    <xf numFmtId="10" fontId="0" fillId="0" borderId="58" xfId="0" applyNumberFormat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0" fontId="0" fillId="3" borderId="58" xfId="0" applyFill="1" applyBorder="1" applyProtection="1">
      <protection hidden="1"/>
    </xf>
    <xf numFmtId="1" fontId="3" fillId="3" borderId="59" xfId="0" applyNumberFormat="1" applyFont="1" applyFill="1" applyBorder="1" applyAlignment="1" applyProtection="1">
      <alignment wrapText="1"/>
      <protection hidden="1"/>
    </xf>
    <xf numFmtId="0" fontId="0" fillId="3" borderId="47" xfId="0" applyFill="1" applyBorder="1" applyProtection="1">
      <protection hidden="1"/>
    </xf>
    <xf numFmtId="0" fontId="0" fillId="0" borderId="58" xfId="0" applyBorder="1" applyProtection="1">
      <protection hidden="1"/>
    </xf>
    <xf numFmtId="0" fontId="0" fillId="0" borderId="65" xfId="0" applyBorder="1" applyProtection="1">
      <protection hidden="1"/>
    </xf>
    <xf numFmtId="0" fontId="0" fillId="3" borderId="65" xfId="0" applyFill="1" applyBorder="1"/>
    <xf numFmtId="1" fontId="3" fillId="3" borderId="59" xfId="0" applyNumberFormat="1" applyFont="1" applyFill="1" applyBorder="1" applyAlignment="1">
      <alignment wrapText="1"/>
    </xf>
    <xf numFmtId="1" fontId="3" fillId="3" borderId="59" xfId="0" applyNumberFormat="1" applyFont="1" applyFill="1" applyBorder="1" applyAlignment="1" applyProtection="1">
      <alignment wrapText="1"/>
      <protection locked="0"/>
    </xf>
    <xf numFmtId="0" fontId="2" fillId="0" borderId="8" xfId="0" applyFont="1" applyBorder="1"/>
    <xf numFmtId="0" fontId="2" fillId="0" borderId="1" xfId="0" applyFont="1" applyBorder="1"/>
    <xf numFmtId="0" fontId="2" fillId="0" borderId="3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0" fillId="3" borderId="40" xfId="0" applyFill="1" applyBorder="1" applyAlignment="1" applyProtection="1">
      <alignment wrapText="1"/>
      <protection locked="0"/>
    </xf>
    <xf numFmtId="0" fontId="3" fillId="0" borderId="30" xfId="0" applyFont="1" applyBorder="1" applyAlignment="1">
      <alignment wrapText="1"/>
    </xf>
    <xf numFmtId="9" fontId="0" fillId="0" borderId="32" xfId="0" applyNumberFormat="1" applyBorder="1" applyAlignment="1">
      <alignment horizontal="center"/>
    </xf>
    <xf numFmtId="1" fontId="3" fillId="3" borderId="2" xfId="0" applyNumberFormat="1" applyFont="1" applyFill="1" applyBorder="1" applyAlignment="1" applyProtection="1">
      <alignment wrapText="1"/>
      <protection locked="0"/>
    </xf>
    <xf numFmtId="1" fontId="0" fillId="0" borderId="2" xfId="0" applyNumberFormat="1" applyBorder="1" applyProtection="1">
      <protection locked="0"/>
    </xf>
    <xf numFmtId="1" fontId="0" fillId="3" borderId="22" xfId="0" applyNumberFormat="1" applyFill="1" applyBorder="1" applyAlignment="1" applyProtection="1">
      <alignment horizontal="center"/>
      <protection locked="0"/>
    </xf>
    <xf numFmtId="1" fontId="0" fillId="3" borderId="7" xfId="0" applyNumberFormat="1" applyFill="1" applyBorder="1" applyAlignment="1" applyProtection="1">
      <alignment horizontal="center"/>
      <protection locked="0"/>
    </xf>
    <xf numFmtId="1" fontId="0" fillId="3" borderId="6" xfId="0" applyNumberFormat="1" applyFill="1" applyBorder="1" applyAlignment="1" applyProtection="1">
      <alignment horizontal="center"/>
      <protection locked="0"/>
    </xf>
    <xf numFmtId="1" fontId="0" fillId="3" borderId="44" xfId="0" applyNumberFormat="1" applyFill="1" applyBorder="1" applyAlignment="1" applyProtection="1">
      <alignment horizontal="center"/>
      <protection locked="0"/>
    </xf>
    <xf numFmtId="1" fontId="0" fillId="3" borderId="18" xfId="0" applyNumberFormat="1" applyFill="1" applyBorder="1" applyAlignment="1" applyProtection="1">
      <alignment horizontal="center"/>
      <protection locked="0"/>
    </xf>
    <xf numFmtId="1" fontId="0" fillId="3" borderId="4" xfId="0" applyNumberFormat="1" applyFill="1" applyBorder="1" applyAlignment="1" applyProtection="1">
      <alignment horizontal="center"/>
      <protection locked="0"/>
    </xf>
    <xf numFmtId="1" fontId="0" fillId="3" borderId="3" xfId="0" applyNumberFormat="1" applyFill="1" applyBorder="1" applyAlignment="1" applyProtection="1">
      <alignment horizontal="center"/>
      <protection locked="0"/>
    </xf>
    <xf numFmtId="1" fontId="0" fillId="2" borderId="18" xfId="0" applyNumberFormat="1" applyFill="1" applyBorder="1" applyAlignment="1" applyProtection="1">
      <alignment horizontal="center"/>
      <protection locked="0"/>
    </xf>
    <xf numFmtId="1" fontId="0" fillId="2" borderId="4" xfId="0" applyNumberFormat="1" applyFill="1" applyBorder="1" applyAlignment="1" applyProtection="1">
      <alignment horizontal="center"/>
      <protection locked="0"/>
    </xf>
    <xf numFmtId="1" fontId="0" fillId="2" borderId="3" xfId="0" applyNumberFormat="1" applyFill="1" applyBorder="1" applyAlignment="1" applyProtection="1">
      <alignment horizontal="center"/>
      <protection locked="0"/>
    </xf>
    <xf numFmtId="1" fontId="0" fillId="3" borderId="62" xfId="0" applyNumberFormat="1" applyFill="1" applyBorder="1" applyAlignment="1" applyProtection="1">
      <alignment horizontal="center"/>
      <protection locked="0"/>
    </xf>
    <xf numFmtId="1" fontId="0" fillId="3" borderId="61" xfId="0" applyNumberFormat="1" applyFill="1" applyBorder="1" applyAlignment="1" applyProtection="1">
      <alignment horizontal="center"/>
      <protection locked="0"/>
    </xf>
    <xf numFmtId="1" fontId="0" fillId="3" borderId="60" xfId="0" applyNumberFormat="1" applyFill="1" applyBorder="1" applyAlignment="1" applyProtection="1">
      <alignment horizontal="center"/>
      <protection locked="0"/>
    </xf>
    <xf numFmtId="1" fontId="0" fillId="3" borderId="19" xfId="0" applyNumberFormat="1" applyFill="1" applyBorder="1" applyAlignment="1" applyProtection="1">
      <alignment horizontal="center"/>
      <protection locked="0"/>
    </xf>
    <xf numFmtId="1" fontId="0" fillId="3" borderId="13" xfId="0" applyNumberFormat="1" applyFill="1" applyBorder="1" applyAlignment="1" applyProtection="1">
      <alignment horizontal="center"/>
      <protection locked="0"/>
    </xf>
    <xf numFmtId="1" fontId="0" fillId="3" borderId="12" xfId="0" applyNumberFormat="1" applyFill="1" applyBorder="1" applyAlignment="1" applyProtection="1">
      <alignment horizontal="center"/>
      <protection locked="0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7" borderId="30" xfId="0" applyFont="1" applyFill="1" applyBorder="1" applyAlignment="1">
      <alignment horizontal="center" wrapText="1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3" fillId="7" borderId="31" xfId="0" applyFont="1" applyFill="1" applyBorder="1" applyAlignment="1" applyProtection="1">
      <alignment horizontal="center" wrapText="1"/>
      <protection locked="0"/>
    </xf>
    <xf numFmtId="0" fontId="9" fillId="7" borderId="39" xfId="0" applyFont="1" applyFill="1" applyBorder="1" applyAlignment="1" applyProtection="1">
      <alignment horizontal="center" wrapText="1"/>
      <protection locked="0"/>
    </xf>
    <xf numFmtId="1" fontId="0" fillId="7" borderId="40" xfId="0" applyNumberFormat="1" applyFill="1" applyBorder="1" applyProtection="1">
      <protection locked="0"/>
    </xf>
    <xf numFmtId="1" fontId="0" fillId="7" borderId="40" xfId="0" applyNumberFormat="1" applyFill="1" applyBorder="1" applyAlignment="1" applyProtection="1">
      <alignment vertical="center"/>
      <protection locked="0"/>
    </xf>
    <xf numFmtId="0" fontId="0" fillId="7" borderId="0" xfId="0" applyFill="1" applyProtection="1">
      <protection locked="0"/>
    </xf>
    <xf numFmtId="1" fontId="13" fillId="7" borderId="40" xfId="0" applyNumberFormat="1" applyFont="1" applyFill="1" applyBorder="1" applyProtection="1">
      <protection locked="0"/>
    </xf>
    <xf numFmtId="1" fontId="0" fillId="7" borderId="65" xfId="0" applyNumberFormat="1" applyFill="1" applyBorder="1" applyProtection="1">
      <protection locked="0"/>
    </xf>
    <xf numFmtId="1" fontId="0" fillId="7" borderId="41" xfId="0" applyNumberForma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7" borderId="40" xfId="0" applyFill="1" applyBorder="1" applyProtection="1">
      <protection locked="0"/>
    </xf>
    <xf numFmtId="0" fontId="10" fillId="7" borderId="40" xfId="0" applyFont="1" applyFill="1" applyBorder="1" applyProtection="1">
      <protection locked="0"/>
    </xf>
    <xf numFmtId="0" fontId="5" fillId="7" borderId="40" xfId="0" applyFont="1" applyFill="1" applyBorder="1" applyProtection="1">
      <protection locked="0"/>
    </xf>
    <xf numFmtId="0" fontId="0" fillId="7" borderId="65" xfId="0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7" borderId="1" xfId="0" applyFill="1" applyBorder="1"/>
    <xf numFmtId="0" fontId="3" fillId="7" borderId="1" xfId="0" applyFont="1" applyFill="1" applyBorder="1" applyAlignment="1">
      <alignment wrapText="1"/>
    </xf>
    <xf numFmtId="0" fontId="0" fillId="7" borderId="5" xfId="0" applyFill="1" applyBorder="1"/>
    <xf numFmtId="0" fontId="0" fillId="7" borderId="2" xfId="0" applyFill="1" applyBorder="1"/>
    <xf numFmtId="0" fontId="5" fillId="7" borderId="2" xfId="0" applyFont="1" applyFill="1" applyBorder="1"/>
    <xf numFmtId="0" fontId="0" fillId="7" borderId="2" xfId="0" applyFill="1" applyBorder="1" applyAlignment="1">
      <alignment wrapText="1"/>
    </xf>
    <xf numFmtId="0" fontId="0" fillId="7" borderId="58" xfId="0" applyFill="1" applyBorder="1"/>
    <xf numFmtId="0" fontId="0" fillId="7" borderId="11" xfId="0" applyFill="1" applyBorder="1"/>
    <xf numFmtId="0" fontId="0" fillId="7" borderId="0" xfId="0" applyFill="1" applyProtection="1">
      <protection hidden="1"/>
    </xf>
    <xf numFmtId="0" fontId="3" fillId="7" borderId="31" xfId="0" applyFont="1" applyFill="1" applyBorder="1" applyAlignment="1">
      <alignment horizontal="center" wrapText="1"/>
    </xf>
    <xf numFmtId="1" fontId="0" fillId="7" borderId="44" xfId="0" applyNumberFormat="1" applyFill="1" applyBorder="1"/>
    <xf numFmtId="1" fontId="0" fillId="7" borderId="40" xfId="0" applyNumberFormat="1" applyFill="1" applyBorder="1"/>
    <xf numFmtId="1" fontId="0" fillId="7" borderId="65" xfId="0" applyNumberFormat="1" applyFill="1" applyBorder="1"/>
    <xf numFmtId="1" fontId="0" fillId="7" borderId="41" xfId="0" applyNumberFormat="1" applyFill="1" applyBorder="1"/>
    <xf numFmtId="0" fontId="0" fillId="7" borderId="30" xfId="0" applyFill="1" applyBorder="1" applyAlignment="1" applyProtection="1">
      <alignment horizontal="center"/>
      <protection hidden="1"/>
    </xf>
    <xf numFmtId="0" fontId="0" fillId="4" borderId="8" xfId="0" applyFill="1" applyBorder="1" applyAlignment="1" applyProtection="1">
      <alignment horizontal="center"/>
      <protection hidden="1"/>
    </xf>
    <xf numFmtId="0" fontId="0" fillId="4" borderId="30" xfId="0" applyFill="1" applyBorder="1" applyAlignment="1" applyProtection="1">
      <alignment horizontal="center"/>
      <protection hidden="1"/>
    </xf>
    <xf numFmtId="0" fontId="0" fillId="4" borderId="31" xfId="0" applyFill="1" applyBorder="1" applyAlignment="1" applyProtection="1">
      <alignment horizontal="center"/>
      <protection hidden="1"/>
    </xf>
    <xf numFmtId="0" fontId="6" fillId="0" borderId="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/>
    </xf>
    <xf numFmtId="0" fontId="3" fillId="3" borderId="30" xfId="0" applyFont="1" applyFill="1" applyBorder="1" applyAlignment="1" applyProtection="1">
      <alignment horizontal="center" wrapText="1"/>
      <protection locked="0"/>
    </xf>
    <xf numFmtId="0" fontId="3" fillId="3" borderId="31" xfId="0" applyFont="1" applyFill="1" applyBorder="1" applyAlignment="1" applyProtection="1">
      <alignment horizontal="center" wrapText="1"/>
      <protection locked="0"/>
    </xf>
    <xf numFmtId="0" fontId="3" fillId="3" borderId="8" xfId="0" applyFont="1" applyFill="1" applyBorder="1" applyAlignment="1" applyProtection="1">
      <alignment horizontal="center" wrapText="1"/>
      <protection locked="0"/>
    </xf>
    <xf numFmtId="0" fontId="3" fillId="3" borderId="8" xfId="0" applyFont="1" applyFill="1" applyBorder="1" applyAlignment="1">
      <alignment horizontal="center" wrapText="1"/>
    </xf>
    <xf numFmtId="0" fontId="3" fillId="3" borderId="31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3" borderId="3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35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deep Singh" id="{A95ED139-EF0C-4453-8D40-900D4D0215F1}" userId="S::sandeep.singh@quadreal.com::7b9172ba-72b2-4e5f-b258-d8c06d9653da" providerId="AD"/>
  <person displayName="Kristina Dukic" id="{707150A5-7782-4EEF-844C-640C9B205515}" userId="S::kristina.dukic@quadreal.com::03344029-0a6e-44c7-a5c0-a9e7e6d46b9e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3" dT="2021-09-28T16:07:21.24" personId="{A95ED139-EF0C-4453-8D40-900D4D0215F1}" id="{CC80B4C0-464F-4446-AC63-8A9564736D23}">
    <text>Instead of giving one month rent free and loosing 8% in revenue we can utilize this as a negotiation tool if there is a requirement to close on a lease</text>
  </threadedComment>
  <threadedComment ref="CN8" dT="2023-03-16T23:13:39.44" personId="{707150A5-7782-4EEF-844C-640C9B205515}" id="{684092CD-7B84-4650-B18F-AE880ACA5771}">
    <text xml:space="preserve">underground/ indoor covered </text>
  </threadedComment>
  <threadedComment ref="CO8" dT="2023-03-16T23:13:53.14" personId="{707150A5-7782-4EEF-844C-640C9B205515}" id="{3FC2D39E-987A-47D4-A0C7-29A380E7E14C}">
    <text>energized / non-energized</text>
  </threadedComment>
  <threadedComment ref="CJ9" dT="2023-03-16T23:13:16.94" personId="{707150A5-7782-4EEF-844C-640C9B205515}" id="{234BCE4C-2F7C-4A46-B8DD-D82A247A6B3A}">
    <text xml:space="preserve">underground/ indoor covered </text>
  </threadedComment>
  <threadedComment ref="CK9" dT="2023-03-16T23:12:48.96" personId="{707150A5-7782-4EEF-844C-640C9B205515}" id="{611353AC-48B1-4403-AA6E-63EA274BF631}">
    <text>energized / non-energized</text>
  </threadedComment>
  <threadedComment ref="AF25" dT="2022-06-01T14:06:30.89" personId="{A95ED139-EF0C-4453-8D40-900D4D0215F1}" id="{6CE007BC-1B68-4752-9C2E-E80A845D2E74}">
    <text>Advance Parking</text>
  </threadedComment>
  <threadedComment ref="BS26" dT="2021-11-15T19:41:48.65" personId="{A95ED139-EF0C-4453-8D40-900D4D0215F1}" id="{A5106D88-936A-4251-BF65-FD33EC27499B}">
    <text>150 main Condo</text>
  </threadedComment>
  <threadedComment ref="BU26" dT="2021-11-15T19:43:39.86" personId="{A95ED139-EF0C-4453-8D40-900D4D0215F1}" id="{B585DFDE-D4FC-4B74-8AAC-D9FCEC92DC9A}">
    <text>20 George Street</text>
  </threadedComment>
  <threadedComment ref="BS27" dT="2021-11-15T19:42:05.55" personId="{A95ED139-EF0C-4453-8D40-900D4D0215F1}" id="{ADA947FB-8DB2-410F-8E91-F65EAFCDA6D1}">
    <text>Hanover</text>
  </threadedComment>
  <threadedComment ref="BU27" dT="2021-11-15T19:43:52.00" personId="{A95ED139-EF0C-4453-8D40-900D4D0215F1}" id="{5CAE9D97-8D14-4796-92A5-6EAA3F023644}">
    <text>Hanover</text>
  </threadedComment>
  <threadedComment ref="BS28" dT="2021-11-15T19:42:13.67" personId="{A95ED139-EF0C-4453-8D40-900D4D0215F1}" id="{F2D30223-A0F1-42FA-9CFF-5ABAA54B86F0}">
    <text>Parklane</text>
  </threadedComment>
  <threadedComment ref="BU28" dT="2021-11-15T19:44:05.22" personId="{A95ED139-EF0C-4453-8D40-900D4D0215F1}" id="{C0F88641-EEE0-45C7-9959-B4D1F5573AF9}">
    <text>Parklane</text>
  </threadedComment>
  <threadedComment ref="BS32" dT="2021-11-15T19:43:00.23" personId="{A95ED139-EF0C-4453-8D40-900D4D0215F1}" id="{A89DEE3B-09FA-43F1-A9C9-30D6E19A4F58}">
    <text>Gabriela Vesely:
the Scott,$125.00 Indoor</text>
  </threadedComment>
  <threadedComment ref="BU32" dT="2021-11-15T19:44:30.20" personId="{A95ED139-EF0C-4453-8D40-900D4D0215F1}" id="{A82288EE-D420-416F-9DB5-227F7FF40920}">
    <text>Park Place</text>
  </threadedComment>
  <threadedComment ref="BW32" dT="2021-11-15T19:45:13.56" personId="{A95ED139-EF0C-4453-8D40-900D4D0215F1}" id="{D4FC3E88-BADD-4894-B242-80E05BFF243C}">
    <text>Capitol Hill</text>
  </threadedComment>
  <threadedComment ref="BX32" dT="2021-11-15T19:45:20.22" personId="{A95ED139-EF0C-4453-8D40-900D4D0215F1}" id="{7A175FA6-DD5E-448C-B709-A1C6C56512AD}">
    <text>Capitol Hill</text>
  </threadedComment>
  <threadedComment ref="BY32" dT="2021-11-15T19:45:36.24" personId="{A95ED139-EF0C-4453-8D40-900D4D0215F1}" id="{DA8AA390-0759-4C85-92B1-BDAD983C604B}">
    <text>Ritten House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251-6E2F-4156-A15B-BADDA60D90E1}">
  <dimension ref="A1:DJ46"/>
  <sheetViews>
    <sheetView zoomScale="80" zoomScaleNormal="80" workbookViewId="0">
      <pane xSplit="29" ySplit="3" topLeftCell="BT4" activePane="bottomRight" state="frozen"/>
      <selection pane="topRight" activeCell="AD1" sqref="AD1"/>
      <selection pane="bottomLeft" activeCell="A4" sqref="A4"/>
      <selection pane="bottomRight" activeCell="CA3" sqref="CA3"/>
    </sheetView>
  </sheetViews>
  <sheetFormatPr defaultColWidth="8.69921875" defaultRowHeight="14.4" x14ac:dyDescent="0.3"/>
  <cols>
    <col min="1" max="1" width="11.3984375" customWidth="1"/>
    <col min="2" max="2" width="12.296875" style="297" customWidth="1"/>
    <col min="3" max="3" width="29.296875" style="297" customWidth="1"/>
    <col min="4" max="4" width="10.3984375" hidden="1" customWidth="1"/>
    <col min="5" max="5" width="8.59765625" hidden="1" customWidth="1"/>
    <col min="6" max="6" width="14.3984375" hidden="1" customWidth="1"/>
    <col min="7" max="8" width="8.69921875" hidden="1" customWidth="1"/>
    <col min="9" max="9" width="12.69921875" hidden="1" customWidth="1"/>
    <col min="10" max="11" width="8.69921875" hidden="1" customWidth="1"/>
    <col min="12" max="12" width="12.296875" hidden="1" customWidth="1"/>
    <col min="13" max="14" width="8.69921875" hidden="1" customWidth="1"/>
    <col min="15" max="15" width="12.3984375" hidden="1" customWidth="1"/>
    <col min="16" max="17" width="8.69921875" hidden="1" customWidth="1"/>
    <col min="18" max="18" width="13.09765625" hidden="1" customWidth="1"/>
    <col min="19" max="20" width="8.69921875" hidden="1" customWidth="1"/>
    <col min="21" max="21" width="11" hidden="1" customWidth="1"/>
    <col min="22" max="23" width="8.69921875" hidden="1" customWidth="1"/>
    <col min="24" max="24" width="12.8984375" hidden="1" customWidth="1"/>
    <col min="25" max="26" width="8.69921875" hidden="1" customWidth="1"/>
    <col min="27" max="27" width="13.3984375" hidden="1" customWidth="1"/>
    <col min="28" max="28" width="15.69921875" hidden="1" customWidth="1"/>
    <col min="29" max="29" width="8.69921875" hidden="1" customWidth="1"/>
    <col min="30" max="30" width="15" customWidth="1"/>
    <col min="31" max="31" width="11.69921875" customWidth="1"/>
    <col min="32" max="32" width="11.69921875" style="297" customWidth="1"/>
    <col min="33" max="34" width="11.69921875" style="75" hidden="1" customWidth="1"/>
    <col min="35" max="39" width="11.69921875" style="75" customWidth="1"/>
    <col min="40" max="40" width="11.69921875" style="76" customWidth="1"/>
    <col min="41" max="45" width="11.69921875" style="75" customWidth="1"/>
    <col min="46" max="46" width="11.59765625" style="75" customWidth="1"/>
    <col min="47" max="52" width="11.69921875" style="75" customWidth="1"/>
    <col min="53" max="54" width="11.69921875" style="86" customWidth="1"/>
    <col min="55" max="70" width="11.69921875" style="75" customWidth="1"/>
    <col min="71" max="80" width="8.69921875" style="75" customWidth="1"/>
    <col min="81" max="82" width="13.59765625" style="75" customWidth="1"/>
    <col min="83" max="83" width="13.59765625" style="334" customWidth="1"/>
    <col min="84" max="84" width="61.8984375" style="334" customWidth="1"/>
    <col min="85" max="85" width="2.296875" style="334" customWidth="1"/>
    <col min="96" max="96" width="15.09765625" customWidth="1"/>
    <col min="97" max="97" width="13.8984375" customWidth="1"/>
    <col min="98" max="98" width="135.09765625" style="297" bestFit="1" customWidth="1"/>
    <col min="99" max="102" width="8.69921875" customWidth="1"/>
    <col min="103" max="103" width="79" style="297" customWidth="1"/>
    <col min="104" max="105" width="16.09765625" bestFit="1" customWidth="1"/>
    <col min="106" max="106" width="11.59765625" customWidth="1"/>
    <col min="110" max="110" width="9.09765625" bestFit="1" customWidth="1"/>
    <col min="111" max="111" width="9.09765625" customWidth="1"/>
    <col min="112" max="112" width="9.09765625" bestFit="1" customWidth="1"/>
  </cols>
  <sheetData>
    <row r="1" spans="1:114" ht="18.45" thickBot="1" x14ac:dyDescent="0.4">
      <c r="BA1" s="75"/>
      <c r="BB1" s="75"/>
      <c r="BQ1" s="341" t="s">
        <v>0</v>
      </c>
      <c r="BR1" s="342"/>
      <c r="BS1" s="342"/>
      <c r="BT1" s="342"/>
      <c r="BU1" s="342"/>
      <c r="BV1" s="342"/>
      <c r="BW1" s="342"/>
      <c r="BX1" s="342"/>
      <c r="BY1" s="342"/>
      <c r="BZ1" s="342"/>
      <c r="CA1" s="342"/>
      <c r="CB1" s="342"/>
      <c r="CC1" s="342"/>
      <c r="CD1" s="342"/>
      <c r="CE1" s="342"/>
      <c r="CF1" s="343"/>
      <c r="CG1" s="340"/>
      <c r="CH1" s="344" t="s">
        <v>1</v>
      </c>
      <c r="CI1" s="345"/>
      <c r="CJ1" s="345"/>
      <c r="CK1" s="345"/>
      <c r="CL1" s="345"/>
      <c r="CM1" s="345"/>
      <c r="CN1" s="345"/>
      <c r="CO1" s="345"/>
      <c r="CP1" s="345"/>
      <c r="CQ1" s="345"/>
      <c r="CR1" s="345"/>
      <c r="CS1" s="345"/>
      <c r="CT1" s="345"/>
      <c r="CU1" s="345"/>
      <c r="CV1" s="345"/>
      <c r="CW1" s="345"/>
      <c r="CX1" s="346"/>
    </row>
    <row r="2" spans="1:114" ht="44.1" customHeight="1" thickBot="1" x14ac:dyDescent="0.4">
      <c r="A2" s="4"/>
      <c r="B2" s="298"/>
      <c r="C2" s="298"/>
      <c r="D2" s="358" t="s">
        <v>2</v>
      </c>
      <c r="E2" s="359"/>
      <c r="F2" s="360"/>
      <c r="G2" s="358" t="s">
        <v>3</v>
      </c>
      <c r="H2" s="359"/>
      <c r="I2" s="360"/>
      <c r="J2" s="358" t="s">
        <v>4</v>
      </c>
      <c r="K2" s="359"/>
      <c r="L2" s="360"/>
      <c r="M2" s="361" t="s">
        <v>5</v>
      </c>
      <c r="N2" s="359"/>
      <c r="O2" s="362"/>
      <c r="P2" s="358" t="s">
        <v>6</v>
      </c>
      <c r="Q2" s="359"/>
      <c r="R2" s="360"/>
      <c r="S2" s="358" t="s">
        <v>7</v>
      </c>
      <c r="T2" s="359"/>
      <c r="U2" s="360"/>
      <c r="V2" s="358" t="s">
        <v>8</v>
      </c>
      <c r="W2" s="359"/>
      <c r="X2" s="360"/>
      <c r="Y2" s="358" t="s">
        <v>9</v>
      </c>
      <c r="Z2" s="359"/>
      <c r="AA2" s="360"/>
      <c r="AB2" s="35"/>
      <c r="AC2" s="36"/>
      <c r="AD2" s="363" t="s">
        <v>10</v>
      </c>
      <c r="AE2" s="364"/>
      <c r="AF2" s="364"/>
      <c r="AG2" s="130"/>
      <c r="AH2" s="130"/>
      <c r="AI2" s="347" t="s">
        <v>3</v>
      </c>
      <c r="AJ2" s="348"/>
      <c r="AK2" s="349"/>
      <c r="AL2" s="350" t="s">
        <v>4</v>
      </c>
      <c r="AM2" s="351"/>
      <c r="AN2" s="352"/>
      <c r="AO2" s="351" t="s">
        <v>11</v>
      </c>
      <c r="AP2" s="351"/>
      <c r="AQ2" s="351"/>
      <c r="AR2" s="347" t="s">
        <v>6</v>
      </c>
      <c r="AS2" s="348"/>
      <c r="AT2" s="348"/>
      <c r="AU2" s="347" t="s">
        <v>12</v>
      </c>
      <c r="AV2" s="348"/>
      <c r="AW2" s="349"/>
      <c r="AX2" s="347" t="s">
        <v>13</v>
      </c>
      <c r="AY2" s="348"/>
      <c r="AZ2" s="349"/>
      <c r="BA2" s="347" t="s">
        <v>9</v>
      </c>
      <c r="BB2" s="348"/>
      <c r="BC2" s="349"/>
      <c r="BD2" s="347" t="s">
        <v>14</v>
      </c>
      <c r="BE2" s="348"/>
      <c r="BF2" s="349"/>
      <c r="BG2" s="347" t="s">
        <v>15</v>
      </c>
      <c r="BH2" s="348"/>
      <c r="BI2" s="349"/>
      <c r="BJ2" s="347" t="s">
        <v>16</v>
      </c>
      <c r="BK2" s="348"/>
      <c r="BL2" s="349"/>
      <c r="BM2" s="347" t="s">
        <v>17</v>
      </c>
      <c r="BN2" s="348"/>
      <c r="BO2" s="349"/>
      <c r="BP2" s="275"/>
      <c r="BQ2" s="365" t="s">
        <v>18</v>
      </c>
      <c r="BR2" s="357"/>
      <c r="BS2" s="356" t="s">
        <v>19</v>
      </c>
      <c r="BT2" s="357"/>
      <c r="BU2" s="356" t="s">
        <v>20</v>
      </c>
      <c r="BV2" s="357"/>
      <c r="BW2" s="356" t="s">
        <v>21</v>
      </c>
      <c r="BX2" s="357"/>
      <c r="BY2" s="356" t="s">
        <v>22</v>
      </c>
      <c r="BZ2" s="357"/>
      <c r="CA2" s="131"/>
      <c r="CB2" s="131"/>
      <c r="CC2" s="131"/>
      <c r="CD2" s="131"/>
      <c r="CE2" s="335"/>
      <c r="CF2" s="326"/>
      <c r="CG2" s="326"/>
      <c r="CH2" s="353" t="s">
        <v>23</v>
      </c>
      <c r="CI2" s="354"/>
      <c r="CJ2" s="355" t="s">
        <v>19</v>
      </c>
      <c r="CK2" s="354"/>
      <c r="CL2" s="355" t="s">
        <v>20</v>
      </c>
      <c r="CM2" s="354"/>
      <c r="CN2" s="355" t="s">
        <v>21</v>
      </c>
      <c r="CO2" s="354"/>
      <c r="CP2" s="355" t="s">
        <v>22</v>
      </c>
      <c r="CQ2" s="354"/>
      <c r="CR2" s="118"/>
      <c r="CS2" s="118"/>
      <c r="CT2" s="312"/>
      <c r="CU2" s="118"/>
      <c r="CV2" s="118"/>
      <c r="CW2" s="118"/>
      <c r="CX2" s="118"/>
      <c r="CY2" s="312"/>
      <c r="CZ2" s="347" t="s">
        <v>2</v>
      </c>
      <c r="DA2" s="348"/>
      <c r="DB2" s="349"/>
      <c r="DC2" s="347" t="s">
        <v>3</v>
      </c>
      <c r="DD2" s="348"/>
      <c r="DE2" s="349"/>
      <c r="DF2" s="347" t="s">
        <v>4</v>
      </c>
      <c r="DG2" s="348"/>
      <c r="DH2" s="348"/>
      <c r="DI2" s="349"/>
    </row>
    <row r="3" spans="1:114" s="1" customFormat="1" ht="58.2" thickBot="1" x14ac:dyDescent="0.35">
      <c r="A3" s="32" t="s">
        <v>24</v>
      </c>
      <c r="B3" s="299" t="s">
        <v>25</v>
      </c>
      <c r="C3" s="300" t="s">
        <v>26</v>
      </c>
      <c r="D3" s="37" t="s">
        <v>27</v>
      </c>
      <c r="E3" s="38" t="s">
        <v>28</v>
      </c>
      <c r="F3" s="158" t="s">
        <v>29</v>
      </c>
      <c r="G3" s="37" t="s">
        <v>30</v>
      </c>
      <c r="H3" s="38" t="s">
        <v>28</v>
      </c>
      <c r="I3" s="158" t="s">
        <v>29</v>
      </c>
      <c r="J3" s="37" t="s">
        <v>30</v>
      </c>
      <c r="K3" s="38" t="s">
        <v>28</v>
      </c>
      <c r="L3" s="158" t="s">
        <v>29</v>
      </c>
      <c r="M3" s="159" t="s">
        <v>30</v>
      </c>
      <c r="N3" s="38" t="s">
        <v>28</v>
      </c>
      <c r="O3" s="160" t="s">
        <v>29</v>
      </c>
      <c r="P3" s="37" t="s">
        <v>30</v>
      </c>
      <c r="Q3" s="38" t="s">
        <v>28</v>
      </c>
      <c r="R3" s="158" t="s">
        <v>29</v>
      </c>
      <c r="S3" s="37" t="s">
        <v>30</v>
      </c>
      <c r="T3" s="38" t="s">
        <v>28</v>
      </c>
      <c r="U3" s="158" t="s">
        <v>29</v>
      </c>
      <c r="V3" s="37" t="s">
        <v>30</v>
      </c>
      <c r="W3" s="38" t="s">
        <v>28</v>
      </c>
      <c r="X3" s="158" t="s">
        <v>29</v>
      </c>
      <c r="Y3" s="37" t="s">
        <v>30</v>
      </c>
      <c r="Z3" s="38" t="s">
        <v>28</v>
      </c>
      <c r="AA3" s="160" t="s">
        <v>29</v>
      </c>
      <c r="AB3" s="161"/>
      <c r="AC3" s="160"/>
      <c r="AD3" s="37" t="s">
        <v>31</v>
      </c>
      <c r="AE3" s="159" t="s">
        <v>32</v>
      </c>
      <c r="AF3" s="307" t="s">
        <v>33</v>
      </c>
      <c r="AG3" s="69" t="s">
        <v>34</v>
      </c>
      <c r="AH3" s="69" t="s">
        <v>35</v>
      </c>
      <c r="AI3" s="37" t="s">
        <v>36</v>
      </c>
      <c r="AJ3" s="159" t="s">
        <v>37</v>
      </c>
      <c r="AK3" s="162" t="s">
        <v>38</v>
      </c>
      <c r="AL3" s="163" t="s">
        <v>39</v>
      </c>
      <c r="AM3" s="161" t="s">
        <v>40</v>
      </c>
      <c r="AN3" s="164" t="s">
        <v>41</v>
      </c>
      <c r="AO3" s="165" t="s">
        <v>42</v>
      </c>
      <c r="AP3" s="161" t="s">
        <v>43</v>
      </c>
      <c r="AQ3" s="158" t="s">
        <v>44</v>
      </c>
      <c r="AR3" s="163" t="s">
        <v>42</v>
      </c>
      <c r="AS3" s="166" t="s">
        <v>45</v>
      </c>
      <c r="AT3" s="167" t="s">
        <v>44</v>
      </c>
      <c r="AU3" s="163" t="s">
        <v>42</v>
      </c>
      <c r="AV3" s="161" t="s">
        <v>45</v>
      </c>
      <c r="AW3" s="158" t="s">
        <v>44</v>
      </c>
      <c r="AX3" s="163" t="s">
        <v>42</v>
      </c>
      <c r="AY3" s="161" t="s">
        <v>45</v>
      </c>
      <c r="AZ3" s="158" t="s">
        <v>44</v>
      </c>
      <c r="BA3" s="163" t="s">
        <v>42</v>
      </c>
      <c r="BB3" s="161" t="s">
        <v>45</v>
      </c>
      <c r="BC3" s="158" t="s">
        <v>44</v>
      </c>
      <c r="BD3" s="163" t="s">
        <v>42</v>
      </c>
      <c r="BE3" s="161" t="s">
        <v>45</v>
      </c>
      <c r="BF3" s="158" t="s">
        <v>44</v>
      </c>
      <c r="BG3" s="163" t="s">
        <v>42</v>
      </c>
      <c r="BH3" s="161" t="s">
        <v>45</v>
      </c>
      <c r="BI3" s="158" t="s">
        <v>44</v>
      </c>
      <c r="BJ3" s="163" t="s">
        <v>42</v>
      </c>
      <c r="BK3" s="161" t="s">
        <v>45</v>
      </c>
      <c r="BL3" s="158" t="s">
        <v>44</v>
      </c>
      <c r="BM3" s="163" t="s">
        <v>42</v>
      </c>
      <c r="BN3" s="161" t="s">
        <v>45</v>
      </c>
      <c r="BO3" s="158" t="s">
        <v>44</v>
      </c>
      <c r="BP3" s="277" t="s">
        <v>46</v>
      </c>
      <c r="BQ3" s="159" t="s">
        <v>31</v>
      </c>
      <c r="BR3" s="168" t="s">
        <v>32</v>
      </c>
      <c r="BS3" s="37" t="s">
        <v>31</v>
      </c>
      <c r="BT3" s="168" t="s">
        <v>32</v>
      </c>
      <c r="BU3" s="37" t="s">
        <v>31</v>
      </c>
      <c r="BV3" s="168" t="s">
        <v>32</v>
      </c>
      <c r="BW3" s="37" t="s">
        <v>31</v>
      </c>
      <c r="BX3" s="168" t="s">
        <v>32</v>
      </c>
      <c r="BY3" s="37" t="s">
        <v>31</v>
      </c>
      <c r="BZ3" s="168" t="s">
        <v>32</v>
      </c>
      <c r="CA3" s="69" t="s">
        <v>47</v>
      </c>
      <c r="CB3" s="168" t="s">
        <v>48</v>
      </c>
      <c r="CC3" s="69" t="s">
        <v>49</v>
      </c>
      <c r="CD3" s="168" t="s">
        <v>49</v>
      </c>
      <c r="CE3" s="335"/>
      <c r="CF3" s="327" t="s">
        <v>50</v>
      </c>
      <c r="CG3" s="327"/>
      <c r="CH3" s="120" t="s">
        <v>31</v>
      </c>
      <c r="CI3" s="121" t="s">
        <v>32</v>
      </c>
      <c r="CJ3" s="119" t="s">
        <v>31</v>
      </c>
      <c r="CK3" s="121" t="s">
        <v>32</v>
      </c>
      <c r="CL3" s="119" t="s">
        <v>31</v>
      </c>
      <c r="CM3" s="121" t="s">
        <v>32</v>
      </c>
      <c r="CN3" s="119" t="s">
        <v>31</v>
      </c>
      <c r="CO3" s="121" t="s">
        <v>32</v>
      </c>
      <c r="CP3" s="119" t="s">
        <v>31</v>
      </c>
      <c r="CQ3" s="121" t="s">
        <v>32</v>
      </c>
      <c r="CR3" s="121" t="s">
        <v>51</v>
      </c>
      <c r="CS3" s="121" t="s">
        <v>52</v>
      </c>
      <c r="CT3" s="312" t="s">
        <v>50</v>
      </c>
      <c r="CU3" s="122" t="s">
        <v>47</v>
      </c>
      <c r="CV3" s="123" t="s">
        <v>48</v>
      </c>
      <c r="CW3" s="122" t="s">
        <v>49</v>
      </c>
      <c r="CX3" s="123" t="s">
        <v>49</v>
      </c>
      <c r="CY3" s="313" t="s">
        <v>53</v>
      </c>
      <c r="CZ3" s="163" t="s">
        <v>42</v>
      </c>
      <c r="DA3" s="161" t="s">
        <v>45</v>
      </c>
      <c r="DB3" s="158" t="s">
        <v>44</v>
      </c>
      <c r="DC3" s="163" t="s">
        <v>42</v>
      </c>
      <c r="DD3" s="161" t="s">
        <v>45</v>
      </c>
      <c r="DE3" s="158" t="s">
        <v>44</v>
      </c>
      <c r="DF3" s="163" t="s">
        <v>42</v>
      </c>
      <c r="DG3" s="165" t="s">
        <v>54</v>
      </c>
      <c r="DH3" s="161" t="s">
        <v>45</v>
      </c>
      <c r="DI3" s="158" t="s">
        <v>44</v>
      </c>
    </row>
    <row r="4" spans="1:114" x14ac:dyDescent="0.3">
      <c r="A4" s="5" t="s">
        <v>55</v>
      </c>
      <c r="B4" s="301" t="s">
        <v>56</v>
      </c>
      <c r="C4" s="301" t="s">
        <v>57</v>
      </c>
      <c r="D4" s="169">
        <v>233.38709677419399</v>
      </c>
      <c r="E4" s="170">
        <v>7365.96</v>
      </c>
      <c r="F4" s="171">
        <f t="shared" ref="F4:F15" si="0">E4/D4</f>
        <v>31.56112785072558</v>
      </c>
      <c r="G4" s="169">
        <v>234</v>
      </c>
      <c r="H4" s="170">
        <v>7422</v>
      </c>
      <c r="I4" s="171">
        <f t="shared" ref="I4:I19" si="1">H4/G4</f>
        <v>31.717948717948719</v>
      </c>
      <c r="J4" s="169">
        <v>231.16129032258101</v>
      </c>
      <c r="K4" s="170">
        <v>7522</v>
      </c>
      <c r="L4" s="171">
        <f t="shared" ref="L4:L19" si="2">K4/J4</f>
        <v>32.54005023723132</v>
      </c>
      <c r="M4" s="172">
        <v>229.1</v>
      </c>
      <c r="N4" s="170">
        <v>7601</v>
      </c>
      <c r="O4" s="173">
        <f t="shared" ref="O4:O46" si="3">N4/M4</f>
        <v>33.177651680488871</v>
      </c>
      <c r="P4" s="169">
        <v>233.64516129032299</v>
      </c>
      <c r="Q4" s="170">
        <v>7641</v>
      </c>
      <c r="R4" s="171">
        <f t="shared" ref="R4:R46" si="4">Q4/P4</f>
        <v>32.703437802015685</v>
      </c>
      <c r="S4" s="169">
        <v>232.46666666666701</v>
      </c>
      <c r="T4" s="170">
        <v>8066</v>
      </c>
      <c r="U4" s="171">
        <f t="shared" ref="U4:U46" si="5">T4/S4</f>
        <v>34.697447662747294</v>
      </c>
      <c r="V4" s="169">
        <v>228.03225806451599</v>
      </c>
      <c r="W4" s="170">
        <v>8396</v>
      </c>
      <c r="X4" s="171">
        <f t="shared" ref="X4:X46" si="6">W4/V4</f>
        <v>36.819352100721481</v>
      </c>
      <c r="Y4" s="169">
        <v>228.129032258065</v>
      </c>
      <c r="Z4" s="170">
        <v>8311</v>
      </c>
      <c r="AA4" s="171">
        <f t="shared" ref="AA4:AA46" si="7">Z4/Y4</f>
        <v>36.431136877827974</v>
      </c>
      <c r="AB4" s="174"/>
      <c r="AC4" s="175"/>
      <c r="AD4" s="176">
        <v>208</v>
      </c>
      <c r="AE4" s="177">
        <v>120</v>
      </c>
      <c r="AF4" s="308">
        <v>0</v>
      </c>
      <c r="AG4" s="178">
        <v>115</v>
      </c>
      <c r="AH4" s="179">
        <f>AG4/SUM(AD4:AE4)</f>
        <v>0.35060975609756095</v>
      </c>
      <c r="AI4" s="6">
        <f>AE4-56</f>
        <v>64</v>
      </c>
      <c r="AJ4" s="22"/>
      <c r="AK4" s="180">
        <f>(AJ4+AI4)/($AD4+$AE4)</f>
        <v>0.1951219512195122</v>
      </c>
      <c r="AL4" s="181">
        <v>168</v>
      </c>
      <c r="AM4" s="182">
        <v>14</v>
      </c>
      <c r="AN4" s="180">
        <f>(AM4+AL4)/($AD4+$AE4)</f>
        <v>0.55487804878048785</v>
      </c>
      <c r="AO4" s="183">
        <f>171-16</f>
        <v>155</v>
      </c>
      <c r="AP4" s="182">
        <v>15</v>
      </c>
      <c r="AQ4" s="180">
        <f>(AP4+AO4)/($AD4+$AE4)</f>
        <v>0.51829268292682928</v>
      </c>
      <c r="AR4" s="183">
        <v>154</v>
      </c>
      <c r="AS4" s="182">
        <v>15</v>
      </c>
      <c r="AT4" s="180">
        <f>(AS4+AR4)/($AD4+$AE4)</f>
        <v>0.5152439024390244</v>
      </c>
      <c r="AU4" s="185">
        <v>111</v>
      </c>
      <c r="AV4" s="184">
        <v>52</v>
      </c>
      <c r="AW4" s="180">
        <f>(AV4+AU4)/($AD4+$AE4)</f>
        <v>0.49695121951219512</v>
      </c>
      <c r="AX4" s="132">
        <v>132</v>
      </c>
      <c r="AY4" s="133">
        <v>54</v>
      </c>
      <c r="AZ4" s="180">
        <f>(AY4+AX4)/($AD4+$AE4)</f>
        <v>0.56707317073170727</v>
      </c>
      <c r="BA4" s="132">
        <v>124</v>
      </c>
      <c r="BB4" s="133">
        <v>56</v>
      </c>
      <c r="BC4" s="180">
        <f>(BB4+BA4)/($AD4+$AE4)</f>
        <v>0.54878048780487809</v>
      </c>
      <c r="BD4" s="132">
        <v>125</v>
      </c>
      <c r="BE4" s="133">
        <v>56</v>
      </c>
      <c r="BF4" s="180">
        <f>(BE4+BD4)/($AD4+$AE4)</f>
        <v>0.55182926829268297</v>
      </c>
      <c r="BG4" s="132">
        <v>125</v>
      </c>
      <c r="BH4" s="133">
        <v>54</v>
      </c>
      <c r="BI4" s="180">
        <f>(BH4+BG4)/($AD4+$AE4)</f>
        <v>0.54573170731707321</v>
      </c>
      <c r="BJ4" s="133">
        <v>127</v>
      </c>
      <c r="BK4" s="133">
        <v>50</v>
      </c>
      <c r="BL4" s="180">
        <f>(BK4+BJ4)/($AD4+$AE4)</f>
        <v>0.53963414634146345</v>
      </c>
      <c r="BM4" s="132">
        <v>128</v>
      </c>
      <c r="BN4" s="133">
        <v>45</v>
      </c>
      <c r="BO4" s="180">
        <f>(BN4+BM4)/($AD4+$AE4)</f>
        <v>0.52743902439024393</v>
      </c>
      <c r="BP4" s="278">
        <f>AVERAGE(BO4,BL4,BI4,BF4,BC4,AZ4,AW4,AT4,AQ4,AN4,AK4,AK4)</f>
        <v>0.47967479674796754</v>
      </c>
      <c r="BQ4" s="186">
        <v>55</v>
      </c>
      <c r="BR4" s="187">
        <v>35</v>
      </c>
      <c r="BS4" s="188">
        <v>45</v>
      </c>
      <c r="BT4" s="187">
        <v>30</v>
      </c>
      <c r="BU4" s="188">
        <v>50</v>
      </c>
      <c r="BV4" s="187">
        <v>0</v>
      </c>
      <c r="BW4" s="188"/>
      <c r="BX4" s="187"/>
      <c r="BY4" s="188"/>
      <c r="BZ4" s="187"/>
      <c r="CA4" s="189">
        <f>IFERROR(AVERAGE(BS4,BU4,BW4,BY4),0)</f>
        <v>47.5</v>
      </c>
      <c r="CB4" s="190">
        <f>IFERROR(AVERAGE(BT4,BV4,BX4,BZ4),0)</f>
        <v>15</v>
      </c>
      <c r="CC4" s="189">
        <f>IF(BQ4&gt;CA4,BQ4-CA4,BQ4-CA4)</f>
        <v>7.5</v>
      </c>
      <c r="CD4" s="190">
        <f>IF(BR4&gt;CB4,BR4-CB4,BR4-CB4)</f>
        <v>20</v>
      </c>
      <c r="CE4" s="336"/>
      <c r="CF4" s="328"/>
      <c r="CG4" s="328"/>
      <c r="CH4" s="281">
        <v>55</v>
      </c>
      <c r="CI4" s="282">
        <v>35</v>
      </c>
      <c r="CJ4" s="283">
        <v>45</v>
      </c>
      <c r="CK4" s="282">
        <v>30</v>
      </c>
      <c r="CL4" s="283">
        <v>30</v>
      </c>
      <c r="CM4" s="282">
        <v>45</v>
      </c>
      <c r="CN4" s="283">
        <v>30</v>
      </c>
      <c r="CO4" s="282"/>
      <c r="CP4" s="283"/>
      <c r="CQ4" s="282"/>
      <c r="CR4" s="284">
        <f>IFERROR(AVERAGE(CJ4,CL4,CN4,CP4),0)</f>
        <v>35</v>
      </c>
      <c r="CS4" s="284">
        <f>IFERROR(AVERAGE(CK4,CM4,CO4,CQ4),0)</f>
        <v>37.5</v>
      </c>
      <c r="CT4" s="320" t="s">
        <v>58</v>
      </c>
      <c r="CU4" s="124">
        <f>IFERROR(AVERAGE(CJ4,CL4,CN4,CP4),0)</f>
        <v>35</v>
      </c>
      <c r="CV4" s="125">
        <f>IFERROR(AVERAGE(CK4,CM4,CO4,CQ4),0)</f>
        <v>37.5</v>
      </c>
      <c r="CW4" s="124">
        <f>IF(CH4&gt;CU4,CH4-CU4,CH4-CU4)</f>
        <v>20</v>
      </c>
      <c r="CX4" s="125">
        <f>IF(CI4&gt;CV4,CI4-CV4,CI4-CV4)</f>
        <v>-2.5</v>
      </c>
      <c r="CY4" s="314"/>
      <c r="CZ4" s="132">
        <v>128</v>
      </c>
      <c r="DA4" s="133">
        <v>45</v>
      </c>
      <c r="DB4" s="180">
        <f>(DA4+CZ4)/($AD4+$AE4)</f>
        <v>0.52743902439024393</v>
      </c>
      <c r="DC4" s="132">
        <v>128</v>
      </c>
      <c r="DD4" s="133">
        <v>45</v>
      </c>
      <c r="DE4" s="180">
        <f>(DD4+DC4)/($AD4+$AE4)</f>
        <v>0.52743902439024393</v>
      </c>
      <c r="DF4" s="132">
        <v>129</v>
      </c>
      <c r="DG4" s="133"/>
      <c r="DH4" s="133">
        <v>42</v>
      </c>
      <c r="DI4" s="180">
        <f>(DH4+DG4+DF4)/($AD4+$AE4)</f>
        <v>0.52134146341463417</v>
      </c>
    </row>
    <row r="5" spans="1:114" x14ac:dyDescent="0.3">
      <c r="A5" s="2" t="s">
        <v>59</v>
      </c>
      <c r="B5" s="301" t="s">
        <v>56</v>
      </c>
      <c r="C5" s="302" t="s">
        <v>60</v>
      </c>
      <c r="D5" s="3">
        <v>175.83870967741899</v>
      </c>
      <c r="E5" s="13">
        <v>10367</v>
      </c>
      <c r="F5" s="42">
        <f t="shared" si="0"/>
        <v>58.957439002018099</v>
      </c>
      <c r="G5" s="3">
        <v>175.42857142857099</v>
      </c>
      <c r="H5" s="13">
        <v>10107</v>
      </c>
      <c r="I5" s="42">
        <f t="shared" si="1"/>
        <v>57.613192182410565</v>
      </c>
      <c r="J5" s="3">
        <v>173.09677419354799</v>
      </c>
      <c r="K5" s="13">
        <v>9662</v>
      </c>
      <c r="L5" s="42">
        <f t="shared" si="2"/>
        <v>55.818486768542805</v>
      </c>
      <c r="M5" s="18">
        <v>170.73333333333301</v>
      </c>
      <c r="N5" s="13">
        <v>9651.67</v>
      </c>
      <c r="O5" s="43">
        <f t="shared" si="3"/>
        <v>56.530671612651417</v>
      </c>
      <c r="P5" s="3">
        <v>170.35483870967701</v>
      </c>
      <c r="Q5" s="13">
        <v>9398.7199999999993</v>
      </c>
      <c r="R5" s="42">
        <f t="shared" si="4"/>
        <v>55.171429653474846</v>
      </c>
      <c r="S5" s="3">
        <v>172.53333333333299</v>
      </c>
      <c r="T5" s="13">
        <v>9656</v>
      </c>
      <c r="U5" s="42">
        <f t="shared" si="5"/>
        <v>55.965996908810006</v>
      </c>
      <c r="V5" s="3">
        <v>173.90322580645201</v>
      </c>
      <c r="W5" s="13">
        <v>9805.2000000000007</v>
      </c>
      <c r="X5" s="42">
        <f t="shared" si="6"/>
        <v>56.383082915970938</v>
      </c>
      <c r="Y5" s="3">
        <v>175.61290322580601</v>
      </c>
      <c r="Z5" s="13">
        <v>9904.3799999999992</v>
      </c>
      <c r="AA5" s="191">
        <f t="shared" si="7"/>
        <v>56.398930933137535</v>
      </c>
      <c r="AB5" s="29"/>
      <c r="AC5" s="175"/>
      <c r="AD5" s="192">
        <v>90</v>
      </c>
      <c r="AE5" s="193">
        <v>31</v>
      </c>
      <c r="AF5" s="309">
        <v>0</v>
      </c>
      <c r="AG5" s="195">
        <v>102</v>
      </c>
      <c r="AH5" s="179">
        <f t="shared" ref="AH5:AH46" si="8">AG5/SUM(AD5:AE5)</f>
        <v>0.84297520661157022</v>
      </c>
      <c r="AI5" s="192">
        <v>90</v>
      </c>
      <c r="AJ5" s="193">
        <v>28</v>
      </c>
      <c r="AK5" s="180">
        <f t="shared" ref="AK5:AK46" si="9">(AJ5+AI5)/($AD5+$AE5)</f>
        <v>0.97520661157024791</v>
      </c>
      <c r="AL5" s="196">
        <v>88</v>
      </c>
      <c r="AM5" s="12">
        <v>29</v>
      </c>
      <c r="AN5" s="180">
        <f t="shared" ref="AN5:AN46" si="10">(AM5+AL5)/($AD5+$AE5)</f>
        <v>0.96694214876033058</v>
      </c>
      <c r="AO5" s="29">
        <v>88</v>
      </c>
      <c r="AP5" s="12">
        <v>28</v>
      </c>
      <c r="AQ5" s="180">
        <f t="shared" ref="AQ5:AQ46" si="11">(AP5+AO5)/($AD5+$AE5)</f>
        <v>0.95867768595041325</v>
      </c>
      <c r="AR5" s="29">
        <v>88</v>
      </c>
      <c r="AS5" s="12">
        <v>28</v>
      </c>
      <c r="AT5" s="180">
        <f t="shared" ref="AT5:AT46" si="12">(AS5+AR5)/($AD5+$AE5)</f>
        <v>0.95867768595041325</v>
      </c>
      <c r="AU5" s="198">
        <v>79</v>
      </c>
      <c r="AV5" s="197">
        <v>26</v>
      </c>
      <c r="AW5" s="180">
        <f t="shared" ref="AW5:AW46" si="13">(AV5+AU5)/($AD5+$AE5)</f>
        <v>0.86776859504132231</v>
      </c>
      <c r="AX5" s="134">
        <v>86</v>
      </c>
      <c r="AY5" s="135">
        <v>28</v>
      </c>
      <c r="AZ5" s="180">
        <f t="shared" ref="AZ5:AZ46" si="14">(AY5+AX5)/($AD5+$AE5)</f>
        <v>0.94214876033057848</v>
      </c>
      <c r="BA5" s="134">
        <v>83</v>
      </c>
      <c r="BB5" s="135">
        <v>25</v>
      </c>
      <c r="BC5" s="180">
        <f t="shared" ref="BC5:BC46" si="15">(BB5+BA5)/($AD5+$AE5)</f>
        <v>0.8925619834710744</v>
      </c>
      <c r="BD5" s="134">
        <v>83</v>
      </c>
      <c r="BE5" s="135">
        <v>25</v>
      </c>
      <c r="BF5" s="180">
        <f t="shared" ref="BF5:BF46" si="16">(BE5+BD5)/($AD5+$AE5)</f>
        <v>0.8925619834710744</v>
      </c>
      <c r="BG5" s="132">
        <v>87</v>
      </c>
      <c r="BH5" s="133">
        <v>24</v>
      </c>
      <c r="BI5" s="180">
        <f t="shared" ref="BI5:BI46" si="17">(BH5+BG5)/($AD5+$AE5)</f>
        <v>0.9173553719008265</v>
      </c>
      <c r="BJ5" s="133">
        <v>87</v>
      </c>
      <c r="BK5" s="133">
        <v>25</v>
      </c>
      <c r="BL5" s="180">
        <f t="shared" ref="BL5:BL46" si="18">(BK5+BJ5)/($AD5+$AE5)</f>
        <v>0.92561983471074383</v>
      </c>
      <c r="BM5" s="132">
        <v>87</v>
      </c>
      <c r="BN5" s="133">
        <v>27</v>
      </c>
      <c r="BO5" s="180">
        <f t="shared" ref="BO5:BO46" si="19">(BN5+BM5)/($AD5+$AE5)</f>
        <v>0.94214876033057848</v>
      </c>
      <c r="BP5" s="278">
        <f t="shared" ref="BP5:BP46" si="20">AVERAGE(BO5,BL5,BI5,BF5,BC5,AZ5,AW5,AT5,AQ5,AN5,AK5,AK5)</f>
        <v>0.93457300275482114</v>
      </c>
      <c r="BQ5" s="199">
        <v>95</v>
      </c>
      <c r="BR5" s="200">
        <v>65</v>
      </c>
      <c r="BS5" s="201">
        <v>75</v>
      </c>
      <c r="BT5" s="200">
        <v>0</v>
      </c>
      <c r="BU5" s="201">
        <v>75</v>
      </c>
      <c r="BV5" s="200">
        <v>0</v>
      </c>
      <c r="BW5" s="201">
        <v>75</v>
      </c>
      <c r="BX5" s="200"/>
      <c r="BY5" s="201">
        <v>90</v>
      </c>
      <c r="BZ5" s="200">
        <v>60</v>
      </c>
      <c r="CA5" s="202">
        <f t="shared" ref="CA5:CA46" si="21">IFERROR(AVERAGE(BS5,BU5,BW5,BY5),0)</f>
        <v>78.75</v>
      </c>
      <c r="CB5" s="203">
        <f t="shared" ref="CB5:CB46" si="22">IFERROR(AVERAGE(BT5,BV5,BX5,BZ5),0)</f>
        <v>20</v>
      </c>
      <c r="CC5" s="202">
        <f t="shared" ref="CC5:CC46" si="23">IF(BQ5&gt;CA5,BQ5-CA5,BQ5-CA5)</f>
        <v>16.25</v>
      </c>
      <c r="CD5" s="203">
        <f t="shared" ref="CD5:CD46" si="24">IF(BR5&gt;CB5,BR5-CB5,BR5-CB5)</f>
        <v>45</v>
      </c>
      <c r="CE5" s="337"/>
      <c r="CF5" s="329" t="s">
        <v>61</v>
      </c>
      <c r="CG5" s="329"/>
      <c r="CH5" s="285">
        <v>95</v>
      </c>
      <c r="CI5" s="286">
        <v>65</v>
      </c>
      <c r="CJ5" s="287">
        <v>70</v>
      </c>
      <c r="CK5" s="286">
        <v>45</v>
      </c>
      <c r="CL5" s="287">
        <v>90</v>
      </c>
      <c r="CM5" s="286" t="s">
        <v>62</v>
      </c>
      <c r="CN5" s="287">
        <v>75</v>
      </c>
      <c r="CO5" s="286"/>
      <c r="CP5" s="287">
        <v>75</v>
      </c>
      <c r="CQ5" s="286">
        <v>75</v>
      </c>
      <c r="CR5" s="284">
        <f t="shared" ref="CR5:CR46" si="25">IFERROR(AVERAGE(CJ5,CL5,CN5,CP5),0)</f>
        <v>77.5</v>
      </c>
      <c r="CS5" s="284">
        <f t="shared" ref="CS5:CS46" si="26">IFERROR(AVERAGE(CK5,CM5,CO5,CQ5),0)</f>
        <v>60</v>
      </c>
      <c r="CT5" s="321" t="s">
        <v>63</v>
      </c>
      <c r="CU5" s="124">
        <f t="shared" ref="CU5:CU46" si="27">IFERROR(AVERAGE(CJ5,CL5,CN5,CP5),0)</f>
        <v>77.5</v>
      </c>
      <c r="CV5" s="125">
        <f t="shared" ref="CV5:CV46" si="28">IFERROR(AVERAGE(CK5,CM5,CO5,CQ5),0)</f>
        <v>60</v>
      </c>
      <c r="CW5" s="124">
        <f t="shared" ref="CW5:CW46" si="29">IF(CH5&gt;CU5,CH5-CU5,CH5-CU5)</f>
        <v>17.5</v>
      </c>
      <c r="CX5" s="125">
        <f t="shared" ref="CX5:CX46" si="30">IF(CI5&gt;CV5,CI5-CV5,CI5-CV5)</f>
        <v>5</v>
      </c>
      <c r="CY5" s="314"/>
      <c r="CZ5" s="132">
        <v>87</v>
      </c>
      <c r="DA5" s="133">
        <v>27</v>
      </c>
      <c r="DB5" s="180">
        <f t="shared" ref="DB5:DB46" si="31">(DA5+CZ5)/($AD5+$AE5)</f>
        <v>0.94214876033057848</v>
      </c>
      <c r="DC5" s="132">
        <v>87</v>
      </c>
      <c r="DD5" s="133">
        <v>27</v>
      </c>
      <c r="DE5" s="180">
        <f t="shared" ref="DE5:DE46" si="32">(DD5+DC5)/($AD5+$AE5)</f>
        <v>0.94214876033057848</v>
      </c>
      <c r="DF5" s="132">
        <v>84</v>
      </c>
      <c r="DG5" s="133">
        <v>0</v>
      </c>
      <c r="DH5" s="133">
        <v>26</v>
      </c>
      <c r="DI5" s="180">
        <f t="shared" ref="DI5:DI46" si="33">(DH5+DG5+DF5)/($AD5+$AE5)</f>
        <v>0.90909090909090906</v>
      </c>
    </row>
    <row r="6" spans="1:114" x14ac:dyDescent="0.3">
      <c r="A6" s="2" t="s">
        <v>64</v>
      </c>
      <c r="B6" s="301" t="s">
        <v>56</v>
      </c>
      <c r="C6" s="302" t="s">
        <v>65</v>
      </c>
      <c r="D6" s="3">
        <v>119.774193548387</v>
      </c>
      <c r="E6" s="13">
        <v>2361</v>
      </c>
      <c r="F6" s="42">
        <f t="shared" si="0"/>
        <v>19.712092647454902</v>
      </c>
      <c r="G6" s="3">
        <v>118.96428571428601</v>
      </c>
      <c r="H6" s="13">
        <v>2281</v>
      </c>
      <c r="I6" s="42">
        <f t="shared" si="1"/>
        <v>19.173821675172572</v>
      </c>
      <c r="J6" s="3">
        <v>117.967741935484</v>
      </c>
      <c r="K6" s="13">
        <v>2311</v>
      </c>
      <c r="L6" s="42">
        <f t="shared" si="2"/>
        <v>19.590101175827158</v>
      </c>
      <c r="M6" s="18">
        <v>119.533333333333</v>
      </c>
      <c r="N6" s="13">
        <v>2271</v>
      </c>
      <c r="O6" s="43">
        <f t="shared" si="3"/>
        <v>18.998884551031843</v>
      </c>
      <c r="P6" s="3">
        <v>122.129032258065</v>
      </c>
      <c r="Q6" s="13">
        <v>2271</v>
      </c>
      <c r="R6" s="42">
        <f t="shared" si="4"/>
        <v>18.59508716323289</v>
      </c>
      <c r="S6" s="3">
        <v>121.666666666667</v>
      </c>
      <c r="T6" s="13">
        <v>2311</v>
      </c>
      <c r="U6" s="42">
        <f t="shared" si="5"/>
        <v>18.994520547945154</v>
      </c>
      <c r="V6" s="3">
        <v>119.903225806452</v>
      </c>
      <c r="W6" s="13">
        <v>2271</v>
      </c>
      <c r="X6" s="42">
        <f t="shared" si="6"/>
        <v>18.940274414850624</v>
      </c>
      <c r="Y6" s="3">
        <v>119</v>
      </c>
      <c r="Z6" s="13">
        <v>2191</v>
      </c>
      <c r="AA6" s="191">
        <f t="shared" si="7"/>
        <v>18.411764705882351</v>
      </c>
      <c r="AB6" s="29"/>
      <c r="AC6" s="175"/>
      <c r="AD6" s="192">
        <v>0</v>
      </c>
      <c r="AE6" s="193">
        <v>122</v>
      </c>
      <c r="AF6" s="309">
        <v>0</v>
      </c>
      <c r="AG6" s="195">
        <v>74</v>
      </c>
      <c r="AH6" s="179">
        <f t="shared" si="8"/>
        <v>0.60655737704918034</v>
      </c>
      <c r="AI6" s="192"/>
      <c r="AJ6" s="193">
        <f>AE6-47</f>
        <v>75</v>
      </c>
      <c r="AK6" s="180">
        <f t="shared" si="9"/>
        <v>0.61475409836065575</v>
      </c>
      <c r="AL6" s="196"/>
      <c r="AM6" s="12">
        <v>48</v>
      </c>
      <c r="AN6" s="180">
        <f t="shared" si="10"/>
        <v>0.39344262295081966</v>
      </c>
      <c r="AO6" s="29"/>
      <c r="AP6" s="12">
        <v>73</v>
      </c>
      <c r="AQ6" s="180">
        <f t="shared" si="11"/>
        <v>0.59836065573770492</v>
      </c>
      <c r="AR6" s="29"/>
      <c r="AS6" s="12">
        <v>73</v>
      </c>
      <c r="AT6" s="180">
        <f t="shared" si="12"/>
        <v>0.59836065573770492</v>
      </c>
      <c r="AU6" s="198">
        <v>0</v>
      </c>
      <c r="AV6" s="197">
        <v>72</v>
      </c>
      <c r="AW6" s="180">
        <f t="shared" si="13"/>
        <v>0.5901639344262295</v>
      </c>
      <c r="AX6" s="134">
        <v>0</v>
      </c>
      <c r="AY6" s="135">
        <v>78</v>
      </c>
      <c r="AZ6" s="180">
        <f t="shared" si="14"/>
        <v>0.63934426229508201</v>
      </c>
      <c r="BA6" s="134"/>
      <c r="BB6" s="135">
        <v>74</v>
      </c>
      <c r="BC6" s="180">
        <f t="shared" si="15"/>
        <v>0.60655737704918034</v>
      </c>
      <c r="BD6" s="134"/>
      <c r="BE6" s="135">
        <v>74</v>
      </c>
      <c r="BF6" s="180">
        <f t="shared" si="16"/>
        <v>0.60655737704918034</v>
      </c>
      <c r="BG6" s="132"/>
      <c r="BH6" s="133">
        <v>73</v>
      </c>
      <c r="BI6" s="180">
        <f t="shared" si="17"/>
        <v>0.59836065573770492</v>
      </c>
      <c r="BJ6" s="133"/>
      <c r="BK6" s="133">
        <v>76</v>
      </c>
      <c r="BL6" s="180">
        <f t="shared" si="18"/>
        <v>0.62295081967213117</v>
      </c>
      <c r="BM6" s="132"/>
      <c r="BN6" s="133">
        <v>79</v>
      </c>
      <c r="BO6" s="180">
        <f t="shared" si="19"/>
        <v>0.64754098360655743</v>
      </c>
      <c r="BP6" s="278">
        <f t="shared" si="20"/>
        <v>0.59426229508196726</v>
      </c>
      <c r="BQ6" s="199">
        <v>0</v>
      </c>
      <c r="BR6" s="200">
        <v>40</v>
      </c>
      <c r="BS6" s="201"/>
      <c r="BT6" s="200">
        <v>40</v>
      </c>
      <c r="BU6" s="201"/>
      <c r="BV6" s="200">
        <v>35</v>
      </c>
      <c r="BW6" s="201"/>
      <c r="BX6" s="200">
        <v>40</v>
      </c>
      <c r="BY6" s="201"/>
      <c r="BZ6" s="200"/>
      <c r="CA6" s="202">
        <f t="shared" si="21"/>
        <v>0</v>
      </c>
      <c r="CB6" s="203">
        <f t="shared" si="22"/>
        <v>38.333333333333336</v>
      </c>
      <c r="CC6" s="202">
        <f t="shared" si="23"/>
        <v>0</v>
      </c>
      <c r="CD6" s="203">
        <f t="shared" si="24"/>
        <v>1.6666666666666643</v>
      </c>
      <c r="CE6" s="337"/>
      <c r="CF6" s="329"/>
      <c r="CG6" s="329"/>
      <c r="CH6" s="285">
        <v>0</v>
      </c>
      <c r="CI6" s="286">
        <v>40</v>
      </c>
      <c r="CJ6" s="287">
        <v>40</v>
      </c>
      <c r="CK6" s="286">
        <v>15</v>
      </c>
      <c r="CL6" s="287">
        <v>40</v>
      </c>
      <c r="CM6" s="286">
        <v>15</v>
      </c>
      <c r="CN6" s="287">
        <v>135</v>
      </c>
      <c r="CO6" s="286">
        <v>82</v>
      </c>
      <c r="CP6" s="287"/>
      <c r="CQ6" s="286"/>
      <c r="CR6" s="284">
        <f t="shared" si="25"/>
        <v>71.666666666666671</v>
      </c>
      <c r="CS6" s="284">
        <f t="shared" si="26"/>
        <v>37.333333333333336</v>
      </c>
      <c r="CT6" s="321" t="s">
        <v>66</v>
      </c>
      <c r="CU6" s="124">
        <f t="shared" si="27"/>
        <v>71.666666666666671</v>
      </c>
      <c r="CV6" s="125">
        <f t="shared" si="28"/>
        <v>37.333333333333336</v>
      </c>
      <c r="CW6" s="124">
        <f t="shared" si="29"/>
        <v>-71.666666666666671</v>
      </c>
      <c r="CX6" s="125">
        <f t="shared" si="30"/>
        <v>2.6666666666666643</v>
      </c>
      <c r="CY6" s="314"/>
      <c r="CZ6" s="132"/>
      <c r="DA6" s="133">
        <v>79</v>
      </c>
      <c r="DB6" s="180">
        <f t="shared" si="31"/>
        <v>0.64754098360655743</v>
      </c>
      <c r="DC6" s="132"/>
      <c r="DD6" s="133">
        <v>79</v>
      </c>
      <c r="DE6" s="180">
        <f t="shared" si="32"/>
        <v>0.64754098360655743</v>
      </c>
      <c r="DF6" s="132"/>
      <c r="DG6" s="133"/>
      <c r="DH6" s="133">
        <v>76</v>
      </c>
      <c r="DI6" s="180">
        <f t="shared" si="33"/>
        <v>0.62295081967213117</v>
      </c>
    </row>
    <row r="7" spans="1:114" x14ac:dyDescent="0.3">
      <c r="A7" s="2" t="s">
        <v>67</v>
      </c>
      <c r="B7" s="301" t="s">
        <v>56</v>
      </c>
      <c r="C7" s="302" t="s">
        <v>68</v>
      </c>
      <c r="D7" s="3">
        <v>48</v>
      </c>
      <c r="E7" s="13">
        <v>3655.85</v>
      </c>
      <c r="F7" s="42">
        <f t="shared" si="0"/>
        <v>76.16354166666666</v>
      </c>
      <c r="G7" s="3">
        <v>48.928571428571402</v>
      </c>
      <c r="H7" s="13">
        <v>3645</v>
      </c>
      <c r="I7" s="42">
        <f t="shared" si="1"/>
        <v>74.496350364963547</v>
      </c>
      <c r="J7" s="3">
        <v>47</v>
      </c>
      <c r="K7" s="13">
        <v>3510</v>
      </c>
      <c r="L7" s="42">
        <f t="shared" si="2"/>
        <v>74.680851063829792</v>
      </c>
      <c r="M7" s="18">
        <v>47.933333333333302</v>
      </c>
      <c r="N7" s="13">
        <v>3325</v>
      </c>
      <c r="O7" s="43">
        <f t="shared" si="3"/>
        <v>69.367176634214232</v>
      </c>
      <c r="P7" s="3">
        <v>47.290322580645203</v>
      </c>
      <c r="Q7" s="13">
        <v>3325</v>
      </c>
      <c r="R7" s="42">
        <f t="shared" si="4"/>
        <v>70.3103683492496</v>
      </c>
      <c r="S7" s="3">
        <v>47.633333333333297</v>
      </c>
      <c r="T7" s="13">
        <v>3230.84</v>
      </c>
      <c r="U7" s="42">
        <f t="shared" si="5"/>
        <v>67.827291812456323</v>
      </c>
      <c r="V7" s="3">
        <v>50.4838709677419</v>
      </c>
      <c r="W7" s="13">
        <v>4035.89</v>
      </c>
      <c r="X7" s="42">
        <f t="shared" si="6"/>
        <v>79.944146964856287</v>
      </c>
      <c r="Y7" s="3">
        <v>50.258064516128997</v>
      </c>
      <c r="Z7" s="13">
        <v>3924.16</v>
      </c>
      <c r="AA7" s="191">
        <f t="shared" si="7"/>
        <v>78.080205391527656</v>
      </c>
      <c r="AB7" s="29"/>
      <c r="AC7" s="175"/>
      <c r="AD7" s="192">
        <v>62</v>
      </c>
      <c r="AE7" s="193">
        <v>0</v>
      </c>
      <c r="AF7" s="309">
        <v>0</v>
      </c>
      <c r="AG7" s="195">
        <v>22</v>
      </c>
      <c r="AH7" s="179">
        <f t="shared" si="8"/>
        <v>0.35483870967741937</v>
      </c>
      <c r="AI7" s="192">
        <v>33</v>
      </c>
      <c r="AJ7" s="193"/>
      <c r="AK7" s="180">
        <f t="shared" si="9"/>
        <v>0.532258064516129</v>
      </c>
      <c r="AL7" s="196"/>
      <c r="AM7" s="12"/>
      <c r="AN7" s="180">
        <f t="shared" si="10"/>
        <v>0</v>
      </c>
      <c r="AO7" s="29">
        <v>22</v>
      </c>
      <c r="AP7" s="12">
        <v>8</v>
      </c>
      <c r="AQ7" s="180">
        <f t="shared" si="11"/>
        <v>0.4838709677419355</v>
      </c>
      <c r="AR7" s="29">
        <v>22</v>
      </c>
      <c r="AS7" s="12">
        <v>8</v>
      </c>
      <c r="AT7" s="180">
        <f t="shared" si="12"/>
        <v>0.4838709677419355</v>
      </c>
      <c r="AU7" s="198">
        <v>22</v>
      </c>
      <c r="AV7" s="197">
        <v>8</v>
      </c>
      <c r="AW7" s="180">
        <f t="shared" si="13"/>
        <v>0.4838709677419355</v>
      </c>
      <c r="AX7" s="134">
        <v>22</v>
      </c>
      <c r="AY7" s="135">
        <v>8</v>
      </c>
      <c r="AZ7" s="180">
        <f t="shared" si="14"/>
        <v>0.4838709677419355</v>
      </c>
      <c r="BA7" s="134">
        <v>20</v>
      </c>
      <c r="BB7" s="135">
        <v>7</v>
      </c>
      <c r="BC7" s="180">
        <f t="shared" si="15"/>
        <v>0.43548387096774194</v>
      </c>
      <c r="BD7" s="134">
        <v>20</v>
      </c>
      <c r="BE7" s="135">
        <v>7</v>
      </c>
      <c r="BF7" s="180">
        <f t="shared" si="16"/>
        <v>0.43548387096774194</v>
      </c>
      <c r="BG7" s="132">
        <v>21</v>
      </c>
      <c r="BH7" s="133">
        <v>6</v>
      </c>
      <c r="BI7" s="180">
        <f t="shared" si="17"/>
        <v>0.43548387096774194</v>
      </c>
      <c r="BJ7" s="133">
        <v>21</v>
      </c>
      <c r="BK7" s="133">
        <v>6</v>
      </c>
      <c r="BL7" s="180">
        <f t="shared" si="18"/>
        <v>0.43548387096774194</v>
      </c>
      <c r="BM7" s="132">
        <v>20</v>
      </c>
      <c r="BN7" s="133">
        <v>7</v>
      </c>
      <c r="BO7" s="180">
        <f t="shared" si="19"/>
        <v>0.43548387096774194</v>
      </c>
      <c r="BP7" s="278">
        <f t="shared" si="20"/>
        <v>0.43145161290322581</v>
      </c>
      <c r="BQ7" s="199">
        <v>110</v>
      </c>
      <c r="BR7" s="200">
        <v>75</v>
      </c>
      <c r="BS7" s="201">
        <v>150</v>
      </c>
      <c r="BT7" s="200">
        <v>0</v>
      </c>
      <c r="BU7" s="201">
        <v>175</v>
      </c>
      <c r="BV7" s="200">
        <v>0</v>
      </c>
      <c r="BW7" s="201"/>
      <c r="BX7" s="200"/>
      <c r="BY7" s="201"/>
      <c r="BZ7" s="200"/>
      <c r="CA7" s="202">
        <f t="shared" si="21"/>
        <v>162.5</v>
      </c>
      <c r="CB7" s="203">
        <f t="shared" si="22"/>
        <v>0</v>
      </c>
      <c r="CC7" s="202">
        <f t="shared" si="23"/>
        <v>-52.5</v>
      </c>
      <c r="CD7" s="203">
        <f t="shared" si="24"/>
        <v>75</v>
      </c>
      <c r="CE7" s="337"/>
      <c r="CF7" s="329"/>
      <c r="CG7" s="329"/>
      <c r="CH7" s="285">
        <v>110</v>
      </c>
      <c r="CI7" s="286">
        <v>75</v>
      </c>
      <c r="CJ7" s="287"/>
      <c r="CK7" s="286"/>
      <c r="CL7" s="287"/>
      <c r="CM7" s="286">
        <v>85</v>
      </c>
      <c r="CN7" s="287"/>
      <c r="CO7" s="286">
        <v>75</v>
      </c>
      <c r="CP7" s="287">
        <v>130</v>
      </c>
      <c r="CQ7" s="286"/>
      <c r="CR7" s="284">
        <f t="shared" si="25"/>
        <v>130</v>
      </c>
      <c r="CS7" s="284">
        <f t="shared" si="26"/>
        <v>80</v>
      </c>
      <c r="CT7" s="321" t="s">
        <v>69</v>
      </c>
      <c r="CU7" s="124">
        <f t="shared" si="27"/>
        <v>130</v>
      </c>
      <c r="CV7" s="125">
        <f t="shared" si="28"/>
        <v>80</v>
      </c>
      <c r="CW7" s="124">
        <f t="shared" si="29"/>
        <v>-20</v>
      </c>
      <c r="CX7" s="125">
        <f t="shared" si="30"/>
        <v>-5</v>
      </c>
      <c r="CY7" s="314"/>
      <c r="CZ7" s="132">
        <v>20</v>
      </c>
      <c r="DA7" s="133">
        <v>7</v>
      </c>
      <c r="DB7" s="180">
        <f t="shared" si="31"/>
        <v>0.43548387096774194</v>
      </c>
      <c r="DC7" s="132">
        <v>20</v>
      </c>
      <c r="DD7" s="133">
        <v>7</v>
      </c>
      <c r="DE7" s="180">
        <f t="shared" si="32"/>
        <v>0.43548387096774194</v>
      </c>
      <c r="DF7" s="132">
        <v>20</v>
      </c>
      <c r="DH7" s="133">
        <v>6</v>
      </c>
      <c r="DI7" s="180">
        <f t="shared" si="33"/>
        <v>0.41935483870967744</v>
      </c>
    </row>
    <row r="8" spans="1:114" x14ac:dyDescent="0.3">
      <c r="A8" s="2" t="s">
        <v>70</v>
      </c>
      <c r="B8" s="301" t="s">
        <v>56</v>
      </c>
      <c r="C8" s="302" t="s">
        <v>71</v>
      </c>
      <c r="D8" s="3">
        <v>217.064516129032</v>
      </c>
      <c r="E8" s="13">
        <v>22118.66</v>
      </c>
      <c r="F8" s="42">
        <f t="shared" si="0"/>
        <v>101.89901322633391</v>
      </c>
      <c r="G8" s="3">
        <v>210.75</v>
      </c>
      <c r="H8" s="13">
        <v>21110.58</v>
      </c>
      <c r="I8" s="42">
        <f t="shared" si="1"/>
        <v>100.16882562277581</v>
      </c>
      <c r="J8" s="3">
        <v>209.61290322580601</v>
      </c>
      <c r="K8" s="13">
        <v>20812.7</v>
      </c>
      <c r="L8" s="42">
        <f t="shared" si="2"/>
        <v>99.291120344721662</v>
      </c>
      <c r="M8" s="18">
        <v>210.26666666666699</v>
      </c>
      <c r="N8" s="13">
        <v>20788.21</v>
      </c>
      <c r="O8" s="43">
        <f t="shared" si="3"/>
        <v>98.865932149651073</v>
      </c>
      <c r="P8" s="3">
        <v>209.77419354838699</v>
      </c>
      <c r="Q8" s="13">
        <v>21871.53</v>
      </c>
      <c r="R8" s="42">
        <f t="shared" si="4"/>
        <v>104.2622528063971</v>
      </c>
      <c r="S8" s="3">
        <v>210.433333333333</v>
      </c>
      <c r="T8" s="13">
        <v>20365.68</v>
      </c>
      <c r="U8" s="42">
        <f t="shared" si="5"/>
        <v>96.779724378267218</v>
      </c>
      <c r="V8" s="3">
        <v>211.54838709677401</v>
      </c>
      <c r="W8" s="13">
        <v>22793.34</v>
      </c>
      <c r="X8" s="42">
        <f t="shared" si="6"/>
        <v>107.74527904849049</v>
      </c>
      <c r="Y8" s="3">
        <v>214.16129032258101</v>
      </c>
      <c r="Z8" s="13">
        <v>21563.19</v>
      </c>
      <c r="AA8" s="191">
        <f t="shared" si="7"/>
        <v>100.68668323542684</v>
      </c>
      <c r="AB8" s="29"/>
      <c r="AC8" s="175"/>
      <c r="AD8" s="192">
        <v>251</v>
      </c>
      <c r="AE8" s="193">
        <v>0</v>
      </c>
      <c r="AF8" s="309">
        <v>0</v>
      </c>
      <c r="AG8" s="195">
        <v>232</v>
      </c>
      <c r="AH8" s="179">
        <f t="shared" si="8"/>
        <v>0.92430278884462147</v>
      </c>
      <c r="AI8" s="192">
        <v>201</v>
      </c>
      <c r="AJ8" s="193"/>
      <c r="AK8" s="180">
        <f t="shared" si="9"/>
        <v>0.80079681274900394</v>
      </c>
      <c r="AL8" s="196">
        <v>235</v>
      </c>
      <c r="AM8" s="12"/>
      <c r="AN8" s="180">
        <f t="shared" si="10"/>
        <v>0.93625498007968122</v>
      </c>
      <c r="AO8" s="29">
        <v>221</v>
      </c>
      <c r="AP8" s="12">
        <v>0</v>
      </c>
      <c r="AQ8" s="180">
        <f t="shared" si="11"/>
        <v>0.88047808764940239</v>
      </c>
      <c r="AR8" s="29">
        <v>211</v>
      </c>
      <c r="AS8" s="12">
        <v>0</v>
      </c>
      <c r="AT8" s="180">
        <f t="shared" si="12"/>
        <v>0.84063745019920322</v>
      </c>
      <c r="AU8" s="198">
        <v>206</v>
      </c>
      <c r="AV8" s="197"/>
      <c r="AW8" s="180">
        <f t="shared" si="13"/>
        <v>0.82071713147410363</v>
      </c>
      <c r="AX8" s="134">
        <v>212</v>
      </c>
      <c r="AY8" s="135"/>
      <c r="AZ8" s="180">
        <f t="shared" si="14"/>
        <v>0.84462151394422313</v>
      </c>
      <c r="BA8" s="134">
        <v>213</v>
      </c>
      <c r="BB8" s="135"/>
      <c r="BC8" s="180">
        <f t="shared" si="15"/>
        <v>0.84860557768924305</v>
      </c>
      <c r="BD8" s="134">
        <v>213</v>
      </c>
      <c r="BE8" s="135"/>
      <c r="BF8" s="180">
        <f t="shared" si="16"/>
        <v>0.84860557768924305</v>
      </c>
      <c r="BG8" s="132">
        <v>214</v>
      </c>
      <c r="BH8" s="133"/>
      <c r="BI8" s="180">
        <f t="shared" si="17"/>
        <v>0.85258964143426297</v>
      </c>
      <c r="BJ8" s="133">
        <v>217</v>
      </c>
      <c r="BK8" s="133"/>
      <c r="BL8" s="180">
        <f t="shared" si="18"/>
        <v>0.86454183266932272</v>
      </c>
      <c r="BM8" s="132">
        <v>222</v>
      </c>
      <c r="BN8" s="133"/>
      <c r="BO8" s="180">
        <f t="shared" si="19"/>
        <v>0.8844621513944223</v>
      </c>
      <c r="BP8" s="278">
        <f t="shared" si="20"/>
        <v>0.85192563081009298</v>
      </c>
      <c r="BQ8" s="199">
        <v>110</v>
      </c>
      <c r="BR8" s="200">
        <v>0</v>
      </c>
      <c r="BS8" s="201">
        <v>150</v>
      </c>
      <c r="BT8" s="200">
        <v>0</v>
      </c>
      <c r="BU8" s="201">
        <v>175</v>
      </c>
      <c r="BV8" s="200">
        <v>0</v>
      </c>
      <c r="BW8" s="201"/>
      <c r="BX8" s="200"/>
      <c r="BY8" s="201"/>
      <c r="BZ8" s="200"/>
      <c r="CA8" s="202">
        <f t="shared" si="21"/>
        <v>162.5</v>
      </c>
      <c r="CB8" s="203">
        <f t="shared" si="22"/>
        <v>0</v>
      </c>
      <c r="CC8" s="202">
        <f t="shared" si="23"/>
        <v>-52.5</v>
      </c>
      <c r="CD8" s="203">
        <f t="shared" si="24"/>
        <v>0</v>
      </c>
      <c r="CE8" s="337"/>
      <c r="CF8" s="329"/>
      <c r="CG8" s="329"/>
      <c r="CH8" s="285">
        <v>110</v>
      </c>
      <c r="CI8" s="286">
        <v>0</v>
      </c>
      <c r="CJ8" s="287">
        <v>150</v>
      </c>
      <c r="CK8" s="286"/>
      <c r="CL8" s="287">
        <v>120</v>
      </c>
      <c r="CM8" s="286"/>
      <c r="CN8" s="287">
        <v>90</v>
      </c>
      <c r="CO8" s="286">
        <v>40</v>
      </c>
      <c r="CP8" s="287">
        <v>175</v>
      </c>
      <c r="CQ8" s="286"/>
      <c r="CR8" s="284">
        <f t="shared" si="25"/>
        <v>133.75</v>
      </c>
      <c r="CS8" s="284">
        <f t="shared" si="26"/>
        <v>40</v>
      </c>
      <c r="CT8" s="321" t="s">
        <v>72</v>
      </c>
      <c r="CU8" s="124">
        <f t="shared" si="27"/>
        <v>133.75</v>
      </c>
      <c r="CV8" s="125">
        <f t="shared" si="28"/>
        <v>40</v>
      </c>
      <c r="CW8" s="124">
        <f t="shared" si="29"/>
        <v>-23.75</v>
      </c>
      <c r="CX8" s="125">
        <f t="shared" si="30"/>
        <v>-40</v>
      </c>
      <c r="CY8" s="314"/>
      <c r="CZ8" s="132">
        <v>222</v>
      </c>
      <c r="DA8" s="133"/>
      <c r="DB8" s="180">
        <f t="shared" si="31"/>
        <v>0.8844621513944223</v>
      </c>
      <c r="DC8" s="132">
        <v>222</v>
      </c>
      <c r="DD8" s="133"/>
      <c r="DE8" s="180">
        <f t="shared" si="32"/>
        <v>0.8844621513944223</v>
      </c>
      <c r="DF8" s="132">
        <v>212</v>
      </c>
      <c r="DG8" s="133"/>
      <c r="DH8" s="133"/>
      <c r="DI8" s="180">
        <f t="shared" si="33"/>
        <v>0.84462151394422313</v>
      </c>
    </row>
    <row r="9" spans="1:114" x14ac:dyDescent="0.3">
      <c r="A9" s="2" t="s">
        <v>73</v>
      </c>
      <c r="B9" s="301" t="s">
        <v>56</v>
      </c>
      <c r="C9" s="302" t="s">
        <v>74</v>
      </c>
      <c r="D9" s="3">
        <v>121.129032258065</v>
      </c>
      <c r="E9" s="13">
        <v>12370.21</v>
      </c>
      <c r="F9" s="42">
        <f t="shared" si="0"/>
        <v>102.12423701730984</v>
      </c>
      <c r="G9" s="3">
        <v>119.821428571429</v>
      </c>
      <c r="H9" s="13">
        <v>11813.59</v>
      </c>
      <c r="I9" s="42">
        <f t="shared" si="1"/>
        <v>98.593299552905762</v>
      </c>
      <c r="J9" s="3">
        <v>122.161290322581</v>
      </c>
      <c r="K9" s="13">
        <v>11710</v>
      </c>
      <c r="L9" s="42">
        <f t="shared" si="2"/>
        <v>95.856878795880363</v>
      </c>
      <c r="M9" s="18">
        <v>122.73333333333299</v>
      </c>
      <c r="N9" s="13">
        <v>11627.47</v>
      </c>
      <c r="O9" s="43">
        <f t="shared" si="3"/>
        <v>94.73766974470422</v>
      </c>
      <c r="P9" s="3">
        <v>122.354838709677</v>
      </c>
      <c r="Q9" s="13">
        <v>12748.3</v>
      </c>
      <c r="R9" s="42">
        <f t="shared" si="4"/>
        <v>104.19122066965498</v>
      </c>
      <c r="S9" s="3">
        <v>125.73333333333299</v>
      </c>
      <c r="T9" s="13">
        <v>12075.18</v>
      </c>
      <c r="U9" s="42">
        <f t="shared" si="5"/>
        <v>96.038016967126453</v>
      </c>
      <c r="V9" s="3">
        <v>123.806451612903</v>
      </c>
      <c r="W9" s="13">
        <v>11585</v>
      </c>
      <c r="X9" s="42">
        <f t="shared" si="6"/>
        <v>93.573475768629663</v>
      </c>
      <c r="Y9" s="3">
        <v>121</v>
      </c>
      <c r="Z9" s="13">
        <v>11335</v>
      </c>
      <c r="AA9" s="191">
        <f t="shared" si="7"/>
        <v>93.67768595041322</v>
      </c>
      <c r="AB9" s="29"/>
      <c r="AC9" s="175"/>
      <c r="AD9" s="192">
        <v>157</v>
      </c>
      <c r="AE9" s="193">
        <v>0</v>
      </c>
      <c r="AF9" s="309">
        <v>0</v>
      </c>
      <c r="AG9" s="195">
        <v>90</v>
      </c>
      <c r="AH9" s="179">
        <f t="shared" si="8"/>
        <v>0.57324840764331209</v>
      </c>
      <c r="AI9" s="192">
        <f>AD9-88</f>
        <v>69</v>
      </c>
      <c r="AJ9" s="193"/>
      <c r="AK9" s="180">
        <f t="shared" si="9"/>
        <v>0.43949044585987262</v>
      </c>
      <c r="AL9" s="196"/>
      <c r="AM9" s="12"/>
      <c r="AN9" s="180">
        <f t="shared" si="10"/>
        <v>0</v>
      </c>
      <c r="AO9" s="29">
        <v>78</v>
      </c>
      <c r="AP9" s="12">
        <v>0</v>
      </c>
      <c r="AQ9" s="180">
        <f t="shared" si="11"/>
        <v>0.49681528662420382</v>
      </c>
      <c r="AR9" s="29">
        <v>78</v>
      </c>
      <c r="AS9" s="12">
        <v>0</v>
      </c>
      <c r="AT9" s="180">
        <f t="shared" si="12"/>
        <v>0.49681528662420382</v>
      </c>
      <c r="AU9" s="198">
        <v>70</v>
      </c>
      <c r="AV9" s="197"/>
      <c r="AW9" s="180">
        <f t="shared" si="13"/>
        <v>0.44585987261146498</v>
      </c>
      <c r="AX9" s="134">
        <v>78</v>
      </c>
      <c r="AY9" s="135">
        <v>0</v>
      </c>
      <c r="AZ9" s="180">
        <f t="shared" si="14"/>
        <v>0.49681528662420382</v>
      </c>
      <c r="BA9" s="134">
        <v>81</v>
      </c>
      <c r="BB9" s="135"/>
      <c r="BC9" s="180">
        <f t="shared" si="15"/>
        <v>0.51592356687898089</v>
      </c>
      <c r="BD9" s="134">
        <v>78</v>
      </c>
      <c r="BE9" s="135"/>
      <c r="BF9" s="180">
        <f t="shared" si="16"/>
        <v>0.49681528662420382</v>
      </c>
      <c r="BG9" s="132">
        <v>77</v>
      </c>
      <c r="BH9" s="133"/>
      <c r="BI9" s="180">
        <f t="shared" si="17"/>
        <v>0.49044585987261147</v>
      </c>
      <c r="BJ9" s="133">
        <v>80</v>
      </c>
      <c r="BK9" s="133"/>
      <c r="BL9" s="180">
        <f t="shared" si="18"/>
        <v>0.50955414012738853</v>
      </c>
      <c r="BM9" s="132">
        <v>86</v>
      </c>
      <c r="BN9" s="133"/>
      <c r="BO9" s="180">
        <f t="shared" si="19"/>
        <v>0.54777070063694266</v>
      </c>
      <c r="BP9" s="278">
        <f t="shared" si="20"/>
        <v>0.44798301486199571</v>
      </c>
      <c r="BQ9" s="199">
        <v>125</v>
      </c>
      <c r="BR9" s="200">
        <v>0</v>
      </c>
      <c r="BS9" s="201"/>
      <c r="BT9" s="200">
        <v>0</v>
      </c>
      <c r="BU9" s="201"/>
      <c r="BV9" s="200"/>
      <c r="BW9" s="201"/>
      <c r="BX9" s="200"/>
      <c r="BY9" s="201"/>
      <c r="BZ9" s="200"/>
      <c r="CA9" s="202">
        <f t="shared" si="21"/>
        <v>0</v>
      </c>
      <c r="CB9" s="203">
        <f t="shared" si="22"/>
        <v>0</v>
      </c>
      <c r="CC9" s="202">
        <f t="shared" si="23"/>
        <v>125</v>
      </c>
      <c r="CD9" s="203">
        <f t="shared" si="24"/>
        <v>0</v>
      </c>
      <c r="CE9" s="337"/>
      <c r="CF9" s="329"/>
      <c r="CG9" s="329"/>
      <c r="CH9" s="285">
        <v>125</v>
      </c>
      <c r="CI9" s="286">
        <v>0</v>
      </c>
      <c r="CJ9" s="287">
        <v>90</v>
      </c>
      <c r="CK9" s="286">
        <v>30</v>
      </c>
      <c r="CL9" s="287"/>
      <c r="CM9" s="286">
        <v>85</v>
      </c>
      <c r="CN9" s="287"/>
      <c r="CO9" s="286"/>
      <c r="CP9" s="287"/>
      <c r="CQ9" s="286"/>
      <c r="CR9" s="284">
        <f t="shared" si="25"/>
        <v>90</v>
      </c>
      <c r="CS9" s="284">
        <f t="shared" si="26"/>
        <v>57.5</v>
      </c>
      <c r="CT9" s="321" t="s">
        <v>75</v>
      </c>
      <c r="CU9" s="124">
        <f t="shared" si="27"/>
        <v>90</v>
      </c>
      <c r="CV9" s="125">
        <f t="shared" si="28"/>
        <v>57.5</v>
      </c>
      <c r="CW9" s="124">
        <f t="shared" si="29"/>
        <v>35</v>
      </c>
      <c r="CX9" s="125">
        <f t="shared" si="30"/>
        <v>-57.5</v>
      </c>
      <c r="CY9" s="314"/>
      <c r="CZ9" s="132">
        <v>86</v>
      </c>
      <c r="DA9" s="133"/>
      <c r="DB9" s="180">
        <f t="shared" si="31"/>
        <v>0.54777070063694266</v>
      </c>
      <c r="DC9" s="132">
        <v>86</v>
      </c>
      <c r="DD9" s="133"/>
      <c r="DE9" s="180">
        <f t="shared" si="32"/>
        <v>0.54777070063694266</v>
      </c>
      <c r="DF9" s="132">
        <v>78</v>
      </c>
      <c r="DG9" s="133"/>
      <c r="DH9" s="133"/>
      <c r="DI9" s="180">
        <f t="shared" si="33"/>
        <v>0.49681528662420382</v>
      </c>
    </row>
    <row r="10" spans="1:114" x14ac:dyDescent="0.3">
      <c r="A10" s="2" t="s">
        <v>76</v>
      </c>
      <c r="B10" s="301" t="s">
        <v>56</v>
      </c>
      <c r="C10" s="302" t="s">
        <v>77</v>
      </c>
      <c r="D10" s="3">
        <v>304.25806451612902</v>
      </c>
      <c r="E10" s="13">
        <v>15656.67</v>
      </c>
      <c r="F10" s="42">
        <f t="shared" si="0"/>
        <v>51.458520992366417</v>
      </c>
      <c r="G10" s="3">
        <v>303.28571428571399</v>
      </c>
      <c r="H10" s="13">
        <v>15262.45</v>
      </c>
      <c r="I10" s="42">
        <f t="shared" si="1"/>
        <v>50.323669335845551</v>
      </c>
      <c r="J10" s="3">
        <v>303.806451612903</v>
      </c>
      <c r="K10" s="13">
        <v>15310.25</v>
      </c>
      <c r="L10" s="42">
        <f t="shared" si="2"/>
        <v>50.394749416011926</v>
      </c>
      <c r="M10" s="18">
        <v>303.066666666667</v>
      </c>
      <c r="N10" s="13">
        <v>15021.25</v>
      </c>
      <c r="O10" s="43">
        <f t="shared" si="3"/>
        <v>49.564177298724097</v>
      </c>
      <c r="P10" s="3">
        <v>303.61290322580601</v>
      </c>
      <c r="Q10" s="13">
        <v>15541.25</v>
      </c>
      <c r="R10" s="42">
        <f t="shared" si="4"/>
        <v>51.187712494687709</v>
      </c>
      <c r="S10" s="3">
        <v>299.7</v>
      </c>
      <c r="T10" s="13">
        <v>15206.25</v>
      </c>
      <c r="U10" s="42">
        <f t="shared" si="5"/>
        <v>50.738238238238239</v>
      </c>
      <c r="V10" s="3">
        <v>297.29032258064501</v>
      </c>
      <c r="W10" s="13">
        <v>15056.24</v>
      </c>
      <c r="X10" s="42">
        <f t="shared" si="6"/>
        <v>50.64490451388891</v>
      </c>
      <c r="Y10" s="3">
        <v>299</v>
      </c>
      <c r="Z10" s="13">
        <v>14817.74</v>
      </c>
      <c r="AA10" s="191">
        <f t="shared" si="7"/>
        <v>49.557658862876252</v>
      </c>
      <c r="AB10" s="29"/>
      <c r="AC10" s="175"/>
      <c r="AD10" s="192">
        <v>442</v>
      </c>
      <c r="AE10" s="193">
        <v>0</v>
      </c>
      <c r="AF10" s="309">
        <v>0</v>
      </c>
      <c r="AG10" s="195">
        <v>223</v>
      </c>
      <c r="AH10" s="179">
        <f t="shared" si="8"/>
        <v>0.50452488687782804</v>
      </c>
      <c r="AI10" s="192">
        <f>AD10-238</f>
        <v>204</v>
      </c>
      <c r="AJ10" s="193"/>
      <c r="AK10" s="180">
        <f t="shared" si="9"/>
        <v>0.46153846153846156</v>
      </c>
      <c r="AL10" s="196"/>
      <c r="AM10" s="12"/>
      <c r="AN10" s="180">
        <f t="shared" si="10"/>
        <v>0</v>
      </c>
      <c r="AO10" s="29">
        <v>165</v>
      </c>
      <c r="AP10" s="12">
        <v>0</v>
      </c>
      <c r="AQ10" s="180">
        <f t="shared" si="11"/>
        <v>0.37330316742081449</v>
      </c>
      <c r="AR10" s="29">
        <v>159</v>
      </c>
      <c r="AS10" s="12">
        <v>0</v>
      </c>
      <c r="AT10" s="180">
        <f t="shared" si="12"/>
        <v>0.35972850678733032</v>
      </c>
      <c r="AU10" s="198">
        <v>141</v>
      </c>
      <c r="AV10" s="197"/>
      <c r="AW10" s="180">
        <f t="shared" si="13"/>
        <v>0.3190045248868778</v>
      </c>
      <c r="AX10" s="134">
        <v>163</v>
      </c>
      <c r="AY10" s="135">
        <v>0</v>
      </c>
      <c r="AZ10" s="180">
        <f t="shared" si="14"/>
        <v>0.36877828054298645</v>
      </c>
      <c r="BA10" s="134">
        <v>153</v>
      </c>
      <c r="BB10" s="135"/>
      <c r="BC10" s="180">
        <f t="shared" si="15"/>
        <v>0.34615384615384615</v>
      </c>
      <c r="BD10" s="134">
        <v>153</v>
      </c>
      <c r="BE10" s="135"/>
      <c r="BF10" s="180">
        <f t="shared" si="16"/>
        <v>0.34615384615384615</v>
      </c>
      <c r="BG10" s="132">
        <v>158</v>
      </c>
      <c r="BH10" s="133"/>
      <c r="BI10" s="180">
        <f t="shared" si="17"/>
        <v>0.3574660633484163</v>
      </c>
      <c r="BJ10" s="133">
        <v>164</v>
      </c>
      <c r="BK10" s="133"/>
      <c r="BL10" s="180">
        <f t="shared" si="18"/>
        <v>0.37104072398190047</v>
      </c>
      <c r="BM10" s="132">
        <v>179</v>
      </c>
      <c r="BN10" s="133"/>
      <c r="BO10" s="180">
        <f t="shared" si="19"/>
        <v>0.40497737556561086</v>
      </c>
      <c r="BP10" s="278">
        <f t="shared" si="20"/>
        <v>0.34747360482654605</v>
      </c>
      <c r="BQ10" s="199">
        <v>75</v>
      </c>
      <c r="BR10" s="200">
        <v>0</v>
      </c>
      <c r="BS10" s="201"/>
      <c r="BT10" s="200">
        <v>0</v>
      </c>
      <c r="BU10" s="201"/>
      <c r="BV10" s="200"/>
      <c r="BW10" s="201"/>
      <c r="BX10" s="200"/>
      <c r="BY10" s="201"/>
      <c r="BZ10" s="200"/>
      <c r="CA10" s="202">
        <f t="shared" si="21"/>
        <v>0</v>
      </c>
      <c r="CB10" s="203">
        <f t="shared" si="22"/>
        <v>0</v>
      </c>
      <c r="CC10" s="202">
        <f t="shared" si="23"/>
        <v>75</v>
      </c>
      <c r="CD10" s="203">
        <f t="shared" si="24"/>
        <v>0</v>
      </c>
      <c r="CE10" s="337"/>
      <c r="CF10" s="329"/>
      <c r="CG10" s="329"/>
      <c r="CH10" s="285">
        <v>75</v>
      </c>
      <c r="CI10" s="286">
        <v>0</v>
      </c>
      <c r="CJ10" s="287">
        <v>1</v>
      </c>
      <c r="CK10" s="286"/>
      <c r="CL10" s="287">
        <v>40</v>
      </c>
      <c r="CM10" s="286"/>
      <c r="CN10" s="287"/>
      <c r="CO10" s="286"/>
      <c r="CP10" s="287">
        <v>75</v>
      </c>
      <c r="CQ10" s="286"/>
      <c r="CR10" s="284">
        <f t="shared" si="25"/>
        <v>38.666666666666664</v>
      </c>
      <c r="CS10" s="284">
        <f t="shared" si="26"/>
        <v>0</v>
      </c>
      <c r="CT10" s="321"/>
      <c r="CU10" s="124">
        <f t="shared" si="27"/>
        <v>38.666666666666664</v>
      </c>
      <c r="CV10" s="125">
        <f t="shared" si="28"/>
        <v>0</v>
      </c>
      <c r="CW10" s="124">
        <f t="shared" si="29"/>
        <v>36.333333333333336</v>
      </c>
      <c r="CX10" s="125">
        <f t="shared" si="30"/>
        <v>0</v>
      </c>
      <c r="CY10" s="314"/>
      <c r="CZ10" s="132">
        <v>179</v>
      </c>
      <c r="DA10" s="133"/>
      <c r="DB10" s="180">
        <f t="shared" si="31"/>
        <v>0.40497737556561086</v>
      </c>
      <c r="DC10" s="132">
        <v>179</v>
      </c>
      <c r="DD10" s="133"/>
      <c r="DE10" s="180">
        <f t="shared" si="32"/>
        <v>0.40497737556561086</v>
      </c>
      <c r="DF10" s="132">
        <v>191</v>
      </c>
      <c r="DG10" s="133"/>
      <c r="DH10" s="133"/>
      <c r="DI10" s="180">
        <f t="shared" si="33"/>
        <v>0.4321266968325792</v>
      </c>
    </row>
    <row r="11" spans="1:114" x14ac:dyDescent="0.3">
      <c r="A11" s="2" t="s">
        <v>78</v>
      </c>
      <c r="B11" s="301" t="s">
        <v>56</v>
      </c>
      <c r="C11" s="302" t="s">
        <v>79</v>
      </c>
      <c r="D11" s="3">
        <v>204.03225806451599</v>
      </c>
      <c r="E11" s="13">
        <v>16153.8</v>
      </c>
      <c r="F11" s="42">
        <f t="shared" si="0"/>
        <v>79.172774703557366</v>
      </c>
      <c r="G11" s="3">
        <v>202.78571428571399</v>
      </c>
      <c r="H11" s="13">
        <v>16019</v>
      </c>
      <c r="I11" s="42">
        <f t="shared" si="1"/>
        <v>78.994716449454145</v>
      </c>
      <c r="J11" s="3">
        <v>207.322580645161</v>
      </c>
      <c r="K11" s="13">
        <v>15958.36</v>
      </c>
      <c r="L11" s="42">
        <f t="shared" si="2"/>
        <v>76.973573984751937</v>
      </c>
      <c r="M11" s="18">
        <v>207.3</v>
      </c>
      <c r="N11" s="13">
        <v>15798.14</v>
      </c>
      <c r="O11" s="43">
        <f t="shared" si="3"/>
        <v>76.209068982151464</v>
      </c>
      <c r="P11" s="3">
        <v>209.51612903225799</v>
      </c>
      <c r="Q11" s="13">
        <v>16368.79</v>
      </c>
      <c r="R11" s="42">
        <f t="shared" si="4"/>
        <v>78.126634334103187</v>
      </c>
      <c r="S11" s="3">
        <v>208.433333333333</v>
      </c>
      <c r="T11" s="13">
        <v>16130.56</v>
      </c>
      <c r="U11" s="42">
        <f t="shared" si="5"/>
        <v>77.389541020310375</v>
      </c>
      <c r="V11" s="3">
        <v>209.129032258065</v>
      </c>
      <c r="W11" s="13">
        <v>16338.38</v>
      </c>
      <c r="X11" s="42">
        <f t="shared" si="6"/>
        <v>78.125833718957097</v>
      </c>
      <c r="Y11" s="3">
        <v>202.03225806451599</v>
      </c>
      <c r="Z11" s="13">
        <v>15052.61</v>
      </c>
      <c r="AA11" s="191">
        <f t="shared" si="7"/>
        <v>74.505973175794409</v>
      </c>
      <c r="AB11" s="29"/>
      <c r="AC11" s="175"/>
      <c r="AD11" s="192">
        <v>365</v>
      </c>
      <c r="AE11" s="193">
        <v>0</v>
      </c>
      <c r="AF11" s="309">
        <v>0</v>
      </c>
      <c r="AG11" s="195">
        <v>178</v>
      </c>
      <c r="AH11" s="179">
        <f t="shared" si="8"/>
        <v>0.48767123287671232</v>
      </c>
      <c r="AI11" s="204">
        <f>239-91</f>
        <v>148</v>
      </c>
      <c r="AJ11" s="193"/>
      <c r="AK11" s="180">
        <f t="shared" si="9"/>
        <v>0.40547945205479452</v>
      </c>
      <c r="AL11" s="196"/>
      <c r="AM11" s="12"/>
      <c r="AN11" s="180">
        <f t="shared" si="10"/>
        <v>0</v>
      </c>
      <c r="AO11" s="29"/>
      <c r="AP11" s="12">
        <f>149-15</f>
        <v>134</v>
      </c>
      <c r="AQ11" s="180">
        <f t="shared" si="11"/>
        <v>0.36712328767123287</v>
      </c>
      <c r="AR11" s="29"/>
      <c r="AS11" s="12">
        <f>149-15</f>
        <v>134</v>
      </c>
      <c r="AT11" s="180">
        <f t="shared" si="12"/>
        <v>0.36712328767123287</v>
      </c>
      <c r="AU11" s="198">
        <f>145-18</f>
        <v>127</v>
      </c>
      <c r="AV11" s="197"/>
      <c r="AW11" s="180">
        <f t="shared" si="13"/>
        <v>0.34794520547945207</v>
      </c>
      <c r="AX11" s="134"/>
      <c r="AY11" s="135"/>
      <c r="AZ11" s="180">
        <f t="shared" si="14"/>
        <v>0</v>
      </c>
      <c r="BA11" s="134">
        <v>155</v>
      </c>
      <c r="BB11" s="135"/>
      <c r="BC11" s="180">
        <f t="shared" si="15"/>
        <v>0.42465753424657532</v>
      </c>
      <c r="BD11" s="134">
        <v>156</v>
      </c>
      <c r="BE11" s="135"/>
      <c r="BF11" s="180">
        <f t="shared" si="16"/>
        <v>0.42739726027397262</v>
      </c>
      <c r="BG11" s="132">
        <v>154</v>
      </c>
      <c r="BH11" s="133"/>
      <c r="BI11" s="180">
        <f t="shared" si="17"/>
        <v>0.42191780821917807</v>
      </c>
      <c r="BJ11" s="133">
        <v>155</v>
      </c>
      <c r="BK11" s="133"/>
      <c r="BL11" s="180">
        <f t="shared" si="18"/>
        <v>0.42465753424657532</v>
      </c>
      <c r="BM11" s="132">
        <v>154</v>
      </c>
      <c r="BN11" s="133"/>
      <c r="BO11" s="180">
        <f t="shared" si="19"/>
        <v>0.42191780821917807</v>
      </c>
      <c r="BP11" s="278">
        <f t="shared" si="20"/>
        <v>0.33447488584474888</v>
      </c>
      <c r="BQ11" s="199">
        <v>100</v>
      </c>
      <c r="BR11" s="200">
        <v>0</v>
      </c>
      <c r="BS11" s="201">
        <v>100</v>
      </c>
      <c r="BT11" s="200">
        <v>0</v>
      </c>
      <c r="BU11" s="201">
        <v>120</v>
      </c>
      <c r="BV11" s="200"/>
      <c r="BW11" s="201">
        <v>150</v>
      </c>
      <c r="BX11" s="200"/>
      <c r="BY11" s="201"/>
      <c r="BZ11" s="200"/>
      <c r="CA11" s="202">
        <f t="shared" si="21"/>
        <v>123.33333333333333</v>
      </c>
      <c r="CB11" s="203">
        <f t="shared" si="22"/>
        <v>0</v>
      </c>
      <c r="CC11" s="202">
        <f t="shared" si="23"/>
        <v>-23.333333333333329</v>
      </c>
      <c r="CD11" s="203">
        <f t="shared" si="24"/>
        <v>0</v>
      </c>
      <c r="CE11" s="337"/>
      <c r="CF11" s="329" t="s">
        <v>80</v>
      </c>
      <c r="CG11" s="329"/>
      <c r="CH11" s="285">
        <v>100</v>
      </c>
      <c r="CI11" s="286">
        <v>0</v>
      </c>
      <c r="CJ11" s="287">
        <v>125</v>
      </c>
      <c r="CK11" s="286">
        <v>0</v>
      </c>
      <c r="CL11" s="287">
        <v>135</v>
      </c>
      <c r="CM11" s="286">
        <v>0</v>
      </c>
      <c r="CN11" s="287">
        <v>150</v>
      </c>
      <c r="CO11" s="286">
        <v>0</v>
      </c>
      <c r="CP11" s="287"/>
      <c r="CQ11" s="286">
        <v>0</v>
      </c>
      <c r="CR11" s="284">
        <f t="shared" si="25"/>
        <v>136.66666666666666</v>
      </c>
      <c r="CS11" s="284">
        <f t="shared" si="26"/>
        <v>0</v>
      </c>
      <c r="CT11" s="321"/>
      <c r="CU11" s="124">
        <f t="shared" si="27"/>
        <v>136.66666666666666</v>
      </c>
      <c r="CV11" s="125">
        <f t="shared" si="28"/>
        <v>0</v>
      </c>
      <c r="CW11" s="124">
        <f t="shared" si="29"/>
        <v>-36.666666666666657</v>
      </c>
      <c r="CX11" s="125">
        <f t="shared" si="30"/>
        <v>0</v>
      </c>
      <c r="CY11" s="314"/>
      <c r="CZ11" s="132">
        <v>154</v>
      </c>
      <c r="DA11" s="133"/>
      <c r="DB11" s="180">
        <f t="shared" si="31"/>
        <v>0.42191780821917807</v>
      </c>
      <c r="DC11" s="132">
        <v>154</v>
      </c>
      <c r="DD11" s="133"/>
      <c r="DE11" s="180">
        <f t="shared" si="32"/>
        <v>0.42191780821917807</v>
      </c>
      <c r="DF11" s="132">
        <v>166</v>
      </c>
      <c r="DG11" s="133"/>
      <c r="DH11" s="133"/>
      <c r="DI11" s="180">
        <f t="shared" si="33"/>
        <v>0.45479452054794522</v>
      </c>
    </row>
    <row r="12" spans="1:114" x14ac:dyDescent="0.3">
      <c r="A12" s="2" t="s">
        <v>81</v>
      </c>
      <c r="B12" s="301" t="s">
        <v>56</v>
      </c>
      <c r="C12" s="302" t="s">
        <v>82</v>
      </c>
      <c r="D12" s="3">
        <v>153.41935483871001</v>
      </c>
      <c r="E12" s="13">
        <v>12850</v>
      </c>
      <c r="F12" s="42">
        <f t="shared" si="0"/>
        <v>83.757359125315205</v>
      </c>
      <c r="G12" s="3">
        <v>157.53571428571399</v>
      </c>
      <c r="H12" s="13">
        <v>12987</v>
      </c>
      <c r="I12" s="42">
        <f t="shared" si="1"/>
        <v>82.438449331217569</v>
      </c>
      <c r="J12" s="3">
        <v>160.258064516129</v>
      </c>
      <c r="K12" s="13">
        <v>13970</v>
      </c>
      <c r="L12" s="42">
        <f t="shared" si="2"/>
        <v>87.171900161030621</v>
      </c>
      <c r="M12" s="18">
        <v>159.30000000000001</v>
      </c>
      <c r="N12" s="13">
        <v>13525</v>
      </c>
      <c r="O12" s="43">
        <f t="shared" si="3"/>
        <v>84.902699309478962</v>
      </c>
      <c r="P12" s="3">
        <v>161.870967741935</v>
      </c>
      <c r="Q12" s="13">
        <v>12930</v>
      </c>
      <c r="R12" s="42">
        <f t="shared" si="4"/>
        <v>79.87843762455185</v>
      </c>
      <c r="S12" s="3">
        <v>162.5</v>
      </c>
      <c r="T12" s="13">
        <v>14135</v>
      </c>
      <c r="U12" s="42">
        <f t="shared" si="5"/>
        <v>86.984615384615381</v>
      </c>
      <c r="V12" s="3">
        <v>166.677419354839</v>
      </c>
      <c r="W12" s="13">
        <v>15397.44</v>
      </c>
      <c r="X12" s="42">
        <f t="shared" si="6"/>
        <v>92.378680085155636</v>
      </c>
      <c r="Y12" s="3">
        <v>169.806451612903</v>
      </c>
      <c r="Z12" s="13">
        <v>14674.19</v>
      </c>
      <c r="AA12" s="191">
        <f t="shared" si="7"/>
        <v>86.417152355623216</v>
      </c>
      <c r="AB12" s="29"/>
      <c r="AC12" s="175"/>
      <c r="AD12" s="193">
        <v>168</v>
      </c>
      <c r="AE12" s="205">
        <v>0</v>
      </c>
      <c r="AF12" s="309">
        <v>0</v>
      </c>
      <c r="AG12" s="195">
        <v>115</v>
      </c>
      <c r="AH12" s="206">
        <f>AG12/SUM(AD12:AD12)</f>
        <v>0.68452380952380953</v>
      </c>
      <c r="AI12" s="192">
        <f>188-47</f>
        <v>141</v>
      </c>
      <c r="AJ12" s="193"/>
      <c r="AK12" s="180">
        <f t="shared" si="9"/>
        <v>0.8392857142857143</v>
      </c>
      <c r="AL12" s="196">
        <v>122</v>
      </c>
      <c r="AM12" s="12"/>
      <c r="AN12" s="180">
        <f t="shared" si="10"/>
        <v>0.72619047619047616</v>
      </c>
      <c r="AO12" s="29">
        <v>64</v>
      </c>
      <c r="AP12" s="12">
        <v>0</v>
      </c>
      <c r="AQ12" s="180">
        <f t="shared" si="11"/>
        <v>0.38095238095238093</v>
      </c>
      <c r="AR12" s="29">
        <v>64</v>
      </c>
      <c r="AS12" s="12">
        <v>0</v>
      </c>
      <c r="AT12" s="180">
        <f t="shared" si="12"/>
        <v>0.38095238095238093</v>
      </c>
      <c r="AU12" s="198">
        <v>111</v>
      </c>
      <c r="AV12" s="197"/>
      <c r="AW12" s="180">
        <f t="shared" si="13"/>
        <v>0.6607142857142857</v>
      </c>
      <c r="AX12" s="134">
        <v>114</v>
      </c>
      <c r="AY12" s="135"/>
      <c r="AZ12" s="180">
        <f t="shared" si="14"/>
        <v>0.6785714285714286</v>
      </c>
      <c r="BA12" s="134">
        <v>109</v>
      </c>
      <c r="BB12" s="135"/>
      <c r="BC12" s="180">
        <f t="shared" si="15"/>
        <v>0.64880952380952384</v>
      </c>
      <c r="BD12" s="134">
        <v>108</v>
      </c>
      <c r="BE12" s="135"/>
      <c r="BF12" s="180">
        <f t="shared" si="16"/>
        <v>0.6428571428571429</v>
      </c>
      <c r="BG12" s="132">
        <v>105</v>
      </c>
      <c r="BH12" s="133"/>
      <c r="BI12" s="180">
        <f t="shared" si="17"/>
        <v>0.625</v>
      </c>
      <c r="BJ12" s="133">
        <v>108</v>
      </c>
      <c r="BK12" s="133"/>
      <c r="BL12" s="180">
        <f t="shared" si="18"/>
        <v>0.6428571428571429</v>
      </c>
      <c r="BM12" s="132">
        <v>110</v>
      </c>
      <c r="BN12" s="133"/>
      <c r="BO12" s="180">
        <f t="shared" si="19"/>
        <v>0.65476190476190477</v>
      </c>
      <c r="BP12" s="278">
        <f t="shared" si="20"/>
        <v>0.64335317460317476</v>
      </c>
      <c r="BQ12" s="199">
        <v>140</v>
      </c>
      <c r="BR12" s="200">
        <v>0</v>
      </c>
      <c r="BS12" s="201">
        <v>150</v>
      </c>
      <c r="BT12" s="200">
        <v>0</v>
      </c>
      <c r="BU12" s="201">
        <v>150</v>
      </c>
      <c r="BV12" s="200"/>
      <c r="BW12" s="201">
        <v>150</v>
      </c>
      <c r="BX12" s="200"/>
      <c r="BY12" s="201">
        <v>175</v>
      </c>
      <c r="BZ12" s="200"/>
      <c r="CA12" s="202">
        <f t="shared" si="21"/>
        <v>156.25</v>
      </c>
      <c r="CB12" s="203">
        <f t="shared" si="22"/>
        <v>0</v>
      </c>
      <c r="CC12" s="202">
        <f t="shared" si="23"/>
        <v>-16.25</v>
      </c>
      <c r="CD12" s="203">
        <f t="shared" si="24"/>
        <v>0</v>
      </c>
      <c r="CE12" s="337"/>
      <c r="CF12" s="329"/>
      <c r="CG12" s="329"/>
      <c r="CH12" s="285">
        <v>140</v>
      </c>
      <c r="CI12" s="286">
        <v>0</v>
      </c>
      <c r="CJ12" s="287">
        <v>150</v>
      </c>
      <c r="CK12" s="286">
        <v>0</v>
      </c>
      <c r="CL12" s="287">
        <v>150</v>
      </c>
      <c r="CM12" s="286">
        <v>0</v>
      </c>
      <c r="CN12" s="287">
        <v>150</v>
      </c>
      <c r="CO12" s="286">
        <v>0</v>
      </c>
      <c r="CP12" s="287">
        <v>175</v>
      </c>
      <c r="CQ12" s="286">
        <v>0</v>
      </c>
      <c r="CR12" s="284">
        <f t="shared" si="25"/>
        <v>156.25</v>
      </c>
      <c r="CS12" s="284">
        <f t="shared" si="26"/>
        <v>0</v>
      </c>
      <c r="CT12" s="321"/>
      <c r="CU12" s="124">
        <f t="shared" si="27"/>
        <v>156.25</v>
      </c>
      <c r="CV12" s="125">
        <f t="shared" si="28"/>
        <v>0</v>
      </c>
      <c r="CW12" s="124">
        <f t="shared" si="29"/>
        <v>-16.25</v>
      </c>
      <c r="CX12" s="125">
        <f t="shared" si="30"/>
        <v>0</v>
      </c>
      <c r="CY12" s="314"/>
      <c r="CZ12" s="132">
        <v>110</v>
      </c>
      <c r="DA12" s="133"/>
      <c r="DB12" s="180">
        <f t="shared" si="31"/>
        <v>0.65476190476190477</v>
      </c>
      <c r="DC12" s="132">
        <v>110</v>
      </c>
      <c r="DD12" s="133"/>
      <c r="DE12" s="180">
        <f t="shared" si="32"/>
        <v>0.65476190476190477</v>
      </c>
      <c r="DF12" s="132">
        <v>105</v>
      </c>
      <c r="DG12" s="133">
        <v>0</v>
      </c>
      <c r="DH12" s="133">
        <v>0</v>
      </c>
      <c r="DI12" s="180">
        <f t="shared" si="33"/>
        <v>0.625</v>
      </c>
    </row>
    <row r="13" spans="1:114" x14ac:dyDescent="0.3">
      <c r="A13" s="2" t="s">
        <v>83</v>
      </c>
      <c r="B13" s="301" t="s">
        <v>56</v>
      </c>
      <c r="C13" s="302" t="s">
        <v>84</v>
      </c>
      <c r="D13" s="3">
        <v>131</v>
      </c>
      <c r="E13" s="13">
        <v>8951.44</v>
      </c>
      <c r="F13" s="42">
        <f t="shared" si="0"/>
        <v>68.331603053435117</v>
      </c>
      <c r="G13" s="3">
        <v>127.21428571428601</v>
      </c>
      <c r="H13" s="13">
        <v>10995.8</v>
      </c>
      <c r="I13" s="42">
        <f t="shared" si="1"/>
        <v>86.435261089275485</v>
      </c>
      <c r="J13" s="3">
        <v>129.29032258064501</v>
      </c>
      <c r="K13" s="13">
        <v>9051.4699999999993</v>
      </c>
      <c r="L13" s="42">
        <f t="shared" si="2"/>
        <v>70.008874750499075</v>
      </c>
      <c r="M13" s="18">
        <v>136.933333333333</v>
      </c>
      <c r="N13" s="13">
        <v>8871.49</v>
      </c>
      <c r="O13" s="43">
        <f t="shared" si="3"/>
        <v>64.786927945472414</v>
      </c>
      <c r="P13" s="3">
        <v>133.61290322580601</v>
      </c>
      <c r="Q13" s="13">
        <v>9169.42</v>
      </c>
      <c r="R13" s="42">
        <f t="shared" si="4"/>
        <v>68.626755190729341</v>
      </c>
      <c r="S13" s="3">
        <v>137.19999999999999</v>
      </c>
      <c r="T13" s="13">
        <v>10028.02</v>
      </c>
      <c r="U13" s="42">
        <f t="shared" si="5"/>
        <v>73.090524781341117</v>
      </c>
      <c r="V13" s="3">
        <v>144</v>
      </c>
      <c r="W13" s="13">
        <v>10082.879999999999</v>
      </c>
      <c r="X13" s="42">
        <f t="shared" si="6"/>
        <v>70.02</v>
      </c>
      <c r="Y13" s="3">
        <v>146.38709677419399</v>
      </c>
      <c r="Z13" s="13">
        <v>9367</v>
      </c>
      <c r="AA13" s="191">
        <f t="shared" si="7"/>
        <v>63.987880123402185</v>
      </c>
      <c r="AB13" s="29"/>
      <c r="AC13" s="175"/>
      <c r="AD13" s="192">
        <v>220</v>
      </c>
      <c r="AE13" s="193">
        <v>0</v>
      </c>
      <c r="AF13" s="309">
        <v>0</v>
      </c>
      <c r="AG13" s="195">
        <v>115</v>
      </c>
      <c r="AH13" s="206">
        <f t="shared" si="8"/>
        <v>0.52272727272727271</v>
      </c>
      <c r="AI13" s="192"/>
      <c r="AJ13" s="193"/>
      <c r="AK13" s="180">
        <f t="shared" si="9"/>
        <v>0</v>
      </c>
      <c r="AL13" s="196"/>
      <c r="AM13" s="12"/>
      <c r="AN13" s="180">
        <f t="shared" si="10"/>
        <v>0</v>
      </c>
      <c r="AO13" s="29"/>
      <c r="AP13" s="12"/>
      <c r="AQ13" s="180">
        <f t="shared" si="11"/>
        <v>0</v>
      </c>
      <c r="AR13" s="29"/>
      <c r="AS13" s="12"/>
      <c r="AT13" s="180">
        <f t="shared" si="12"/>
        <v>0</v>
      </c>
      <c r="AU13" s="198"/>
      <c r="AV13" s="197"/>
      <c r="AW13" s="180">
        <f t="shared" si="13"/>
        <v>0</v>
      </c>
      <c r="AX13" s="134"/>
      <c r="AY13" s="135"/>
      <c r="AZ13" s="180">
        <f t="shared" si="14"/>
        <v>0</v>
      </c>
      <c r="BA13" s="134"/>
      <c r="BB13" s="135"/>
      <c r="BC13" s="180">
        <f t="shared" si="15"/>
        <v>0</v>
      </c>
      <c r="BD13" s="134"/>
      <c r="BE13" s="135"/>
      <c r="BF13" s="180">
        <f t="shared" si="16"/>
        <v>0</v>
      </c>
      <c r="BG13" s="132"/>
      <c r="BH13" s="133"/>
      <c r="BI13" s="180">
        <f t="shared" si="17"/>
        <v>0</v>
      </c>
      <c r="BJ13" s="133"/>
      <c r="BK13" s="133"/>
      <c r="BL13" s="180">
        <f t="shared" si="18"/>
        <v>0</v>
      </c>
      <c r="BM13" s="132"/>
      <c r="BN13" s="133"/>
      <c r="BO13" s="180">
        <f t="shared" si="19"/>
        <v>0</v>
      </c>
      <c r="BP13" s="278">
        <f t="shared" si="20"/>
        <v>0</v>
      </c>
      <c r="BQ13" s="199">
        <v>90</v>
      </c>
      <c r="BR13" s="200">
        <v>0</v>
      </c>
      <c r="BS13" s="201"/>
      <c r="BT13" s="200">
        <v>0</v>
      </c>
      <c r="BU13" s="201"/>
      <c r="BV13" s="200"/>
      <c r="BW13" s="201"/>
      <c r="BX13" s="200"/>
      <c r="BY13" s="201"/>
      <c r="BZ13" s="200"/>
      <c r="CA13" s="202">
        <f t="shared" si="21"/>
        <v>0</v>
      </c>
      <c r="CB13" s="203">
        <f t="shared" si="22"/>
        <v>0</v>
      </c>
      <c r="CC13" s="202">
        <f t="shared" si="23"/>
        <v>90</v>
      </c>
      <c r="CD13" s="203">
        <f t="shared" si="24"/>
        <v>0</v>
      </c>
      <c r="CE13" s="337"/>
      <c r="CF13" s="329"/>
      <c r="CG13" s="329"/>
      <c r="CH13" s="285">
        <v>90</v>
      </c>
      <c r="CI13" s="286">
        <v>0</v>
      </c>
      <c r="CJ13" s="287"/>
      <c r="CK13" s="286"/>
      <c r="CL13" s="287"/>
      <c r="CM13" s="286"/>
      <c r="CN13" s="287"/>
      <c r="CO13" s="286"/>
      <c r="CP13" s="287"/>
      <c r="CQ13" s="286"/>
      <c r="CR13" s="284">
        <f t="shared" si="25"/>
        <v>0</v>
      </c>
      <c r="CS13" s="284">
        <f t="shared" si="26"/>
        <v>0</v>
      </c>
      <c r="CT13" s="321"/>
      <c r="CU13" s="124">
        <f t="shared" si="27"/>
        <v>0</v>
      </c>
      <c r="CV13" s="125">
        <f t="shared" si="28"/>
        <v>0</v>
      </c>
      <c r="CW13" s="124">
        <f t="shared" si="29"/>
        <v>90</v>
      </c>
      <c r="CX13" s="125">
        <f t="shared" si="30"/>
        <v>0</v>
      </c>
      <c r="CY13" s="314"/>
      <c r="CZ13" s="132"/>
      <c r="DA13" s="133"/>
      <c r="DB13" s="180">
        <f t="shared" si="31"/>
        <v>0</v>
      </c>
      <c r="DC13" s="132"/>
      <c r="DD13" s="133"/>
      <c r="DE13" s="180">
        <f t="shared" si="32"/>
        <v>0</v>
      </c>
      <c r="DF13" s="132"/>
      <c r="DG13" s="133"/>
      <c r="DH13" s="133"/>
      <c r="DI13" s="180">
        <f t="shared" si="33"/>
        <v>0</v>
      </c>
    </row>
    <row r="14" spans="1:114" x14ac:dyDescent="0.3">
      <c r="A14" s="2" t="s">
        <v>85</v>
      </c>
      <c r="B14" s="301" t="s">
        <v>56</v>
      </c>
      <c r="C14" s="302" t="s">
        <v>86</v>
      </c>
      <c r="D14" s="3">
        <v>278.193548387097</v>
      </c>
      <c r="E14" s="13">
        <v>44867.58</v>
      </c>
      <c r="F14" s="42">
        <f t="shared" si="0"/>
        <v>161.28188543599245</v>
      </c>
      <c r="G14" s="3">
        <v>279.5</v>
      </c>
      <c r="H14" s="13">
        <v>45852.95</v>
      </c>
      <c r="I14" s="42">
        <f t="shared" si="1"/>
        <v>164.053488372093</v>
      </c>
      <c r="J14" s="3">
        <v>276</v>
      </c>
      <c r="K14" s="13">
        <v>51693.81</v>
      </c>
      <c r="L14" s="42">
        <f t="shared" si="2"/>
        <v>187.29641304347825</v>
      </c>
      <c r="M14" s="18">
        <v>275.8</v>
      </c>
      <c r="N14" s="13">
        <v>57463.48</v>
      </c>
      <c r="O14" s="43">
        <f t="shared" si="3"/>
        <v>208.35199419869471</v>
      </c>
      <c r="P14" s="3">
        <v>267.58064516129002</v>
      </c>
      <c r="Q14" s="13">
        <v>54888.94</v>
      </c>
      <c r="R14" s="42">
        <f t="shared" si="4"/>
        <v>205.13045690174829</v>
      </c>
      <c r="S14" s="3">
        <v>263.16666666666703</v>
      </c>
      <c r="T14" s="13">
        <v>53882.95</v>
      </c>
      <c r="U14" s="42">
        <f t="shared" si="5"/>
        <v>204.74838505383124</v>
      </c>
      <c r="V14" s="3">
        <v>269.38709677419399</v>
      </c>
      <c r="W14" s="13">
        <v>72192.259999999995</v>
      </c>
      <c r="X14" s="42">
        <f t="shared" si="6"/>
        <v>267.98707460184363</v>
      </c>
      <c r="Y14" s="3">
        <v>268</v>
      </c>
      <c r="Z14" s="13">
        <v>106153.96</v>
      </c>
      <c r="AA14" s="191">
        <f t="shared" si="7"/>
        <v>396.09686567164181</v>
      </c>
      <c r="AB14" s="29"/>
      <c r="AC14" s="175"/>
      <c r="AD14" s="192">
        <v>236</v>
      </c>
      <c r="AE14" s="193">
        <v>0</v>
      </c>
      <c r="AF14" s="309">
        <v>208</v>
      </c>
      <c r="AG14" s="2">
        <v>181</v>
      </c>
      <c r="AH14" s="206">
        <f t="shared" si="8"/>
        <v>0.76694915254237284</v>
      </c>
      <c r="AI14" s="192">
        <f>204-26</f>
        <v>178</v>
      </c>
      <c r="AJ14" s="193"/>
      <c r="AK14" s="180">
        <f t="shared" si="9"/>
        <v>0.75423728813559321</v>
      </c>
      <c r="AL14" s="196">
        <v>204</v>
      </c>
      <c r="AM14" s="12"/>
      <c r="AN14" s="180">
        <f t="shared" si="10"/>
        <v>0.86440677966101698</v>
      </c>
      <c r="AO14" s="29"/>
      <c r="AP14" s="12">
        <v>173</v>
      </c>
      <c r="AQ14" s="180">
        <f t="shared" si="11"/>
        <v>0.73305084745762716</v>
      </c>
      <c r="AR14" s="29"/>
      <c r="AS14" s="12">
        <v>173</v>
      </c>
      <c r="AT14" s="180">
        <f t="shared" si="12"/>
        <v>0.73305084745762716</v>
      </c>
      <c r="AU14" s="207">
        <v>175</v>
      </c>
      <c r="AV14" s="197"/>
      <c r="AW14" s="180">
        <f t="shared" si="13"/>
        <v>0.74152542372881358</v>
      </c>
      <c r="AX14" s="134">
        <v>188</v>
      </c>
      <c r="AY14" s="135"/>
      <c r="AZ14" s="180">
        <f t="shared" si="14"/>
        <v>0.79661016949152541</v>
      </c>
      <c r="BA14" s="134">
        <v>179</v>
      </c>
      <c r="BB14" s="135"/>
      <c r="BC14" s="180">
        <f t="shared" si="15"/>
        <v>0.75847457627118642</v>
      </c>
      <c r="BD14" s="134">
        <v>177</v>
      </c>
      <c r="BE14" s="135"/>
      <c r="BF14" s="180">
        <f t="shared" si="16"/>
        <v>0.75</v>
      </c>
      <c r="BG14" s="132">
        <v>181</v>
      </c>
      <c r="BH14" s="133"/>
      <c r="BI14" s="180">
        <f t="shared" si="17"/>
        <v>0.76694915254237284</v>
      </c>
      <c r="BJ14" s="133">
        <v>184</v>
      </c>
      <c r="BK14" s="133"/>
      <c r="BL14" s="180">
        <f t="shared" si="18"/>
        <v>0.77966101694915257</v>
      </c>
      <c r="BM14" s="132">
        <v>187</v>
      </c>
      <c r="BN14" s="133"/>
      <c r="BO14" s="180">
        <f t="shared" si="19"/>
        <v>0.7923728813559322</v>
      </c>
      <c r="BP14" s="278">
        <f t="shared" si="20"/>
        <v>0.76871468926553677</v>
      </c>
      <c r="BQ14" s="199">
        <v>0</v>
      </c>
      <c r="BR14" s="200">
        <v>150</v>
      </c>
      <c r="BS14" s="201"/>
      <c r="BT14" s="200">
        <v>0</v>
      </c>
      <c r="BU14" s="201"/>
      <c r="BV14" s="200"/>
      <c r="BW14" s="201"/>
      <c r="BX14" s="200"/>
      <c r="BY14" s="201"/>
      <c r="BZ14" s="200"/>
      <c r="CA14" s="202">
        <f t="shared" si="21"/>
        <v>0</v>
      </c>
      <c r="CB14" s="203">
        <f t="shared" si="22"/>
        <v>0</v>
      </c>
      <c r="CC14" s="202">
        <f t="shared" si="23"/>
        <v>0</v>
      </c>
      <c r="CD14" s="203">
        <f t="shared" si="24"/>
        <v>150</v>
      </c>
      <c r="CE14" s="337"/>
      <c r="CF14" s="329"/>
      <c r="CG14" s="329"/>
      <c r="CH14" s="285">
        <v>150</v>
      </c>
      <c r="CI14" s="286">
        <v>0</v>
      </c>
      <c r="CJ14" s="287">
        <v>150</v>
      </c>
      <c r="CK14" s="286">
        <v>175</v>
      </c>
      <c r="CL14" s="287">
        <v>150</v>
      </c>
      <c r="CM14" s="286">
        <v>0</v>
      </c>
      <c r="CN14" s="287">
        <v>100</v>
      </c>
      <c r="CO14" s="286">
        <v>0</v>
      </c>
      <c r="CP14" s="287">
        <v>125</v>
      </c>
      <c r="CQ14" s="286"/>
      <c r="CR14" s="284">
        <f t="shared" si="25"/>
        <v>131.25</v>
      </c>
      <c r="CS14" s="284">
        <f t="shared" si="26"/>
        <v>58.333333333333336</v>
      </c>
      <c r="CT14" s="321" t="s">
        <v>87</v>
      </c>
      <c r="CU14" s="124">
        <f t="shared" si="27"/>
        <v>131.25</v>
      </c>
      <c r="CV14" s="125">
        <f t="shared" si="28"/>
        <v>58.333333333333336</v>
      </c>
      <c r="CW14" s="124">
        <f t="shared" si="29"/>
        <v>18.75</v>
      </c>
      <c r="CX14" s="125">
        <f t="shared" si="30"/>
        <v>-58.333333333333336</v>
      </c>
      <c r="CY14" s="314"/>
      <c r="CZ14" s="132">
        <v>187</v>
      </c>
      <c r="DA14" s="133"/>
      <c r="DB14" s="180">
        <f t="shared" si="31"/>
        <v>0.7923728813559322</v>
      </c>
      <c r="DC14" s="132">
        <v>187</v>
      </c>
      <c r="DD14" s="133"/>
      <c r="DE14" s="180">
        <f t="shared" si="32"/>
        <v>0.7923728813559322</v>
      </c>
      <c r="DF14" s="132">
        <v>178</v>
      </c>
      <c r="DG14" s="133"/>
      <c r="DH14" s="133"/>
      <c r="DI14" s="180">
        <f t="shared" si="33"/>
        <v>0.75423728813559321</v>
      </c>
    </row>
    <row r="15" spans="1:114" ht="15" thickBot="1" x14ac:dyDescent="0.35">
      <c r="A15" s="2" t="s">
        <v>88</v>
      </c>
      <c r="B15" s="301" t="s">
        <v>56</v>
      </c>
      <c r="C15" s="302" t="s">
        <v>89</v>
      </c>
      <c r="D15" s="3">
        <v>512.12903225806497</v>
      </c>
      <c r="E15" s="13">
        <v>46316.83</v>
      </c>
      <c r="F15" s="42">
        <f t="shared" si="0"/>
        <v>90.439766313932907</v>
      </c>
      <c r="G15" s="3">
        <v>508.92857142857099</v>
      </c>
      <c r="H15" s="13">
        <v>54710.22</v>
      </c>
      <c r="I15" s="42">
        <f t="shared" si="1"/>
        <v>107.50078315789483</v>
      </c>
      <c r="J15" s="3">
        <v>512.58064516129002</v>
      </c>
      <c r="K15" s="13">
        <v>42200.480000000003</v>
      </c>
      <c r="L15" s="42">
        <f t="shared" si="2"/>
        <v>82.329444933920755</v>
      </c>
      <c r="M15" s="18">
        <v>514.96666666666704</v>
      </c>
      <c r="N15" s="13">
        <v>43829.75</v>
      </c>
      <c r="O15" s="43">
        <f t="shared" si="3"/>
        <v>85.111819535244933</v>
      </c>
      <c r="P15" s="3">
        <v>516.64516129032302</v>
      </c>
      <c r="Q15" s="13">
        <v>44229.919999999998</v>
      </c>
      <c r="R15" s="42">
        <f t="shared" si="4"/>
        <v>85.609860139860061</v>
      </c>
      <c r="S15" s="3">
        <v>524.76666666666699</v>
      </c>
      <c r="T15" s="13">
        <v>34804.6</v>
      </c>
      <c r="U15" s="42">
        <f t="shared" si="5"/>
        <v>66.32395350314421</v>
      </c>
      <c r="V15" s="3">
        <v>517.29032258064501</v>
      </c>
      <c r="W15" s="13">
        <v>43745.32</v>
      </c>
      <c r="X15" s="42">
        <f t="shared" si="6"/>
        <v>84.566283362434547</v>
      </c>
      <c r="Y15" s="3">
        <v>513.06451612903197</v>
      </c>
      <c r="Z15" s="13">
        <v>39472.26</v>
      </c>
      <c r="AA15" s="191">
        <f t="shared" si="7"/>
        <v>76.934301163156292</v>
      </c>
      <c r="AB15" s="29"/>
      <c r="AC15" s="175"/>
      <c r="AD15" s="192">
        <v>586</v>
      </c>
      <c r="AE15" s="193">
        <v>0</v>
      </c>
      <c r="AF15" s="309">
        <v>0</v>
      </c>
      <c r="AG15" s="2">
        <v>375</v>
      </c>
      <c r="AH15" s="206">
        <f t="shared" si="8"/>
        <v>0.63993174061433444</v>
      </c>
      <c r="AI15" s="192"/>
      <c r="AJ15" s="193"/>
      <c r="AK15" s="180">
        <f t="shared" si="9"/>
        <v>0</v>
      </c>
      <c r="AL15" s="196">
        <v>241</v>
      </c>
      <c r="AM15" s="12"/>
      <c r="AN15" s="180">
        <f t="shared" si="10"/>
        <v>0.4112627986348123</v>
      </c>
      <c r="AO15" s="208" t="s">
        <v>90</v>
      </c>
      <c r="AP15" s="208" t="s">
        <v>90</v>
      </c>
      <c r="AQ15" s="180" t="e">
        <f t="shared" si="11"/>
        <v>#VALUE!</v>
      </c>
      <c r="AR15" s="208" t="s">
        <v>90</v>
      </c>
      <c r="AS15" s="208" t="s">
        <v>90</v>
      </c>
      <c r="AT15" s="180" t="e">
        <f t="shared" si="12"/>
        <v>#VALUE!</v>
      </c>
      <c r="AU15" s="209" t="s">
        <v>90</v>
      </c>
      <c r="AV15" s="208" t="s">
        <v>90</v>
      </c>
      <c r="AW15" s="180" t="e">
        <f t="shared" si="13"/>
        <v>#VALUE!</v>
      </c>
      <c r="AX15" s="136"/>
      <c r="AY15" s="137"/>
      <c r="AZ15" s="180">
        <f t="shared" si="14"/>
        <v>0</v>
      </c>
      <c r="BA15" s="138"/>
      <c r="BB15" s="139"/>
      <c r="BC15" s="180">
        <f t="shared" si="15"/>
        <v>0</v>
      </c>
      <c r="BD15" s="136"/>
      <c r="BE15" s="137"/>
      <c r="BF15" s="180">
        <f t="shared" si="16"/>
        <v>0</v>
      </c>
      <c r="BG15" s="132"/>
      <c r="BH15" s="133"/>
      <c r="BI15" s="180">
        <f t="shared" si="17"/>
        <v>0</v>
      </c>
      <c r="BJ15" s="133"/>
      <c r="BK15" s="133"/>
      <c r="BL15" s="180">
        <f t="shared" si="18"/>
        <v>0</v>
      </c>
      <c r="BM15" s="132"/>
      <c r="BN15" s="133"/>
      <c r="BO15" s="180">
        <f t="shared" si="19"/>
        <v>0</v>
      </c>
      <c r="BP15" s="278" t="e">
        <f t="shared" si="20"/>
        <v>#VALUE!</v>
      </c>
      <c r="BQ15" s="199">
        <v>115</v>
      </c>
      <c r="BR15" s="200">
        <v>115</v>
      </c>
      <c r="BS15" s="201">
        <v>100</v>
      </c>
      <c r="BT15" s="200">
        <v>0</v>
      </c>
      <c r="BU15" s="201">
        <v>120</v>
      </c>
      <c r="BV15" s="200"/>
      <c r="BW15" s="201">
        <v>150</v>
      </c>
      <c r="BX15" s="200"/>
      <c r="BY15" s="201"/>
      <c r="BZ15" s="200"/>
      <c r="CA15" s="202">
        <f t="shared" si="21"/>
        <v>123.33333333333333</v>
      </c>
      <c r="CB15" s="203">
        <f t="shared" si="22"/>
        <v>0</v>
      </c>
      <c r="CC15" s="202">
        <f t="shared" si="23"/>
        <v>-8.3333333333333286</v>
      </c>
      <c r="CD15" s="203">
        <f t="shared" si="24"/>
        <v>115</v>
      </c>
      <c r="CE15" s="337"/>
      <c r="CF15" s="329" t="s">
        <v>91</v>
      </c>
      <c r="CG15" s="329"/>
      <c r="CH15" s="285">
        <v>115</v>
      </c>
      <c r="CI15" s="286">
        <v>115</v>
      </c>
      <c r="CJ15" s="287"/>
      <c r="CK15" s="286"/>
      <c r="CL15" s="287"/>
      <c r="CM15" s="286"/>
      <c r="CN15" s="287"/>
      <c r="CO15" s="286"/>
      <c r="CP15" s="287"/>
      <c r="CQ15" s="286"/>
      <c r="CR15" s="284">
        <f t="shared" si="25"/>
        <v>0</v>
      </c>
      <c r="CS15" s="284">
        <f t="shared" si="26"/>
        <v>0</v>
      </c>
      <c r="CT15" s="321"/>
      <c r="CU15" s="124">
        <f t="shared" si="27"/>
        <v>0</v>
      </c>
      <c r="CV15" s="125">
        <f t="shared" si="28"/>
        <v>0</v>
      </c>
      <c r="CW15" s="124">
        <f t="shared" si="29"/>
        <v>115</v>
      </c>
      <c r="CX15" s="125">
        <f t="shared" si="30"/>
        <v>115</v>
      </c>
      <c r="CY15" s="314" t="s">
        <v>92</v>
      </c>
      <c r="CZ15" s="132"/>
      <c r="DA15" s="133"/>
      <c r="DB15" s="180">
        <f t="shared" si="31"/>
        <v>0</v>
      </c>
      <c r="DC15" s="132"/>
      <c r="DD15" s="133"/>
      <c r="DE15" s="180">
        <f t="shared" si="32"/>
        <v>0</v>
      </c>
      <c r="DF15" s="132"/>
      <c r="DG15" s="133"/>
      <c r="DH15" s="133"/>
      <c r="DI15" s="180">
        <f t="shared" si="33"/>
        <v>0</v>
      </c>
    </row>
    <row r="16" spans="1:114" s="68" customFormat="1" x14ac:dyDescent="0.3">
      <c r="A16" s="2" t="s">
        <v>93</v>
      </c>
      <c r="B16" s="301" t="s">
        <v>94</v>
      </c>
      <c r="C16" s="302" t="s">
        <v>95</v>
      </c>
      <c r="D16" s="3">
        <v>0</v>
      </c>
      <c r="E16" s="13">
        <v>0</v>
      </c>
      <c r="F16" s="42">
        <v>0</v>
      </c>
      <c r="G16" s="3">
        <v>87.928571428571402</v>
      </c>
      <c r="H16" s="13">
        <v>0</v>
      </c>
      <c r="I16" s="42">
        <f t="shared" si="1"/>
        <v>0</v>
      </c>
      <c r="J16" s="3">
        <v>85.903225806451601</v>
      </c>
      <c r="K16" s="13">
        <v>2500</v>
      </c>
      <c r="L16" s="42">
        <f t="shared" si="2"/>
        <v>29.10251595944424</v>
      </c>
      <c r="M16" s="18">
        <v>85.133333333333297</v>
      </c>
      <c r="N16" s="13">
        <v>2392</v>
      </c>
      <c r="O16" s="43">
        <f t="shared" si="3"/>
        <v>28.097102584181687</v>
      </c>
      <c r="P16" s="3">
        <v>89.387096774193594</v>
      </c>
      <c r="Q16" s="13">
        <v>2260</v>
      </c>
      <c r="R16" s="42">
        <f t="shared" si="4"/>
        <v>25.283291230602657</v>
      </c>
      <c r="S16" s="3">
        <v>90.6666666666667</v>
      </c>
      <c r="T16" s="13">
        <v>2260</v>
      </c>
      <c r="U16" s="42">
        <f t="shared" si="5"/>
        <v>24.926470588235286</v>
      </c>
      <c r="V16" s="3">
        <v>89.064516129032299</v>
      </c>
      <c r="W16" s="13">
        <v>2477.7800000000002</v>
      </c>
      <c r="X16" s="42">
        <f t="shared" si="6"/>
        <v>27.8200579500181</v>
      </c>
      <c r="Y16" s="3">
        <v>93.612903225806406</v>
      </c>
      <c r="Z16" s="13">
        <v>2108.79</v>
      </c>
      <c r="AA16" s="191">
        <f t="shared" si="7"/>
        <v>22.526702274293601</v>
      </c>
      <c r="AB16" s="29"/>
      <c r="AC16" s="175"/>
      <c r="AD16" s="192">
        <v>46</v>
      </c>
      <c r="AE16" s="193">
        <v>10</v>
      </c>
      <c r="AF16" s="309">
        <v>0</v>
      </c>
      <c r="AG16" s="2">
        <v>54</v>
      </c>
      <c r="AH16" s="206">
        <f t="shared" si="8"/>
        <v>0.9642857142857143</v>
      </c>
      <c r="AI16" s="192">
        <f>AD16-10</f>
        <v>36</v>
      </c>
      <c r="AJ16" s="193">
        <f>AE16-2</f>
        <v>8</v>
      </c>
      <c r="AK16" s="180">
        <f t="shared" si="9"/>
        <v>0.7857142857142857</v>
      </c>
      <c r="AL16" s="196">
        <v>36</v>
      </c>
      <c r="AM16" s="12">
        <v>10</v>
      </c>
      <c r="AN16" s="180">
        <f t="shared" si="10"/>
        <v>0.8214285714285714</v>
      </c>
      <c r="AO16" s="29">
        <v>21</v>
      </c>
      <c r="AP16" s="12">
        <v>5</v>
      </c>
      <c r="AQ16" s="180">
        <f t="shared" si="11"/>
        <v>0.4642857142857143</v>
      </c>
      <c r="AR16" s="29">
        <v>21</v>
      </c>
      <c r="AS16" s="12">
        <v>5</v>
      </c>
      <c r="AT16" s="180">
        <f t="shared" si="12"/>
        <v>0.4642857142857143</v>
      </c>
      <c r="AU16" s="198">
        <v>21</v>
      </c>
      <c r="AV16" s="197">
        <v>6</v>
      </c>
      <c r="AW16" s="180">
        <f t="shared" si="13"/>
        <v>0.48214285714285715</v>
      </c>
      <c r="AX16" s="140">
        <v>40</v>
      </c>
      <c r="AY16" s="141">
        <v>7</v>
      </c>
      <c r="AZ16" s="180">
        <f t="shared" si="14"/>
        <v>0.8392857142857143</v>
      </c>
      <c r="BA16" s="140">
        <v>41</v>
      </c>
      <c r="BB16" s="141">
        <v>8</v>
      </c>
      <c r="BC16" s="180">
        <f t="shared" si="15"/>
        <v>0.875</v>
      </c>
      <c r="BD16" s="132">
        <v>42</v>
      </c>
      <c r="BE16" s="133">
        <v>8</v>
      </c>
      <c r="BF16" s="180">
        <f t="shared" si="16"/>
        <v>0.8928571428571429</v>
      </c>
      <c r="BG16" s="132">
        <v>42</v>
      </c>
      <c r="BH16" s="133">
        <v>9</v>
      </c>
      <c r="BI16" s="180">
        <f t="shared" si="17"/>
        <v>0.9107142857142857</v>
      </c>
      <c r="BJ16" s="133">
        <v>43</v>
      </c>
      <c r="BK16" s="133">
        <v>9</v>
      </c>
      <c r="BL16" s="180">
        <f t="shared" si="18"/>
        <v>0.9285714285714286</v>
      </c>
      <c r="BM16" s="132">
        <v>44</v>
      </c>
      <c r="BN16" s="133">
        <v>10</v>
      </c>
      <c r="BO16" s="180">
        <f t="shared" si="19"/>
        <v>0.9642857142857143</v>
      </c>
      <c r="BP16" s="278">
        <f t="shared" si="20"/>
        <v>0.7678571428571429</v>
      </c>
      <c r="BQ16" s="208">
        <v>60</v>
      </c>
      <c r="BR16" s="210">
        <v>60</v>
      </c>
      <c r="BS16" s="209">
        <v>100</v>
      </c>
      <c r="BT16" s="210">
        <v>75</v>
      </c>
      <c r="BU16" s="209">
        <v>120</v>
      </c>
      <c r="BV16" s="210"/>
      <c r="BW16" s="209">
        <v>125</v>
      </c>
      <c r="BX16" s="210"/>
      <c r="BY16" s="209">
        <v>125</v>
      </c>
      <c r="BZ16" s="210"/>
      <c r="CA16" s="211">
        <f t="shared" si="21"/>
        <v>117.5</v>
      </c>
      <c r="CB16" s="212">
        <f t="shared" si="22"/>
        <v>75</v>
      </c>
      <c r="CC16" s="211">
        <f t="shared" si="23"/>
        <v>-57.5</v>
      </c>
      <c r="CD16" s="212">
        <f t="shared" si="24"/>
        <v>-15</v>
      </c>
      <c r="CE16" s="337"/>
      <c r="CF16" s="329" t="s">
        <v>96</v>
      </c>
      <c r="CG16" s="329"/>
      <c r="CH16" s="288">
        <v>100</v>
      </c>
      <c r="CI16" s="289">
        <v>75</v>
      </c>
      <c r="CJ16" s="290">
        <v>100</v>
      </c>
      <c r="CK16" s="289">
        <v>75</v>
      </c>
      <c r="CL16" s="290">
        <v>0</v>
      </c>
      <c r="CM16" s="289">
        <v>75</v>
      </c>
      <c r="CN16" s="290">
        <v>125</v>
      </c>
      <c r="CO16" s="289"/>
      <c r="CP16" s="290">
        <v>150</v>
      </c>
      <c r="CQ16" s="289"/>
      <c r="CR16" s="284">
        <f t="shared" si="25"/>
        <v>93.75</v>
      </c>
      <c r="CS16" s="284">
        <f t="shared" si="26"/>
        <v>75</v>
      </c>
      <c r="CT16" s="321"/>
      <c r="CU16" s="126">
        <f t="shared" si="27"/>
        <v>93.75</v>
      </c>
      <c r="CV16" s="127">
        <f t="shared" si="28"/>
        <v>75</v>
      </c>
      <c r="CW16" s="126">
        <f t="shared" si="29"/>
        <v>6.25</v>
      </c>
      <c r="CX16" s="127">
        <f t="shared" si="30"/>
        <v>0</v>
      </c>
      <c r="CY16" s="314"/>
      <c r="CZ16" s="132">
        <v>44</v>
      </c>
      <c r="DA16" s="133">
        <v>10</v>
      </c>
      <c r="DB16" s="180">
        <f t="shared" si="31"/>
        <v>0.9642857142857143</v>
      </c>
      <c r="DC16" s="132">
        <v>44</v>
      </c>
      <c r="DD16" s="133">
        <v>10</v>
      </c>
      <c r="DE16" s="180">
        <f t="shared" si="32"/>
        <v>0.9642857142857143</v>
      </c>
      <c r="DF16" s="132">
        <v>35</v>
      </c>
      <c r="DG16" s="133">
        <v>5</v>
      </c>
      <c r="DH16" s="133">
        <v>8</v>
      </c>
      <c r="DI16" s="180">
        <f t="shared" si="33"/>
        <v>0.8571428571428571</v>
      </c>
      <c r="DJ16" s="68">
        <v>8</v>
      </c>
    </row>
    <row r="17" spans="1:114" x14ac:dyDescent="0.3">
      <c r="A17" s="2" t="s">
        <v>97</v>
      </c>
      <c r="B17" s="301" t="s">
        <v>94</v>
      </c>
      <c r="C17" s="302" t="s">
        <v>98</v>
      </c>
      <c r="D17" s="3">
        <v>45.9677419354839</v>
      </c>
      <c r="E17" s="13">
        <v>1185</v>
      </c>
      <c r="F17" s="42">
        <f>E17/D17</f>
        <v>25.778947368421036</v>
      </c>
      <c r="G17" s="3">
        <v>44.928571428571402</v>
      </c>
      <c r="H17" s="13">
        <v>1185</v>
      </c>
      <c r="I17" s="42">
        <f t="shared" si="1"/>
        <v>26.375198728139921</v>
      </c>
      <c r="J17" s="3">
        <v>45.677419354838698</v>
      </c>
      <c r="K17" s="13">
        <v>1232.5</v>
      </c>
      <c r="L17" s="42">
        <f t="shared" si="2"/>
        <v>26.982697740113</v>
      </c>
      <c r="M17" s="18">
        <v>44.233333333333299</v>
      </c>
      <c r="N17" s="13">
        <v>1152.5</v>
      </c>
      <c r="O17" s="43">
        <f t="shared" si="3"/>
        <v>26.055011303692559</v>
      </c>
      <c r="P17" s="3">
        <v>44.806451612903203</v>
      </c>
      <c r="Q17" s="13">
        <v>1185.49</v>
      </c>
      <c r="R17" s="42">
        <f t="shared" si="4"/>
        <v>26.458020158387342</v>
      </c>
      <c r="S17" s="3">
        <v>46.5</v>
      </c>
      <c r="T17" s="13">
        <v>1275</v>
      </c>
      <c r="U17" s="42">
        <f t="shared" si="5"/>
        <v>27.419354838709676</v>
      </c>
      <c r="V17" s="3">
        <v>47.709677419354797</v>
      </c>
      <c r="W17" s="13">
        <v>1403.23</v>
      </c>
      <c r="X17" s="42">
        <f t="shared" si="6"/>
        <v>29.411852603110237</v>
      </c>
      <c r="Y17" s="3">
        <v>49</v>
      </c>
      <c r="Z17" s="13">
        <v>1425</v>
      </c>
      <c r="AA17" s="191">
        <f t="shared" si="7"/>
        <v>29.081632653061224</v>
      </c>
      <c r="AB17" s="29"/>
      <c r="AC17" s="175"/>
      <c r="AD17" s="192">
        <v>47</v>
      </c>
      <c r="AE17" s="193">
        <v>0</v>
      </c>
      <c r="AF17" s="309">
        <v>0</v>
      </c>
      <c r="AG17" s="2">
        <v>20</v>
      </c>
      <c r="AH17" s="206">
        <f t="shared" si="8"/>
        <v>0.42553191489361702</v>
      </c>
      <c r="AI17" s="192">
        <v>21</v>
      </c>
      <c r="AJ17" s="193"/>
      <c r="AK17" s="180">
        <f t="shared" si="9"/>
        <v>0.44680851063829785</v>
      </c>
      <c r="AL17" s="196">
        <v>30</v>
      </c>
      <c r="AM17" s="12"/>
      <c r="AN17" s="180">
        <f t="shared" si="10"/>
        <v>0.63829787234042556</v>
      </c>
      <c r="AO17" s="29">
        <v>30</v>
      </c>
      <c r="AP17" s="12"/>
      <c r="AQ17" s="180">
        <f t="shared" si="11"/>
        <v>0.63829787234042556</v>
      </c>
      <c r="AR17" s="29">
        <v>28</v>
      </c>
      <c r="AS17" s="12"/>
      <c r="AT17" s="180">
        <f t="shared" si="12"/>
        <v>0.5957446808510638</v>
      </c>
      <c r="AU17" s="198">
        <v>23</v>
      </c>
      <c r="AV17" s="197">
        <v>0</v>
      </c>
      <c r="AW17" s="180">
        <f t="shared" si="13"/>
        <v>0.48936170212765956</v>
      </c>
      <c r="AX17" s="134">
        <v>27</v>
      </c>
      <c r="AY17" s="135"/>
      <c r="AZ17" s="180">
        <f t="shared" si="14"/>
        <v>0.57446808510638303</v>
      </c>
      <c r="BA17" s="134">
        <v>23</v>
      </c>
      <c r="BB17" s="135"/>
      <c r="BC17" s="180">
        <f t="shared" si="15"/>
        <v>0.48936170212765956</v>
      </c>
      <c r="BD17" s="134">
        <v>23</v>
      </c>
      <c r="BE17" s="135"/>
      <c r="BF17" s="180">
        <f t="shared" si="16"/>
        <v>0.48936170212765956</v>
      </c>
      <c r="BG17" s="132">
        <v>23</v>
      </c>
      <c r="BH17" s="133"/>
      <c r="BI17" s="180">
        <f t="shared" si="17"/>
        <v>0.48936170212765956</v>
      </c>
      <c r="BJ17" s="133">
        <v>24</v>
      </c>
      <c r="BK17" s="133"/>
      <c r="BL17" s="180">
        <f t="shared" si="18"/>
        <v>0.51063829787234039</v>
      </c>
      <c r="BM17" s="132">
        <v>25</v>
      </c>
      <c r="BN17" s="133"/>
      <c r="BO17" s="180">
        <f t="shared" si="19"/>
        <v>0.53191489361702127</v>
      </c>
      <c r="BP17" s="278">
        <f t="shared" si="20"/>
        <v>0.52836879432624106</v>
      </c>
      <c r="BQ17" s="199">
        <v>75</v>
      </c>
      <c r="BR17" s="200">
        <v>0</v>
      </c>
      <c r="BS17" s="201">
        <v>80</v>
      </c>
      <c r="BT17" s="200">
        <v>0</v>
      </c>
      <c r="BU17" s="201">
        <v>100</v>
      </c>
      <c r="BV17" s="200"/>
      <c r="BW17" s="201">
        <v>50</v>
      </c>
      <c r="BX17" s="200"/>
      <c r="BY17" s="201">
        <v>100</v>
      </c>
      <c r="BZ17" s="200"/>
      <c r="CA17" s="202">
        <f t="shared" si="21"/>
        <v>82.5</v>
      </c>
      <c r="CB17" s="203">
        <f t="shared" si="22"/>
        <v>0</v>
      </c>
      <c r="CC17" s="202">
        <f t="shared" si="23"/>
        <v>-7.5</v>
      </c>
      <c r="CD17" s="203">
        <f t="shared" si="24"/>
        <v>0</v>
      </c>
      <c r="CE17" s="337"/>
      <c r="CF17" s="330" t="s">
        <v>99</v>
      </c>
      <c r="CG17" s="330"/>
      <c r="CH17" s="285">
        <v>75</v>
      </c>
      <c r="CI17" s="286">
        <v>0</v>
      </c>
      <c r="CJ17" s="287">
        <v>85</v>
      </c>
      <c r="CK17" s="286"/>
      <c r="CL17" s="287">
        <v>75</v>
      </c>
      <c r="CM17" s="286"/>
      <c r="CN17" s="287">
        <v>75</v>
      </c>
      <c r="CO17" s="286"/>
      <c r="CP17" s="287">
        <v>100</v>
      </c>
      <c r="CQ17" s="286"/>
      <c r="CR17" s="284">
        <f t="shared" si="25"/>
        <v>83.75</v>
      </c>
      <c r="CS17" s="284">
        <f t="shared" si="26"/>
        <v>0</v>
      </c>
      <c r="CT17" s="321"/>
      <c r="CU17" s="124">
        <f t="shared" si="27"/>
        <v>83.75</v>
      </c>
      <c r="CV17" s="125">
        <f t="shared" si="28"/>
        <v>0</v>
      </c>
      <c r="CW17" s="124">
        <f t="shared" si="29"/>
        <v>-8.75</v>
      </c>
      <c r="CX17" s="125">
        <f t="shared" si="30"/>
        <v>0</v>
      </c>
      <c r="CY17" s="314" t="s">
        <v>100</v>
      </c>
      <c r="CZ17" s="132">
        <v>25</v>
      </c>
      <c r="DA17" s="133"/>
      <c r="DB17" s="180">
        <f t="shared" si="31"/>
        <v>0.53191489361702127</v>
      </c>
      <c r="DC17" s="132">
        <v>25</v>
      </c>
      <c r="DD17" s="133"/>
      <c r="DE17" s="180">
        <f t="shared" si="32"/>
        <v>0.53191489361702127</v>
      </c>
      <c r="DF17" s="132">
        <v>26</v>
      </c>
      <c r="DG17" s="133"/>
      <c r="DH17" s="133"/>
      <c r="DI17" s="180">
        <f t="shared" si="33"/>
        <v>0.55319148936170215</v>
      </c>
    </row>
    <row r="18" spans="1:114" x14ac:dyDescent="0.3">
      <c r="A18" s="2" t="s">
        <v>101</v>
      </c>
      <c r="B18" s="301" t="s">
        <v>94</v>
      </c>
      <c r="C18" s="302" t="s">
        <v>102</v>
      </c>
      <c r="D18" s="3">
        <v>193.258064516129</v>
      </c>
      <c r="E18" s="13">
        <v>7370</v>
      </c>
      <c r="F18" s="42">
        <f>E18/D18</f>
        <v>38.135536638290773</v>
      </c>
      <c r="G18" s="3">
        <v>193.78571428571399</v>
      </c>
      <c r="H18" s="13">
        <v>7190</v>
      </c>
      <c r="I18" s="42">
        <f t="shared" si="1"/>
        <v>37.102838186509452</v>
      </c>
      <c r="J18" s="3">
        <v>195.41935483871001</v>
      </c>
      <c r="K18" s="13">
        <v>7313.92</v>
      </c>
      <c r="L18" s="42">
        <f t="shared" si="2"/>
        <v>37.426794321558205</v>
      </c>
      <c r="M18" s="18">
        <v>197.933333333333</v>
      </c>
      <c r="N18" s="13">
        <v>7820</v>
      </c>
      <c r="O18" s="43">
        <f t="shared" si="3"/>
        <v>39.508251936679081</v>
      </c>
      <c r="P18" s="3">
        <v>200.45161290322599</v>
      </c>
      <c r="Q18" s="13">
        <v>8120</v>
      </c>
      <c r="R18" s="42">
        <f t="shared" si="4"/>
        <v>40.508529127775951</v>
      </c>
      <c r="S18" s="3">
        <v>201.7</v>
      </c>
      <c r="T18" s="13">
        <v>8360</v>
      </c>
      <c r="U18" s="42">
        <f t="shared" si="5"/>
        <v>41.447694595934557</v>
      </c>
      <c r="V18" s="3">
        <v>198.51612903225799</v>
      </c>
      <c r="W18" s="13">
        <v>8130.25</v>
      </c>
      <c r="X18" s="42">
        <f t="shared" si="6"/>
        <v>40.955110497237584</v>
      </c>
      <c r="Y18" s="3">
        <v>198.83870967741899</v>
      </c>
      <c r="Z18" s="13">
        <v>7940</v>
      </c>
      <c r="AA18" s="191">
        <f t="shared" si="7"/>
        <v>39.931862426995529</v>
      </c>
      <c r="AB18" s="29"/>
      <c r="AC18" s="175"/>
      <c r="AD18" s="192">
        <v>256</v>
      </c>
      <c r="AE18" s="193">
        <v>0</v>
      </c>
      <c r="AF18" s="309">
        <v>0</v>
      </c>
      <c r="AG18" s="2"/>
      <c r="AH18" s="179">
        <f t="shared" si="8"/>
        <v>0</v>
      </c>
      <c r="AI18" s="192">
        <f>AD18-98</f>
        <v>158</v>
      </c>
      <c r="AJ18" s="193"/>
      <c r="AK18" s="180">
        <f t="shared" si="9"/>
        <v>0.6171875</v>
      </c>
      <c r="AL18" s="196"/>
      <c r="AM18" s="12"/>
      <c r="AN18" s="180">
        <f t="shared" si="10"/>
        <v>0</v>
      </c>
      <c r="AO18" s="29">
        <v>122</v>
      </c>
      <c r="AP18" s="12"/>
      <c r="AQ18" s="180">
        <f t="shared" si="11"/>
        <v>0.4765625</v>
      </c>
      <c r="AR18" s="29">
        <v>122</v>
      </c>
      <c r="AS18" s="12"/>
      <c r="AT18" s="180">
        <f t="shared" si="12"/>
        <v>0.4765625</v>
      </c>
      <c r="AU18" s="198">
        <v>133</v>
      </c>
      <c r="AV18" s="197"/>
      <c r="AW18" s="180">
        <f t="shared" si="13"/>
        <v>0.51953125</v>
      </c>
      <c r="AX18" s="134">
        <v>128</v>
      </c>
      <c r="AY18" s="135"/>
      <c r="AZ18" s="180">
        <f t="shared" si="14"/>
        <v>0.5</v>
      </c>
      <c r="BA18" s="134">
        <v>141</v>
      </c>
      <c r="BB18" s="135"/>
      <c r="BC18" s="180">
        <f t="shared" si="15"/>
        <v>0.55078125</v>
      </c>
      <c r="BD18" s="134">
        <v>141</v>
      </c>
      <c r="BE18" s="135"/>
      <c r="BF18" s="180">
        <f t="shared" si="16"/>
        <v>0.55078125</v>
      </c>
      <c r="BG18" s="132">
        <v>139</v>
      </c>
      <c r="BH18" s="133"/>
      <c r="BI18" s="180">
        <f t="shared" si="17"/>
        <v>0.54296875</v>
      </c>
      <c r="BJ18" s="133">
        <v>141</v>
      </c>
      <c r="BK18" s="133"/>
      <c r="BL18" s="180">
        <f t="shared" si="18"/>
        <v>0.55078125</v>
      </c>
      <c r="BM18" s="132">
        <v>142</v>
      </c>
      <c r="BN18" s="133"/>
      <c r="BO18" s="180">
        <f t="shared" si="19"/>
        <v>0.5546875</v>
      </c>
      <c r="BP18" s="278">
        <f t="shared" si="20"/>
        <v>0.49641927083333331</v>
      </c>
      <c r="BQ18" s="199"/>
      <c r="BR18" s="200"/>
      <c r="BS18" s="201"/>
      <c r="BT18" s="200">
        <v>0</v>
      </c>
      <c r="BU18" s="201"/>
      <c r="BV18" s="200"/>
      <c r="BW18" s="201"/>
      <c r="BX18" s="200"/>
      <c r="BY18" s="201"/>
      <c r="BZ18" s="200"/>
      <c r="CA18" s="202">
        <f t="shared" si="21"/>
        <v>0</v>
      </c>
      <c r="CB18" s="203">
        <f t="shared" si="22"/>
        <v>0</v>
      </c>
      <c r="CC18" s="202">
        <f t="shared" si="23"/>
        <v>0</v>
      </c>
      <c r="CD18" s="203">
        <f t="shared" si="24"/>
        <v>0</v>
      </c>
      <c r="CE18" s="337"/>
      <c r="CF18" s="329"/>
      <c r="CG18" s="329"/>
      <c r="CH18" s="285">
        <v>60</v>
      </c>
      <c r="CI18" s="286" t="s">
        <v>90</v>
      </c>
      <c r="CJ18" s="287">
        <v>75</v>
      </c>
      <c r="CK18" s="286"/>
      <c r="CL18" s="287">
        <v>50</v>
      </c>
      <c r="CM18" s="286"/>
      <c r="CN18" s="287"/>
      <c r="CO18" s="286"/>
      <c r="CP18" s="287"/>
      <c r="CQ18" s="286"/>
      <c r="CR18" s="284">
        <f t="shared" si="25"/>
        <v>62.5</v>
      </c>
      <c r="CS18" s="284">
        <f t="shared" si="26"/>
        <v>0</v>
      </c>
      <c r="CT18" s="321" t="s">
        <v>103</v>
      </c>
      <c r="CU18" s="124">
        <f t="shared" si="27"/>
        <v>62.5</v>
      </c>
      <c r="CV18" s="125">
        <f t="shared" si="28"/>
        <v>0</v>
      </c>
      <c r="CW18" s="124">
        <f t="shared" si="29"/>
        <v>-2.5</v>
      </c>
      <c r="CX18" s="125" t="e">
        <f t="shared" si="30"/>
        <v>#VALUE!</v>
      </c>
      <c r="CY18" s="314"/>
      <c r="CZ18" s="132">
        <v>142</v>
      </c>
      <c r="DA18" s="133"/>
      <c r="DB18" s="180">
        <f t="shared" si="31"/>
        <v>0.5546875</v>
      </c>
      <c r="DC18" s="132">
        <v>142</v>
      </c>
      <c r="DD18" s="133"/>
      <c r="DE18" s="180">
        <f t="shared" si="32"/>
        <v>0.5546875</v>
      </c>
      <c r="DF18" s="132">
        <v>140</v>
      </c>
      <c r="DG18" s="133">
        <v>3</v>
      </c>
      <c r="DH18" s="133"/>
      <c r="DI18" s="180">
        <f t="shared" si="33"/>
        <v>0.55859375</v>
      </c>
      <c r="DJ18">
        <v>7</v>
      </c>
    </row>
    <row r="19" spans="1:114" x14ac:dyDescent="0.3">
      <c r="A19" s="2" t="s">
        <v>104</v>
      </c>
      <c r="B19" s="301" t="s">
        <v>94</v>
      </c>
      <c r="C19" s="302" t="s">
        <v>105</v>
      </c>
      <c r="D19" s="3">
        <v>61.741935483871003</v>
      </c>
      <c r="E19" s="13">
        <v>1680</v>
      </c>
      <c r="F19" s="42">
        <f>E19/D19</f>
        <v>27.210031347962367</v>
      </c>
      <c r="G19" s="3">
        <v>61.464285714285701</v>
      </c>
      <c r="H19" s="13">
        <v>2147.5</v>
      </c>
      <c r="I19" s="42">
        <f t="shared" si="1"/>
        <v>34.938988959907036</v>
      </c>
      <c r="J19" s="3">
        <v>61</v>
      </c>
      <c r="K19" s="13">
        <v>2190</v>
      </c>
      <c r="L19" s="42">
        <f t="shared" si="2"/>
        <v>35.901639344262293</v>
      </c>
      <c r="M19" s="18">
        <v>60.433333333333302</v>
      </c>
      <c r="N19" s="13">
        <v>2147.5</v>
      </c>
      <c r="O19" s="43">
        <f t="shared" si="3"/>
        <v>35.535024820739125</v>
      </c>
      <c r="P19" s="3">
        <v>61.9677419354839</v>
      </c>
      <c r="Q19" s="13">
        <v>2360</v>
      </c>
      <c r="R19" s="42">
        <f t="shared" si="4"/>
        <v>38.084331077563753</v>
      </c>
      <c r="S19" s="3">
        <v>62.866666666666703</v>
      </c>
      <c r="T19" s="13">
        <v>2445</v>
      </c>
      <c r="U19" s="42">
        <f t="shared" si="5"/>
        <v>38.891834570519599</v>
      </c>
      <c r="V19" s="3">
        <v>58.9677419354839</v>
      </c>
      <c r="W19" s="13">
        <v>2190</v>
      </c>
      <c r="X19" s="42">
        <f t="shared" si="6"/>
        <v>37.138949671772409</v>
      </c>
      <c r="Y19" s="3">
        <v>60.580645161290299</v>
      </c>
      <c r="Z19" s="13">
        <v>2351.77</v>
      </c>
      <c r="AA19" s="191">
        <f t="shared" si="7"/>
        <v>38.820484558040484</v>
      </c>
      <c r="AB19" s="29"/>
      <c r="AC19" s="175"/>
      <c r="AD19" s="192">
        <v>31</v>
      </c>
      <c r="AE19" s="193">
        <v>0</v>
      </c>
      <c r="AF19" s="309">
        <v>0</v>
      </c>
      <c r="AG19" s="2">
        <v>30</v>
      </c>
      <c r="AH19" s="179">
        <f t="shared" si="8"/>
        <v>0.967741935483871</v>
      </c>
      <c r="AI19" s="192">
        <v>30</v>
      </c>
      <c r="AJ19" s="193"/>
      <c r="AK19" s="180">
        <f t="shared" si="9"/>
        <v>0.967741935483871</v>
      </c>
      <c r="AL19" s="196">
        <v>31</v>
      </c>
      <c r="AM19" s="12"/>
      <c r="AN19" s="180">
        <f t="shared" si="10"/>
        <v>1</v>
      </c>
      <c r="AO19" s="29">
        <v>29</v>
      </c>
      <c r="AP19" s="12"/>
      <c r="AQ19" s="180">
        <f t="shared" si="11"/>
        <v>0.93548387096774188</v>
      </c>
      <c r="AR19" s="29">
        <v>29</v>
      </c>
      <c r="AS19" s="12"/>
      <c r="AT19" s="180">
        <f t="shared" si="12"/>
        <v>0.93548387096774188</v>
      </c>
      <c r="AU19" s="198">
        <v>31</v>
      </c>
      <c r="AV19" s="197">
        <v>0</v>
      </c>
      <c r="AW19" s="180">
        <f t="shared" si="13"/>
        <v>1</v>
      </c>
      <c r="AX19" s="134">
        <v>30</v>
      </c>
      <c r="AY19" s="135"/>
      <c r="AZ19" s="180">
        <f t="shared" si="14"/>
        <v>0.967741935483871</v>
      </c>
      <c r="BA19" s="134">
        <v>30</v>
      </c>
      <c r="BB19" s="135"/>
      <c r="BC19" s="180">
        <f t="shared" si="15"/>
        <v>0.967741935483871</v>
      </c>
      <c r="BD19" s="134">
        <v>30</v>
      </c>
      <c r="BE19" s="135"/>
      <c r="BF19" s="180">
        <f t="shared" si="16"/>
        <v>0.967741935483871</v>
      </c>
      <c r="BG19" s="132">
        <v>27</v>
      </c>
      <c r="BH19" s="133"/>
      <c r="BI19" s="180">
        <f t="shared" si="17"/>
        <v>0.87096774193548387</v>
      </c>
      <c r="BJ19" s="133">
        <v>27</v>
      </c>
      <c r="BK19" s="133"/>
      <c r="BL19" s="180">
        <f t="shared" si="18"/>
        <v>0.87096774193548387</v>
      </c>
      <c r="BM19" s="132">
        <v>3</v>
      </c>
      <c r="BN19" s="133"/>
      <c r="BO19" s="180">
        <f t="shared" si="19"/>
        <v>9.6774193548387094E-2</v>
      </c>
      <c r="BP19" s="278">
        <f t="shared" si="20"/>
        <v>0.87903225806451635</v>
      </c>
      <c r="BQ19" s="199">
        <v>85</v>
      </c>
      <c r="BR19" s="200">
        <v>0</v>
      </c>
      <c r="BS19" s="201">
        <v>80</v>
      </c>
      <c r="BT19" s="200">
        <v>0</v>
      </c>
      <c r="BU19" s="201">
        <v>100</v>
      </c>
      <c r="BV19" s="200"/>
      <c r="BW19" s="201">
        <v>50</v>
      </c>
      <c r="BX19" s="200"/>
      <c r="BY19" s="201">
        <v>100</v>
      </c>
      <c r="BZ19" s="200"/>
      <c r="CA19" s="202">
        <f t="shared" si="21"/>
        <v>82.5</v>
      </c>
      <c r="CB19" s="203">
        <f t="shared" si="22"/>
        <v>0</v>
      </c>
      <c r="CC19" s="202">
        <f t="shared" si="23"/>
        <v>2.5</v>
      </c>
      <c r="CD19" s="203">
        <f t="shared" si="24"/>
        <v>0</v>
      </c>
      <c r="CE19" s="337"/>
      <c r="CF19" s="329"/>
      <c r="CG19" s="329"/>
      <c r="CH19" s="285">
        <v>110</v>
      </c>
      <c r="CI19" s="286">
        <v>0</v>
      </c>
      <c r="CJ19" s="287">
        <v>85</v>
      </c>
      <c r="CK19" s="286"/>
      <c r="CL19" s="287">
        <v>75</v>
      </c>
      <c r="CM19" s="286"/>
      <c r="CN19" s="287">
        <v>75</v>
      </c>
      <c r="CO19" s="286"/>
      <c r="CP19" s="287">
        <v>100</v>
      </c>
      <c r="CQ19" s="286"/>
      <c r="CR19" s="284">
        <f t="shared" si="25"/>
        <v>83.75</v>
      </c>
      <c r="CS19" s="284">
        <f t="shared" si="26"/>
        <v>0</v>
      </c>
      <c r="CT19" s="321"/>
      <c r="CU19" s="124">
        <f t="shared" si="27"/>
        <v>83.75</v>
      </c>
      <c r="CV19" s="125">
        <f t="shared" si="28"/>
        <v>0</v>
      </c>
      <c r="CW19" s="124">
        <f t="shared" si="29"/>
        <v>26.25</v>
      </c>
      <c r="CX19" s="125">
        <f t="shared" si="30"/>
        <v>0</v>
      </c>
      <c r="CY19" s="314" t="s">
        <v>100</v>
      </c>
      <c r="CZ19" s="132">
        <v>3</v>
      </c>
      <c r="DA19" s="133"/>
      <c r="DB19" s="180">
        <f t="shared" si="31"/>
        <v>9.6774193548387094E-2</v>
      </c>
      <c r="DC19" s="132">
        <v>3</v>
      </c>
      <c r="DD19" s="133"/>
      <c r="DE19" s="180">
        <f t="shared" si="32"/>
        <v>9.6774193548387094E-2</v>
      </c>
      <c r="DF19" s="132">
        <v>26</v>
      </c>
      <c r="DG19" s="133"/>
      <c r="DH19" s="133"/>
      <c r="DI19" s="180">
        <f t="shared" si="33"/>
        <v>0.83870967741935487</v>
      </c>
    </row>
    <row r="20" spans="1:114" s="68" customFormat="1" x14ac:dyDescent="0.3">
      <c r="A20" s="2" t="s">
        <v>106</v>
      </c>
      <c r="B20" s="301" t="s">
        <v>94</v>
      </c>
      <c r="C20" s="302" t="s">
        <v>107</v>
      </c>
      <c r="D20" s="3">
        <v>0</v>
      </c>
      <c r="E20" s="13">
        <v>0</v>
      </c>
      <c r="F20" s="42">
        <v>0</v>
      </c>
      <c r="G20" s="3">
        <v>0</v>
      </c>
      <c r="H20" s="13">
        <v>0</v>
      </c>
      <c r="I20" s="42">
        <v>0</v>
      </c>
      <c r="J20" s="3">
        <v>0</v>
      </c>
      <c r="K20" s="13">
        <v>843.55</v>
      </c>
      <c r="L20" s="42">
        <v>0</v>
      </c>
      <c r="M20" s="18">
        <v>92.966666666666697</v>
      </c>
      <c r="N20" s="13">
        <v>2900.72</v>
      </c>
      <c r="O20" s="43">
        <f t="shared" si="3"/>
        <v>31.201721046970228</v>
      </c>
      <c r="P20" s="3">
        <v>93.677419354838705</v>
      </c>
      <c r="Q20" s="13">
        <v>2900.72</v>
      </c>
      <c r="R20" s="42">
        <f t="shared" si="4"/>
        <v>30.964986225895316</v>
      </c>
      <c r="S20" s="3">
        <v>96.1666666666667</v>
      </c>
      <c r="T20" s="13">
        <v>2900.72</v>
      </c>
      <c r="U20" s="42">
        <f t="shared" si="5"/>
        <v>30.163466204506054</v>
      </c>
      <c r="V20" s="3">
        <v>95.709677419354804</v>
      </c>
      <c r="W20" s="13">
        <v>3400.72</v>
      </c>
      <c r="X20" s="42">
        <f t="shared" si="6"/>
        <v>35.531621166161116</v>
      </c>
      <c r="Y20" s="3">
        <v>93.548387096774206</v>
      </c>
      <c r="Z20" s="13">
        <v>3177.4</v>
      </c>
      <c r="AA20" s="191">
        <f t="shared" si="7"/>
        <v>33.965310344827586</v>
      </c>
      <c r="AB20" s="29"/>
      <c r="AC20" s="175"/>
      <c r="AD20" s="192">
        <v>79</v>
      </c>
      <c r="AE20" s="193">
        <v>10</v>
      </c>
      <c r="AF20" s="309">
        <v>0</v>
      </c>
      <c r="AG20" s="2">
        <v>83</v>
      </c>
      <c r="AH20" s="179">
        <f t="shared" si="8"/>
        <v>0.93258426966292129</v>
      </c>
      <c r="AI20" s="192">
        <f>AD20-36</f>
        <v>43</v>
      </c>
      <c r="AJ20" s="193">
        <f>AE20-7</f>
        <v>3</v>
      </c>
      <c r="AK20" s="180">
        <f t="shared" si="9"/>
        <v>0.5168539325842697</v>
      </c>
      <c r="AL20" s="196">
        <v>75</v>
      </c>
      <c r="AM20" s="12">
        <v>10</v>
      </c>
      <c r="AN20" s="180">
        <f t="shared" si="10"/>
        <v>0.9550561797752809</v>
      </c>
      <c r="AO20" s="29">
        <v>45</v>
      </c>
      <c r="AP20" s="12">
        <v>5</v>
      </c>
      <c r="AQ20" s="180">
        <f t="shared" si="11"/>
        <v>0.5617977528089888</v>
      </c>
      <c r="AR20" s="29">
        <v>45</v>
      </c>
      <c r="AS20" s="12">
        <v>5</v>
      </c>
      <c r="AT20" s="180">
        <f t="shared" si="12"/>
        <v>0.5617977528089888</v>
      </c>
      <c r="AU20" s="198">
        <f>55-20</f>
        <v>35</v>
      </c>
      <c r="AV20" s="197">
        <v>5</v>
      </c>
      <c r="AW20" s="180">
        <f t="shared" si="13"/>
        <v>0.449438202247191</v>
      </c>
      <c r="AX20" s="134">
        <v>61</v>
      </c>
      <c r="AY20" s="135">
        <v>5</v>
      </c>
      <c r="AZ20" s="180">
        <f t="shared" si="14"/>
        <v>0.7415730337078652</v>
      </c>
      <c r="BA20" s="134">
        <v>61</v>
      </c>
      <c r="BB20" s="135">
        <v>7</v>
      </c>
      <c r="BC20" s="180">
        <f t="shared" si="15"/>
        <v>0.7640449438202247</v>
      </c>
      <c r="BD20" s="134">
        <v>61</v>
      </c>
      <c r="BE20" s="135">
        <v>7</v>
      </c>
      <c r="BF20" s="180">
        <f t="shared" si="16"/>
        <v>0.7640449438202247</v>
      </c>
      <c r="BG20" s="132">
        <v>62</v>
      </c>
      <c r="BH20" s="133">
        <v>7</v>
      </c>
      <c r="BI20" s="180">
        <f t="shared" si="17"/>
        <v>0.7752808988764045</v>
      </c>
      <c r="BJ20" s="133">
        <v>60</v>
      </c>
      <c r="BK20" s="133">
        <v>7</v>
      </c>
      <c r="BL20" s="180">
        <f t="shared" si="18"/>
        <v>0.7528089887640449</v>
      </c>
      <c r="BM20" s="132">
        <v>60</v>
      </c>
      <c r="BN20" s="133">
        <v>7</v>
      </c>
      <c r="BO20" s="180">
        <f t="shared" si="19"/>
        <v>0.7528089887640449</v>
      </c>
      <c r="BP20" s="278">
        <f t="shared" si="20"/>
        <v>0.67602996254681658</v>
      </c>
      <c r="BQ20" s="208">
        <v>100</v>
      </c>
      <c r="BR20" s="210">
        <v>75</v>
      </c>
      <c r="BS20" s="209">
        <v>60</v>
      </c>
      <c r="BT20" s="210">
        <v>0</v>
      </c>
      <c r="BU20" s="209">
        <v>125</v>
      </c>
      <c r="BV20" s="210"/>
      <c r="BW20" s="209">
        <v>125</v>
      </c>
      <c r="BX20" s="210"/>
      <c r="BY20" s="209">
        <v>110</v>
      </c>
      <c r="BZ20" s="210"/>
      <c r="CA20" s="211">
        <f t="shared" si="21"/>
        <v>105</v>
      </c>
      <c r="CB20" s="212">
        <f t="shared" si="22"/>
        <v>0</v>
      </c>
      <c r="CC20" s="211">
        <f t="shared" si="23"/>
        <v>-5</v>
      </c>
      <c r="CD20" s="212">
        <f t="shared" si="24"/>
        <v>75</v>
      </c>
      <c r="CE20" s="337"/>
      <c r="CF20" s="329" t="s">
        <v>108</v>
      </c>
      <c r="CG20" s="329"/>
      <c r="CH20" s="288">
        <v>100</v>
      </c>
      <c r="CI20" s="289">
        <v>75</v>
      </c>
      <c r="CJ20" s="290">
        <v>100</v>
      </c>
      <c r="CK20" s="289">
        <v>75</v>
      </c>
      <c r="CL20" s="290">
        <v>0</v>
      </c>
      <c r="CM20" s="289">
        <v>75</v>
      </c>
      <c r="CN20" s="290">
        <v>125</v>
      </c>
      <c r="CO20" s="289"/>
      <c r="CP20" s="290">
        <v>150</v>
      </c>
      <c r="CQ20" s="289"/>
      <c r="CR20" s="284">
        <f t="shared" si="25"/>
        <v>93.75</v>
      </c>
      <c r="CS20" s="284">
        <f t="shared" si="26"/>
        <v>75</v>
      </c>
      <c r="CT20" s="321"/>
      <c r="CU20" s="126">
        <f t="shared" si="27"/>
        <v>93.75</v>
      </c>
      <c r="CV20" s="127">
        <f t="shared" si="28"/>
        <v>75</v>
      </c>
      <c r="CW20" s="126">
        <f t="shared" si="29"/>
        <v>6.25</v>
      </c>
      <c r="CX20" s="127">
        <f t="shared" si="30"/>
        <v>0</v>
      </c>
      <c r="CY20" s="314"/>
      <c r="CZ20" s="132">
        <v>60</v>
      </c>
      <c r="DA20" s="133">
        <v>7</v>
      </c>
      <c r="DB20" s="180">
        <f t="shared" si="31"/>
        <v>0.7528089887640449</v>
      </c>
      <c r="DC20" s="132">
        <v>60</v>
      </c>
      <c r="DD20" s="133">
        <v>7</v>
      </c>
      <c r="DE20" s="180">
        <f t="shared" si="32"/>
        <v>0.7528089887640449</v>
      </c>
      <c r="DF20" s="132">
        <v>56</v>
      </c>
      <c r="DG20" s="133">
        <v>1</v>
      </c>
      <c r="DH20" s="133">
        <v>7</v>
      </c>
      <c r="DI20" s="180">
        <f t="shared" si="33"/>
        <v>0.7191011235955056</v>
      </c>
      <c r="DJ20" s="68">
        <v>9</v>
      </c>
    </row>
    <row r="21" spans="1:114" s="68" customFormat="1" x14ac:dyDescent="0.3">
      <c r="A21" s="2" t="s">
        <v>109</v>
      </c>
      <c r="B21" s="301" t="s">
        <v>94</v>
      </c>
      <c r="C21" s="302" t="s">
        <v>110</v>
      </c>
      <c r="D21" s="3">
        <v>77.258064516128997</v>
      </c>
      <c r="E21" s="13">
        <v>6210</v>
      </c>
      <c r="F21" s="42">
        <f t="shared" ref="F21:F46" si="34">E21/D21</f>
        <v>80.37995824634659</v>
      </c>
      <c r="G21" s="3">
        <v>77.857142857142904</v>
      </c>
      <c r="H21" s="13">
        <v>6320</v>
      </c>
      <c r="I21" s="42">
        <f t="shared" ref="I21:I46" si="35">H21/G21</f>
        <v>81.174311926605455</v>
      </c>
      <c r="J21" s="3">
        <v>75.419354838709694</v>
      </c>
      <c r="K21" s="13">
        <v>6310</v>
      </c>
      <c r="L21" s="42">
        <f t="shared" ref="L21:L46" si="36">K21/J21</f>
        <v>83.665526090675769</v>
      </c>
      <c r="M21" s="18">
        <v>73.866666666666703</v>
      </c>
      <c r="N21" s="13">
        <v>6100</v>
      </c>
      <c r="O21" s="43">
        <f t="shared" si="3"/>
        <v>82.58122743682307</v>
      </c>
      <c r="P21" s="3">
        <v>70.451612903225794</v>
      </c>
      <c r="Q21" s="13">
        <v>5730.97</v>
      </c>
      <c r="R21" s="42">
        <f t="shared" si="4"/>
        <v>81.346185897435916</v>
      </c>
      <c r="S21" s="3">
        <v>65.8333333333333</v>
      </c>
      <c r="T21" s="13">
        <v>5060</v>
      </c>
      <c r="U21" s="42">
        <f t="shared" si="5"/>
        <v>76.860759493670926</v>
      </c>
      <c r="V21" s="3">
        <v>69.0322580645161</v>
      </c>
      <c r="W21" s="13">
        <v>5223.22</v>
      </c>
      <c r="X21" s="42">
        <f t="shared" si="6"/>
        <v>75.663467289719662</v>
      </c>
      <c r="Y21" s="3">
        <v>74.129032258064498</v>
      </c>
      <c r="Z21" s="13">
        <v>5500</v>
      </c>
      <c r="AA21" s="191">
        <f t="shared" si="7"/>
        <v>74.194952132288961</v>
      </c>
      <c r="AB21" s="29"/>
      <c r="AC21" s="175"/>
      <c r="AD21" s="193">
        <v>82</v>
      </c>
      <c r="AE21" s="193">
        <v>0</v>
      </c>
      <c r="AF21" s="309">
        <v>0</v>
      </c>
      <c r="AG21" s="2">
        <v>56</v>
      </c>
      <c r="AH21" s="179">
        <f t="shared" si="8"/>
        <v>0.68292682926829273</v>
      </c>
      <c r="AI21" s="192">
        <v>53</v>
      </c>
      <c r="AJ21" s="193"/>
      <c r="AK21" s="180">
        <f t="shared" si="9"/>
        <v>0.64634146341463417</v>
      </c>
      <c r="AL21" s="196">
        <v>63</v>
      </c>
      <c r="AM21" s="12">
        <v>0</v>
      </c>
      <c r="AN21" s="180">
        <f t="shared" si="10"/>
        <v>0.76829268292682928</v>
      </c>
      <c r="AO21" s="29">
        <v>54</v>
      </c>
      <c r="AP21" s="12"/>
      <c r="AQ21" s="180">
        <f t="shared" si="11"/>
        <v>0.65853658536585369</v>
      </c>
      <c r="AR21" s="29">
        <v>54</v>
      </c>
      <c r="AS21" s="12"/>
      <c r="AT21" s="180">
        <f t="shared" si="12"/>
        <v>0.65853658536585369</v>
      </c>
      <c r="AU21" s="198">
        <v>54</v>
      </c>
      <c r="AV21" s="197"/>
      <c r="AW21" s="180">
        <f t="shared" si="13"/>
        <v>0.65853658536585369</v>
      </c>
      <c r="AX21" s="134">
        <v>52</v>
      </c>
      <c r="AY21" s="135"/>
      <c r="AZ21" s="180">
        <f t="shared" si="14"/>
        <v>0.63414634146341464</v>
      </c>
      <c r="BA21" s="134">
        <v>48</v>
      </c>
      <c r="BB21" s="135"/>
      <c r="BC21" s="180">
        <f t="shared" si="15"/>
        <v>0.58536585365853655</v>
      </c>
      <c r="BD21" s="134">
        <v>48</v>
      </c>
      <c r="BE21" s="135"/>
      <c r="BF21" s="180">
        <f t="shared" si="16"/>
        <v>0.58536585365853655</v>
      </c>
      <c r="BG21" s="132">
        <v>51</v>
      </c>
      <c r="BH21" s="133"/>
      <c r="BI21" s="180">
        <f t="shared" si="17"/>
        <v>0.62195121951219512</v>
      </c>
      <c r="BJ21" s="133">
        <v>53</v>
      </c>
      <c r="BK21" s="133"/>
      <c r="BL21" s="180">
        <f t="shared" si="18"/>
        <v>0.64634146341463417</v>
      </c>
      <c r="BM21" s="132">
        <v>55</v>
      </c>
      <c r="BN21" s="133"/>
      <c r="BO21" s="180">
        <f t="shared" si="19"/>
        <v>0.67073170731707321</v>
      </c>
      <c r="BP21" s="278">
        <f t="shared" si="20"/>
        <v>0.64837398373983735</v>
      </c>
      <c r="BQ21" s="208">
        <v>110</v>
      </c>
      <c r="BR21" s="210">
        <v>0</v>
      </c>
      <c r="BS21" s="209">
        <v>100</v>
      </c>
      <c r="BT21" s="210">
        <v>75</v>
      </c>
      <c r="BU21" s="209">
        <v>90</v>
      </c>
      <c r="BV21" s="210"/>
      <c r="BW21" s="209">
        <v>60</v>
      </c>
      <c r="BX21" s="210">
        <v>60</v>
      </c>
      <c r="BY21" s="209">
        <v>125</v>
      </c>
      <c r="BZ21" s="210"/>
      <c r="CA21" s="211">
        <f t="shared" si="21"/>
        <v>93.75</v>
      </c>
      <c r="CB21" s="212">
        <f t="shared" si="22"/>
        <v>67.5</v>
      </c>
      <c r="CC21" s="211">
        <f t="shared" si="23"/>
        <v>16.25</v>
      </c>
      <c r="CD21" s="212">
        <f t="shared" si="24"/>
        <v>-67.5</v>
      </c>
      <c r="CE21" s="337"/>
      <c r="CF21" s="329" t="s">
        <v>111</v>
      </c>
      <c r="CG21" s="329"/>
      <c r="CH21" s="288">
        <v>110</v>
      </c>
      <c r="CI21" s="289">
        <v>0</v>
      </c>
      <c r="CJ21" s="290">
        <v>120</v>
      </c>
      <c r="CK21" s="289">
        <v>0</v>
      </c>
      <c r="CL21" s="290">
        <v>120</v>
      </c>
      <c r="CM21" s="289">
        <v>0</v>
      </c>
      <c r="CN21" s="290">
        <v>135</v>
      </c>
      <c r="CO21" s="289">
        <v>0</v>
      </c>
      <c r="CP21" s="290">
        <v>125</v>
      </c>
      <c r="CQ21" s="289"/>
      <c r="CR21" s="284">
        <f t="shared" si="25"/>
        <v>125</v>
      </c>
      <c r="CS21" s="284">
        <f t="shared" si="26"/>
        <v>0</v>
      </c>
      <c r="CT21" s="321"/>
      <c r="CU21" s="126">
        <f t="shared" si="27"/>
        <v>125</v>
      </c>
      <c r="CV21" s="127">
        <f t="shared" si="28"/>
        <v>0</v>
      </c>
      <c r="CW21" s="126">
        <f t="shared" si="29"/>
        <v>-15</v>
      </c>
      <c r="CX21" s="127">
        <f t="shared" si="30"/>
        <v>0</v>
      </c>
      <c r="CY21" s="314"/>
      <c r="CZ21" s="132">
        <v>55</v>
      </c>
      <c r="DA21" s="133"/>
      <c r="DB21" s="180">
        <f>(DA21+CZ21)/($AD21+$AE21)</f>
        <v>0.67073170731707321</v>
      </c>
      <c r="DC21" s="132">
        <v>55</v>
      </c>
      <c r="DD21" s="133"/>
      <c r="DE21" s="180">
        <f t="shared" si="32"/>
        <v>0.67073170731707321</v>
      </c>
      <c r="DF21" s="132">
        <v>53</v>
      </c>
      <c r="DG21" s="133"/>
      <c r="DH21" s="133"/>
      <c r="DI21" s="180">
        <f t="shared" si="33"/>
        <v>0.64634146341463417</v>
      </c>
    </row>
    <row r="22" spans="1:114" x14ac:dyDescent="0.3">
      <c r="A22" s="2" t="s">
        <v>112</v>
      </c>
      <c r="B22" s="301" t="s">
        <v>94</v>
      </c>
      <c r="C22" s="302" t="s">
        <v>113</v>
      </c>
      <c r="D22" s="3">
        <v>213.70967741935499</v>
      </c>
      <c r="E22" s="13">
        <v>2989.33</v>
      </c>
      <c r="F22" s="42">
        <f t="shared" si="34"/>
        <v>13.987808301886782</v>
      </c>
      <c r="G22" s="3">
        <v>218.892857142857</v>
      </c>
      <c r="H22" s="13">
        <v>3039.33</v>
      </c>
      <c r="I22" s="42">
        <f t="shared" si="35"/>
        <v>13.885012236906519</v>
      </c>
      <c r="J22" s="3">
        <v>218.77419354838699</v>
      </c>
      <c r="K22" s="13">
        <v>2989.33</v>
      </c>
      <c r="L22" s="42">
        <f t="shared" si="36"/>
        <v>13.663997345915666</v>
      </c>
      <c r="M22" s="18">
        <v>224.2</v>
      </c>
      <c r="N22" s="13">
        <v>3239.33</v>
      </c>
      <c r="O22" s="43">
        <f t="shared" si="3"/>
        <v>14.448394290811775</v>
      </c>
      <c r="P22" s="3">
        <v>226.54838709677401</v>
      </c>
      <c r="Q22" s="13">
        <v>3389.33</v>
      </c>
      <c r="R22" s="42">
        <f t="shared" si="4"/>
        <v>14.960733304855486</v>
      </c>
      <c r="S22" s="3">
        <v>228.13333333333301</v>
      </c>
      <c r="T22" s="13">
        <v>3500</v>
      </c>
      <c r="U22" s="42">
        <f t="shared" si="5"/>
        <v>15.341905318527198</v>
      </c>
      <c r="V22" s="3">
        <v>231.41935483871001</v>
      </c>
      <c r="W22" s="13">
        <v>3500</v>
      </c>
      <c r="X22" s="42">
        <f t="shared" si="6"/>
        <v>15.12405910231389</v>
      </c>
      <c r="Y22" s="3">
        <v>236.16129032258101</v>
      </c>
      <c r="Z22" s="13">
        <v>2800</v>
      </c>
      <c r="AA22" s="191">
        <f t="shared" si="7"/>
        <v>11.856303783636097</v>
      </c>
      <c r="AB22" s="29"/>
      <c r="AC22" s="175"/>
      <c r="AD22" s="192">
        <v>283</v>
      </c>
      <c r="AE22" s="193">
        <v>36</v>
      </c>
      <c r="AF22" s="309">
        <v>0</v>
      </c>
      <c r="AG22" s="2"/>
      <c r="AH22" s="179">
        <f t="shared" si="8"/>
        <v>0</v>
      </c>
      <c r="AI22" s="192"/>
      <c r="AJ22" s="193"/>
      <c r="AK22" s="180">
        <f t="shared" si="9"/>
        <v>0</v>
      </c>
      <c r="AL22" s="196"/>
      <c r="AM22" s="12"/>
      <c r="AN22" s="180">
        <f t="shared" si="10"/>
        <v>0</v>
      </c>
      <c r="AO22" s="29">
        <v>123</v>
      </c>
      <c r="AP22" s="12"/>
      <c r="AQ22" s="180">
        <f t="shared" si="11"/>
        <v>0.38557993730407525</v>
      </c>
      <c r="AR22" s="29">
        <v>121</v>
      </c>
      <c r="AS22" s="12"/>
      <c r="AT22" s="180">
        <f t="shared" si="12"/>
        <v>0.37931034482758619</v>
      </c>
      <c r="AU22" s="198">
        <v>121</v>
      </c>
      <c r="AV22" s="197"/>
      <c r="AW22" s="180">
        <f t="shared" si="13"/>
        <v>0.37931034482758619</v>
      </c>
      <c r="AX22" s="134">
        <v>135</v>
      </c>
      <c r="AY22" s="135"/>
      <c r="AZ22" s="180">
        <f t="shared" si="14"/>
        <v>0.42319749216300939</v>
      </c>
      <c r="BA22" s="134">
        <v>136</v>
      </c>
      <c r="BB22" s="135"/>
      <c r="BC22" s="180">
        <f t="shared" si="15"/>
        <v>0.42633228840125392</v>
      </c>
      <c r="BD22" s="134">
        <v>134</v>
      </c>
      <c r="BE22" s="135"/>
      <c r="BF22" s="180">
        <f t="shared" si="16"/>
        <v>0.42006269592476492</v>
      </c>
      <c r="BG22" s="132">
        <v>136</v>
      </c>
      <c r="BH22" s="133"/>
      <c r="BI22" s="180">
        <f t="shared" si="17"/>
        <v>0.42633228840125392</v>
      </c>
      <c r="BJ22" s="133">
        <v>137</v>
      </c>
      <c r="BK22" s="133"/>
      <c r="BL22" s="180">
        <f t="shared" si="18"/>
        <v>0.42946708463949845</v>
      </c>
      <c r="BM22" s="132">
        <v>138</v>
      </c>
      <c r="BN22" s="133"/>
      <c r="BO22" s="180">
        <f t="shared" si="19"/>
        <v>0.43260188087774293</v>
      </c>
      <c r="BP22" s="278">
        <f t="shared" si="20"/>
        <v>0.30851619644723094</v>
      </c>
      <c r="BQ22" s="199"/>
      <c r="BR22" s="200"/>
      <c r="BS22" s="201"/>
      <c r="BT22" s="200">
        <v>0</v>
      </c>
      <c r="BU22" s="201"/>
      <c r="BV22" s="200"/>
      <c r="BW22" s="201"/>
      <c r="BX22" s="200"/>
      <c r="BY22" s="201"/>
      <c r="BZ22" s="200"/>
      <c r="CA22" s="202">
        <f t="shared" si="21"/>
        <v>0</v>
      </c>
      <c r="CB22" s="203">
        <f t="shared" si="22"/>
        <v>0</v>
      </c>
      <c r="CC22" s="202">
        <f t="shared" si="23"/>
        <v>0</v>
      </c>
      <c r="CD22" s="203">
        <f t="shared" si="24"/>
        <v>0</v>
      </c>
      <c r="CE22" s="337"/>
      <c r="CF22" s="330" t="s">
        <v>114</v>
      </c>
      <c r="CG22" s="330"/>
      <c r="CH22" s="285"/>
      <c r="CI22" s="286"/>
      <c r="CJ22" s="287"/>
      <c r="CK22" s="286"/>
      <c r="CL22" s="287"/>
      <c r="CM22" s="286"/>
      <c r="CN22" s="287"/>
      <c r="CO22" s="286"/>
      <c r="CP22" s="287"/>
      <c r="CQ22" s="286"/>
      <c r="CR22" s="284">
        <f t="shared" si="25"/>
        <v>0</v>
      </c>
      <c r="CS22" s="284">
        <f t="shared" si="26"/>
        <v>0</v>
      </c>
      <c r="CT22" s="321"/>
      <c r="CU22" s="124">
        <f t="shared" si="27"/>
        <v>0</v>
      </c>
      <c r="CV22" s="125">
        <f t="shared" si="28"/>
        <v>0</v>
      </c>
      <c r="CW22" s="124">
        <f t="shared" si="29"/>
        <v>0</v>
      </c>
      <c r="CX22" s="125">
        <f t="shared" si="30"/>
        <v>0</v>
      </c>
      <c r="CY22" s="314"/>
      <c r="CZ22" s="132">
        <v>138</v>
      </c>
      <c r="DA22" s="133"/>
      <c r="DB22" s="180">
        <f t="shared" si="31"/>
        <v>0.43260188087774293</v>
      </c>
      <c r="DC22" s="132">
        <v>138</v>
      </c>
      <c r="DD22" s="133"/>
      <c r="DE22" s="180">
        <f t="shared" si="32"/>
        <v>0.43260188087774293</v>
      </c>
      <c r="DF22" s="132">
        <v>128</v>
      </c>
      <c r="DG22" s="133">
        <v>3</v>
      </c>
      <c r="DH22" s="133"/>
      <c r="DI22" s="180">
        <f t="shared" si="33"/>
        <v>0.41065830721003133</v>
      </c>
      <c r="DJ22">
        <v>8</v>
      </c>
    </row>
    <row r="23" spans="1:114" x14ac:dyDescent="0.3">
      <c r="A23" s="2" t="s">
        <v>115</v>
      </c>
      <c r="B23" s="301" t="s">
        <v>94</v>
      </c>
      <c r="C23" s="302" t="s">
        <v>116</v>
      </c>
      <c r="D23" s="3">
        <v>221.322580645161</v>
      </c>
      <c r="E23" s="13">
        <v>14587.24</v>
      </c>
      <c r="F23" s="42">
        <f t="shared" si="34"/>
        <v>65.909406792012916</v>
      </c>
      <c r="G23" s="3">
        <v>220.392857142857</v>
      </c>
      <c r="H23" s="13">
        <v>14641.31</v>
      </c>
      <c r="I23" s="42">
        <f t="shared" si="35"/>
        <v>66.432779128180243</v>
      </c>
      <c r="J23" s="3">
        <v>227</v>
      </c>
      <c r="K23" s="13">
        <v>13807.98</v>
      </c>
      <c r="L23" s="42">
        <f t="shared" si="36"/>
        <v>60.828105726872245</v>
      </c>
      <c r="M23" s="18">
        <v>229.76666666666699</v>
      </c>
      <c r="N23" s="13">
        <v>16492.240000000002</v>
      </c>
      <c r="O23" s="43">
        <f t="shared" si="3"/>
        <v>71.778209778035588</v>
      </c>
      <c r="P23" s="3">
        <v>228.16129032258101</v>
      </c>
      <c r="Q23" s="13">
        <v>13870</v>
      </c>
      <c r="R23" s="42">
        <f t="shared" si="4"/>
        <v>60.790329421744566</v>
      </c>
      <c r="S23" s="3">
        <v>225.666666666667</v>
      </c>
      <c r="T23" s="13">
        <v>15631</v>
      </c>
      <c r="U23" s="42">
        <f t="shared" si="5"/>
        <v>69.265878877400198</v>
      </c>
      <c r="V23" s="3">
        <v>227.935483870968</v>
      </c>
      <c r="W23" s="13">
        <v>14507.96</v>
      </c>
      <c r="X23" s="42">
        <f t="shared" si="6"/>
        <v>63.649414095669329</v>
      </c>
      <c r="Y23" s="3">
        <v>228.193548387097</v>
      </c>
      <c r="Z23" s="13">
        <v>17428.759999999998</v>
      </c>
      <c r="AA23" s="191">
        <f t="shared" si="7"/>
        <v>76.377093582131664</v>
      </c>
      <c r="AB23" s="29"/>
      <c r="AC23" s="175"/>
      <c r="AD23" s="192">
        <v>189</v>
      </c>
      <c r="AE23" s="193">
        <v>0</v>
      </c>
      <c r="AF23" s="309">
        <v>24</v>
      </c>
      <c r="AG23" s="2">
        <v>121</v>
      </c>
      <c r="AH23" s="179">
        <f t="shared" si="8"/>
        <v>0.64021164021164023</v>
      </c>
      <c r="AI23" s="192">
        <f>AD23-97</f>
        <v>92</v>
      </c>
      <c r="AJ23" s="193"/>
      <c r="AK23" s="180">
        <f t="shared" si="9"/>
        <v>0.48677248677248675</v>
      </c>
      <c r="AL23" s="196">
        <v>134</v>
      </c>
      <c r="AM23" s="12"/>
      <c r="AN23" s="180">
        <f t="shared" si="10"/>
        <v>0.70899470899470896</v>
      </c>
      <c r="AO23" s="29">
        <v>112</v>
      </c>
      <c r="AP23" s="12"/>
      <c r="AQ23" s="180">
        <f t="shared" si="11"/>
        <v>0.59259259259259256</v>
      </c>
      <c r="AR23" s="29">
        <v>108</v>
      </c>
      <c r="AS23" s="12"/>
      <c r="AT23" s="180">
        <f t="shared" si="12"/>
        <v>0.5714285714285714</v>
      </c>
      <c r="AU23" s="198">
        <f>102-6</f>
        <v>96</v>
      </c>
      <c r="AV23" s="197"/>
      <c r="AW23" s="180">
        <f t="shared" si="13"/>
        <v>0.50793650793650791</v>
      </c>
      <c r="AX23" s="134">
        <v>125</v>
      </c>
      <c r="AY23" s="135"/>
      <c r="AZ23" s="180">
        <f t="shared" si="14"/>
        <v>0.66137566137566139</v>
      </c>
      <c r="BA23" s="134">
        <v>121</v>
      </c>
      <c r="BB23" s="135"/>
      <c r="BC23" s="180">
        <f t="shared" si="15"/>
        <v>0.64021164021164023</v>
      </c>
      <c r="BD23" s="134">
        <v>120</v>
      </c>
      <c r="BE23" s="135"/>
      <c r="BF23" s="180">
        <f t="shared" si="16"/>
        <v>0.63492063492063489</v>
      </c>
      <c r="BG23" s="132">
        <v>122</v>
      </c>
      <c r="BH23" s="133"/>
      <c r="BI23" s="180">
        <f t="shared" si="17"/>
        <v>0.64550264550264547</v>
      </c>
      <c r="BJ23" s="133">
        <v>120</v>
      </c>
      <c r="BK23" s="133"/>
      <c r="BL23" s="180">
        <f t="shared" si="18"/>
        <v>0.63492063492063489</v>
      </c>
      <c r="BM23" s="132">
        <v>118</v>
      </c>
      <c r="BN23" s="133"/>
      <c r="BO23" s="180">
        <f t="shared" si="19"/>
        <v>0.6243386243386243</v>
      </c>
      <c r="BP23" s="278">
        <f t="shared" si="20"/>
        <v>0.59964726631393284</v>
      </c>
      <c r="BQ23" s="199">
        <v>135</v>
      </c>
      <c r="BR23" s="200">
        <v>0</v>
      </c>
      <c r="BS23" s="201">
        <v>110</v>
      </c>
      <c r="BT23" s="200">
        <v>0</v>
      </c>
      <c r="BU23" s="201">
        <v>135</v>
      </c>
      <c r="BV23" s="200"/>
      <c r="BW23" s="201">
        <v>150</v>
      </c>
      <c r="BX23" s="200"/>
      <c r="BY23" s="201"/>
      <c r="BZ23" s="200"/>
      <c r="CA23" s="202">
        <f t="shared" si="21"/>
        <v>131.66666666666666</v>
      </c>
      <c r="CB23" s="203">
        <f t="shared" si="22"/>
        <v>0</v>
      </c>
      <c r="CC23" s="202">
        <f t="shared" si="23"/>
        <v>3.3333333333333428</v>
      </c>
      <c r="CD23" s="203">
        <f t="shared" si="24"/>
        <v>0</v>
      </c>
      <c r="CE23" s="337"/>
      <c r="CF23" s="329"/>
      <c r="CG23" s="329"/>
      <c r="CH23" s="285">
        <v>135</v>
      </c>
      <c r="CI23" s="286">
        <v>0</v>
      </c>
      <c r="CJ23" s="287">
        <v>110</v>
      </c>
      <c r="CK23" s="286"/>
      <c r="CL23" s="287">
        <v>100</v>
      </c>
      <c r="CM23" s="286"/>
      <c r="CN23" s="287">
        <v>100</v>
      </c>
      <c r="CO23" s="286"/>
      <c r="CP23" s="287"/>
      <c r="CQ23" s="286"/>
      <c r="CR23" s="284">
        <f t="shared" si="25"/>
        <v>103.33333333333333</v>
      </c>
      <c r="CS23" s="284">
        <f t="shared" si="26"/>
        <v>0</v>
      </c>
      <c r="CT23" s="321" t="s">
        <v>117</v>
      </c>
      <c r="CU23" s="124">
        <f t="shared" si="27"/>
        <v>103.33333333333333</v>
      </c>
      <c r="CV23" s="125">
        <f t="shared" si="28"/>
        <v>0</v>
      </c>
      <c r="CW23" s="124">
        <f t="shared" si="29"/>
        <v>31.666666666666671</v>
      </c>
      <c r="CX23" s="125">
        <f t="shared" si="30"/>
        <v>0</v>
      </c>
      <c r="CY23" s="314" t="s">
        <v>118</v>
      </c>
      <c r="CZ23" s="132">
        <v>118</v>
      </c>
      <c r="DA23" s="133"/>
      <c r="DB23" s="180">
        <f t="shared" si="31"/>
        <v>0.6243386243386243</v>
      </c>
      <c r="DC23" s="132">
        <v>118</v>
      </c>
      <c r="DD23" s="133"/>
      <c r="DE23" s="180">
        <f t="shared" si="32"/>
        <v>0.6243386243386243</v>
      </c>
      <c r="DF23" s="132">
        <v>113</v>
      </c>
      <c r="DG23" s="133">
        <v>6</v>
      </c>
      <c r="DH23" s="133"/>
      <c r="DI23" s="180">
        <f t="shared" si="33"/>
        <v>0.62962962962962965</v>
      </c>
      <c r="DJ23">
        <v>10</v>
      </c>
    </row>
    <row r="24" spans="1:114" x14ac:dyDescent="0.3">
      <c r="A24" s="2" t="s">
        <v>119</v>
      </c>
      <c r="B24" s="301" t="s">
        <v>94</v>
      </c>
      <c r="C24" s="302" t="s">
        <v>120</v>
      </c>
      <c r="D24" s="3">
        <v>175.45161290322599</v>
      </c>
      <c r="E24" s="13">
        <v>10458.26</v>
      </c>
      <c r="F24" s="42">
        <f t="shared" si="34"/>
        <v>59.607659496230866</v>
      </c>
      <c r="G24" s="3">
        <v>174.28571428571399</v>
      </c>
      <c r="H24" s="13">
        <v>10025.61</v>
      </c>
      <c r="I24" s="42">
        <f t="shared" si="35"/>
        <v>57.52399180327879</v>
      </c>
      <c r="J24" s="3">
        <v>170.61290322580601</v>
      </c>
      <c r="K24" s="13">
        <v>10007.17</v>
      </c>
      <c r="L24" s="42">
        <f t="shared" si="36"/>
        <v>58.654238986576068</v>
      </c>
      <c r="M24" s="18">
        <v>175.23333333333301</v>
      </c>
      <c r="N24" s="13">
        <v>9629.82</v>
      </c>
      <c r="O24" s="43">
        <f t="shared" si="3"/>
        <v>54.95427049648098</v>
      </c>
      <c r="P24" s="3">
        <v>176.03225806451599</v>
      </c>
      <c r="Q24" s="13">
        <v>9639.0400000000009</v>
      </c>
      <c r="R24" s="42">
        <f t="shared" si="4"/>
        <v>54.757236576873787</v>
      </c>
      <c r="S24" s="3">
        <v>181.333333333333</v>
      </c>
      <c r="T24" s="13">
        <v>9722.17</v>
      </c>
      <c r="U24" s="42">
        <f t="shared" si="5"/>
        <v>53.614908088235396</v>
      </c>
      <c r="V24" s="3">
        <v>176.29032258064501</v>
      </c>
      <c r="W24" s="13">
        <v>9817.9699999999993</v>
      </c>
      <c r="X24" s="42">
        <f t="shared" si="6"/>
        <v>55.69205306495887</v>
      </c>
      <c r="Y24" s="3">
        <v>179.51612903225799</v>
      </c>
      <c r="Z24" s="13">
        <v>9646.5400000000009</v>
      </c>
      <c r="AA24" s="191">
        <f t="shared" si="7"/>
        <v>53.736341419586729</v>
      </c>
      <c r="AB24" s="29"/>
      <c r="AC24" s="175"/>
      <c r="AD24" s="192">
        <v>167</v>
      </c>
      <c r="AE24" s="193">
        <v>0</v>
      </c>
      <c r="AF24" s="309">
        <v>0</v>
      </c>
      <c r="AG24" s="2">
        <v>85</v>
      </c>
      <c r="AH24" s="179">
        <f t="shared" si="8"/>
        <v>0.50898203592814373</v>
      </c>
      <c r="AI24" s="192">
        <f>AD24-89</f>
        <v>78</v>
      </c>
      <c r="AJ24" s="193"/>
      <c r="AK24" s="180">
        <f t="shared" si="9"/>
        <v>0.46706586826347307</v>
      </c>
      <c r="AL24" s="196"/>
      <c r="AM24" s="12"/>
      <c r="AN24" s="180">
        <f t="shared" si="10"/>
        <v>0</v>
      </c>
      <c r="AO24" s="29">
        <v>60</v>
      </c>
      <c r="AP24" s="12"/>
      <c r="AQ24" s="180">
        <f t="shared" si="11"/>
        <v>0.3592814371257485</v>
      </c>
      <c r="AR24" s="29">
        <v>60</v>
      </c>
      <c r="AS24" s="12"/>
      <c r="AT24" s="180">
        <f t="shared" si="12"/>
        <v>0.3592814371257485</v>
      </c>
      <c r="AU24" s="198">
        <v>62</v>
      </c>
      <c r="AV24" s="197"/>
      <c r="AW24" s="180">
        <f t="shared" si="13"/>
        <v>0.3712574850299401</v>
      </c>
      <c r="AX24" s="134">
        <v>65</v>
      </c>
      <c r="AY24" s="135"/>
      <c r="AZ24" s="180">
        <f t="shared" si="14"/>
        <v>0.38922155688622756</v>
      </c>
      <c r="BA24" s="134">
        <v>64</v>
      </c>
      <c r="BB24" s="135"/>
      <c r="BC24" s="180">
        <f t="shared" si="15"/>
        <v>0.38323353293413176</v>
      </c>
      <c r="BD24" s="134">
        <v>64</v>
      </c>
      <c r="BE24" s="135"/>
      <c r="BF24" s="180">
        <f t="shared" si="16"/>
        <v>0.38323353293413176</v>
      </c>
      <c r="BG24" s="132">
        <v>64</v>
      </c>
      <c r="BH24" s="133"/>
      <c r="BI24" s="180">
        <f t="shared" si="17"/>
        <v>0.38323353293413176</v>
      </c>
      <c r="BJ24" s="133">
        <v>62</v>
      </c>
      <c r="BK24" s="133"/>
      <c r="BL24" s="180">
        <f t="shared" si="18"/>
        <v>0.3712574850299401</v>
      </c>
      <c r="BM24" s="132">
        <v>60</v>
      </c>
      <c r="BN24" s="133"/>
      <c r="BO24" s="180">
        <f t="shared" si="19"/>
        <v>0.3592814371257485</v>
      </c>
      <c r="BP24" s="278">
        <f t="shared" si="20"/>
        <v>0.35778443113772457</v>
      </c>
      <c r="BQ24" s="199">
        <v>135</v>
      </c>
      <c r="BR24" s="200">
        <v>0</v>
      </c>
      <c r="BS24" s="201">
        <v>175</v>
      </c>
      <c r="BT24" s="200">
        <v>0</v>
      </c>
      <c r="BU24" s="201">
        <v>125</v>
      </c>
      <c r="BV24" s="200"/>
      <c r="BW24" s="201">
        <v>100</v>
      </c>
      <c r="BX24" s="200"/>
      <c r="BY24" s="201">
        <v>135</v>
      </c>
      <c r="BZ24" s="200"/>
      <c r="CA24" s="202">
        <f t="shared" si="21"/>
        <v>133.75</v>
      </c>
      <c r="CB24" s="203">
        <f t="shared" si="22"/>
        <v>0</v>
      </c>
      <c r="CC24" s="202">
        <f t="shared" si="23"/>
        <v>1.25</v>
      </c>
      <c r="CD24" s="203">
        <f t="shared" si="24"/>
        <v>0</v>
      </c>
      <c r="CE24" s="337"/>
      <c r="CF24" s="329"/>
      <c r="CG24" s="329"/>
      <c r="CH24" s="285">
        <v>135</v>
      </c>
      <c r="CI24" s="286">
        <v>0</v>
      </c>
      <c r="CJ24" s="287"/>
      <c r="CK24" s="286"/>
      <c r="CL24" s="287"/>
      <c r="CM24" s="286"/>
      <c r="CN24" s="287"/>
      <c r="CO24" s="286"/>
      <c r="CP24" s="287"/>
      <c r="CQ24" s="286"/>
      <c r="CR24" s="284">
        <f t="shared" si="25"/>
        <v>0</v>
      </c>
      <c r="CS24" s="284">
        <f t="shared" si="26"/>
        <v>0</v>
      </c>
      <c r="CT24" s="321"/>
      <c r="CU24" s="124">
        <f t="shared" si="27"/>
        <v>0</v>
      </c>
      <c r="CV24" s="125">
        <f t="shared" si="28"/>
        <v>0</v>
      </c>
      <c r="CW24" s="124">
        <f t="shared" si="29"/>
        <v>135</v>
      </c>
      <c r="CX24" s="125">
        <f t="shared" si="30"/>
        <v>0</v>
      </c>
      <c r="CY24" s="314" t="s">
        <v>121</v>
      </c>
      <c r="CZ24" s="132">
        <v>60</v>
      </c>
      <c r="DA24" s="133"/>
      <c r="DB24" s="180">
        <f t="shared" si="31"/>
        <v>0.3592814371257485</v>
      </c>
      <c r="DC24" s="132">
        <v>60</v>
      </c>
      <c r="DD24" s="133"/>
      <c r="DE24" s="180">
        <f t="shared" si="32"/>
        <v>0.3592814371257485</v>
      </c>
      <c r="DF24" s="132">
        <v>60</v>
      </c>
      <c r="DG24" s="133">
        <v>0</v>
      </c>
      <c r="DH24" s="133"/>
      <c r="DI24" s="180">
        <f t="shared" si="33"/>
        <v>0.3592814371257485</v>
      </c>
      <c r="DJ24">
        <v>9</v>
      </c>
    </row>
    <row r="25" spans="1:114" ht="15" thickBot="1" x14ac:dyDescent="0.35">
      <c r="A25" s="2" t="s">
        <v>122</v>
      </c>
      <c r="B25" s="301" t="s">
        <v>94</v>
      </c>
      <c r="C25" s="302" t="s">
        <v>123</v>
      </c>
      <c r="D25" s="3">
        <v>397.12903225806502</v>
      </c>
      <c r="E25" s="13">
        <v>45359</v>
      </c>
      <c r="F25" s="42">
        <f t="shared" si="34"/>
        <v>114.21728535456081</v>
      </c>
      <c r="G25" s="3">
        <v>397.57142857142901</v>
      </c>
      <c r="H25" s="13">
        <v>45089</v>
      </c>
      <c r="I25" s="42">
        <f t="shared" si="35"/>
        <v>113.41106719367576</v>
      </c>
      <c r="J25" s="3">
        <v>400.58064516129002</v>
      </c>
      <c r="K25" s="13">
        <v>44954</v>
      </c>
      <c r="L25" s="42">
        <f t="shared" si="36"/>
        <v>112.22209695603165</v>
      </c>
      <c r="M25" s="18">
        <v>402.6</v>
      </c>
      <c r="N25" s="13">
        <v>43604</v>
      </c>
      <c r="O25" s="43">
        <f t="shared" si="3"/>
        <v>108.30601092896174</v>
      </c>
      <c r="P25" s="3">
        <v>403.25806451612902</v>
      </c>
      <c r="Q25" s="13">
        <v>44639</v>
      </c>
      <c r="R25" s="42">
        <f t="shared" si="4"/>
        <v>110.69586433085354</v>
      </c>
      <c r="S25" s="3">
        <v>407.433333333333</v>
      </c>
      <c r="T25" s="13">
        <v>44225</v>
      </c>
      <c r="U25" s="42">
        <f t="shared" si="5"/>
        <v>108.54536529493586</v>
      </c>
      <c r="V25" s="3">
        <v>409.806451612903</v>
      </c>
      <c r="W25" s="13">
        <v>44391.5</v>
      </c>
      <c r="X25" s="42">
        <f t="shared" si="6"/>
        <v>108.32308721662474</v>
      </c>
      <c r="Y25" s="3">
        <v>411.25806451612902</v>
      </c>
      <c r="Z25" s="13">
        <v>44324</v>
      </c>
      <c r="AA25" s="191">
        <f t="shared" si="7"/>
        <v>107.7766099301906</v>
      </c>
      <c r="AB25" s="29"/>
      <c r="AC25" s="175"/>
      <c r="AD25" s="193">
        <v>226</v>
      </c>
      <c r="AE25" s="193">
        <v>0</v>
      </c>
      <c r="AF25" s="309">
        <v>236</v>
      </c>
      <c r="AG25" s="2">
        <v>156</v>
      </c>
      <c r="AH25" s="179">
        <f t="shared" si="8"/>
        <v>0.69026548672566368</v>
      </c>
      <c r="AI25" s="192">
        <f>AD25-82</f>
        <v>144</v>
      </c>
      <c r="AJ25" s="193"/>
      <c r="AK25" s="180">
        <f t="shared" si="9"/>
        <v>0.63716814159292035</v>
      </c>
      <c r="AL25" s="196">
        <v>166</v>
      </c>
      <c r="AM25" s="12"/>
      <c r="AN25" s="180">
        <f t="shared" si="10"/>
        <v>0.73451327433628322</v>
      </c>
      <c r="AO25" s="29">
        <v>152</v>
      </c>
      <c r="AP25" s="12"/>
      <c r="AQ25" s="180">
        <f t="shared" si="11"/>
        <v>0.67256637168141598</v>
      </c>
      <c r="AR25" s="29">
        <v>152</v>
      </c>
      <c r="AS25" s="12"/>
      <c r="AT25" s="180">
        <f t="shared" si="12"/>
        <v>0.67256637168141598</v>
      </c>
      <c r="AU25" s="198">
        <v>155</v>
      </c>
      <c r="AV25" s="197"/>
      <c r="AW25" s="180">
        <f t="shared" si="13"/>
        <v>0.68584070796460173</v>
      </c>
      <c r="AX25" s="136">
        <v>166</v>
      </c>
      <c r="AY25" s="137"/>
      <c r="AZ25" s="180">
        <f t="shared" si="14"/>
        <v>0.73451327433628322</v>
      </c>
      <c r="BA25" s="136">
        <v>161</v>
      </c>
      <c r="BB25" s="137"/>
      <c r="BC25" s="180">
        <f t="shared" si="15"/>
        <v>0.71238938053097345</v>
      </c>
      <c r="BD25" s="138">
        <v>161</v>
      </c>
      <c r="BE25" s="139"/>
      <c r="BF25" s="180">
        <f t="shared" si="16"/>
        <v>0.71238938053097345</v>
      </c>
      <c r="BG25" s="132">
        <v>161</v>
      </c>
      <c r="BH25" s="133"/>
      <c r="BI25" s="180">
        <f t="shared" si="17"/>
        <v>0.71238938053097345</v>
      </c>
      <c r="BJ25" s="142">
        <v>161</v>
      </c>
      <c r="BK25" s="142"/>
      <c r="BL25" s="180">
        <f t="shared" si="18"/>
        <v>0.71238938053097345</v>
      </c>
      <c r="BM25" s="143">
        <v>160</v>
      </c>
      <c r="BN25" s="142"/>
      <c r="BO25" s="180">
        <f t="shared" si="19"/>
        <v>0.70796460176991149</v>
      </c>
      <c r="BP25" s="278">
        <f t="shared" si="20"/>
        <v>0.69432153392330376</v>
      </c>
      <c r="BQ25" s="199">
        <v>135</v>
      </c>
      <c r="BR25" s="200">
        <v>0</v>
      </c>
      <c r="BS25" s="201">
        <v>100</v>
      </c>
      <c r="BT25" s="200">
        <v>0</v>
      </c>
      <c r="BU25" s="201">
        <v>135</v>
      </c>
      <c r="BV25" s="200"/>
      <c r="BW25" s="201">
        <v>150</v>
      </c>
      <c r="BX25" s="200"/>
      <c r="BY25" s="201">
        <v>85</v>
      </c>
      <c r="BZ25" s="200"/>
      <c r="CA25" s="202">
        <f t="shared" si="21"/>
        <v>117.5</v>
      </c>
      <c r="CB25" s="203">
        <f t="shared" si="22"/>
        <v>0</v>
      </c>
      <c r="CC25" s="202">
        <f t="shared" si="23"/>
        <v>17.5</v>
      </c>
      <c r="CD25" s="203">
        <f t="shared" si="24"/>
        <v>0</v>
      </c>
      <c r="CE25" s="337"/>
      <c r="CF25" s="329" t="s">
        <v>124</v>
      </c>
      <c r="CG25" s="329"/>
      <c r="CH25" s="285">
        <v>135</v>
      </c>
      <c r="CI25" s="286">
        <v>0</v>
      </c>
      <c r="CJ25" s="287">
        <v>150</v>
      </c>
      <c r="CK25" s="286"/>
      <c r="CL25" s="287">
        <v>135</v>
      </c>
      <c r="CM25" s="286"/>
      <c r="CN25" s="287">
        <v>100</v>
      </c>
      <c r="CO25" s="286"/>
      <c r="CP25" s="287">
        <v>100</v>
      </c>
      <c r="CQ25" s="286"/>
      <c r="CR25" s="284">
        <f t="shared" si="25"/>
        <v>121.25</v>
      </c>
      <c r="CS25" s="284">
        <f t="shared" si="26"/>
        <v>0</v>
      </c>
      <c r="CT25" s="321" t="s">
        <v>125</v>
      </c>
      <c r="CU25" s="124">
        <f t="shared" si="27"/>
        <v>121.25</v>
      </c>
      <c r="CV25" s="125">
        <f t="shared" si="28"/>
        <v>0</v>
      </c>
      <c r="CW25" s="124">
        <f t="shared" si="29"/>
        <v>13.75</v>
      </c>
      <c r="CX25" s="125">
        <f t="shared" si="30"/>
        <v>0</v>
      </c>
      <c r="CY25" s="314" t="s">
        <v>126</v>
      </c>
      <c r="CZ25" s="143">
        <v>160</v>
      </c>
      <c r="DA25" s="142"/>
      <c r="DB25" s="180">
        <f t="shared" si="31"/>
        <v>0.70796460176991149</v>
      </c>
      <c r="DC25" s="143">
        <v>160</v>
      </c>
      <c r="DD25" s="142"/>
      <c r="DE25" s="180">
        <f t="shared" si="32"/>
        <v>0.70796460176991149</v>
      </c>
      <c r="DF25" s="143">
        <v>156</v>
      </c>
      <c r="DG25" s="142"/>
      <c r="DH25" s="142"/>
      <c r="DI25" s="180">
        <f t="shared" si="33"/>
        <v>0.69026548672566368</v>
      </c>
    </row>
    <row r="26" spans="1:114" x14ac:dyDescent="0.3">
      <c r="A26" s="2" t="s">
        <v>127</v>
      </c>
      <c r="B26" s="301" t="s">
        <v>128</v>
      </c>
      <c r="C26" s="302" t="s">
        <v>129</v>
      </c>
      <c r="D26" s="3">
        <v>261.09677419354801</v>
      </c>
      <c r="E26" s="13">
        <v>27634.46</v>
      </c>
      <c r="F26" s="42">
        <f t="shared" si="34"/>
        <v>105.83991351618498</v>
      </c>
      <c r="G26" s="3">
        <v>259.357142857143</v>
      </c>
      <c r="H26" s="13">
        <v>26385.79</v>
      </c>
      <c r="I26" s="42">
        <f t="shared" si="35"/>
        <v>101.73535114293577</v>
      </c>
      <c r="J26" s="3">
        <v>260.22580645161298</v>
      </c>
      <c r="K26" s="13">
        <v>25927.74</v>
      </c>
      <c r="L26" s="42">
        <f t="shared" si="36"/>
        <v>99.635544812197821</v>
      </c>
      <c r="M26" s="18">
        <v>273.83333333333297</v>
      </c>
      <c r="N26" s="13">
        <v>27805.33</v>
      </c>
      <c r="O26" s="43">
        <f t="shared" si="3"/>
        <v>101.54107121119917</v>
      </c>
      <c r="P26" s="3">
        <v>285.83870967741899</v>
      </c>
      <c r="Q26" s="13">
        <v>28516.22</v>
      </c>
      <c r="R26" s="42">
        <f t="shared" si="4"/>
        <v>99.763324681187356</v>
      </c>
      <c r="S26" s="3">
        <v>279.73333333333301</v>
      </c>
      <c r="T26" s="13">
        <v>29490.22</v>
      </c>
      <c r="U26" s="42">
        <f t="shared" si="5"/>
        <v>105.42261677788383</v>
      </c>
      <c r="V26" s="3">
        <v>283.96774193548401</v>
      </c>
      <c r="W26" s="13">
        <v>31068.83</v>
      </c>
      <c r="X26" s="42">
        <f t="shared" si="6"/>
        <v>109.40971600590703</v>
      </c>
      <c r="Y26" s="3">
        <v>296.35483870967698</v>
      </c>
      <c r="Z26" s="13">
        <v>31974.97</v>
      </c>
      <c r="AA26" s="191">
        <f t="shared" si="7"/>
        <v>107.89420594318075</v>
      </c>
      <c r="AB26" s="29"/>
      <c r="AC26" s="175"/>
      <c r="AD26" s="192">
        <v>182</v>
      </c>
      <c r="AE26" s="193">
        <v>0</v>
      </c>
      <c r="AF26" s="309">
        <v>236</v>
      </c>
      <c r="AG26" s="2">
        <v>169</v>
      </c>
      <c r="AH26" s="179">
        <f t="shared" si="8"/>
        <v>0.9285714285714286</v>
      </c>
      <c r="AI26" s="192">
        <f>AD26-11</f>
        <v>171</v>
      </c>
      <c r="AJ26" s="193"/>
      <c r="AK26" s="180">
        <f t="shared" si="9"/>
        <v>0.93956043956043955</v>
      </c>
      <c r="AL26" s="196">
        <v>158</v>
      </c>
      <c r="AM26" s="12">
        <v>0</v>
      </c>
      <c r="AN26" s="180">
        <f t="shared" si="10"/>
        <v>0.86813186813186816</v>
      </c>
      <c r="AO26" s="213" t="s">
        <v>90</v>
      </c>
      <c r="AP26" s="213" t="s">
        <v>90</v>
      </c>
      <c r="AQ26" s="180" t="e">
        <f t="shared" si="11"/>
        <v>#VALUE!</v>
      </c>
      <c r="AR26" s="213" t="s">
        <v>90</v>
      </c>
      <c r="AS26" s="213" t="s">
        <v>90</v>
      </c>
      <c r="AT26" s="180" t="e">
        <f t="shared" si="12"/>
        <v>#VALUE!</v>
      </c>
      <c r="AU26" s="214"/>
      <c r="AV26" s="213"/>
      <c r="AW26" s="180">
        <f t="shared" si="13"/>
        <v>0</v>
      </c>
      <c r="AX26" s="140">
        <v>173</v>
      </c>
      <c r="AY26" s="141"/>
      <c r="AZ26" s="180">
        <f t="shared" si="14"/>
        <v>0.9505494505494505</v>
      </c>
      <c r="BA26" s="132">
        <v>172</v>
      </c>
      <c r="BB26" s="133"/>
      <c r="BC26" s="180">
        <f t="shared" si="15"/>
        <v>0.94505494505494503</v>
      </c>
      <c r="BD26" s="140">
        <v>172</v>
      </c>
      <c r="BE26" s="141"/>
      <c r="BF26" s="180">
        <f t="shared" si="16"/>
        <v>0.94505494505494503</v>
      </c>
      <c r="BG26" s="132">
        <v>173</v>
      </c>
      <c r="BH26" s="133"/>
      <c r="BI26" s="180">
        <f t="shared" si="17"/>
        <v>0.9505494505494505</v>
      </c>
      <c r="BJ26" s="133">
        <v>170</v>
      </c>
      <c r="BK26" s="133"/>
      <c r="BL26" s="180">
        <f t="shared" si="18"/>
        <v>0.93406593406593408</v>
      </c>
      <c r="BM26" s="140">
        <v>165</v>
      </c>
      <c r="BN26" s="141"/>
      <c r="BO26" s="180">
        <f t="shared" si="19"/>
        <v>0.90659340659340659</v>
      </c>
      <c r="BP26" s="278" t="e">
        <f t="shared" si="20"/>
        <v>#VALUE!</v>
      </c>
      <c r="BQ26" s="199">
        <v>200</v>
      </c>
      <c r="BR26" s="200">
        <v>0</v>
      </c>
      <c r="BS26" s="201">
        <v>150</v>
      </c>
      <c r="BT26" s="200">
        <v>0</v>
      </c>
      <c r="BU26" s="201">
        <v>90</v>
      </c>
      <c r="BV26" s="200"/>
      <c r="BW26" s="201">
        <v>150</v>
      </c>
      <c r="BX26" s="200"/>
      <c r="BY26" s="201"/>
      <c r="BZ26" s="200"/>
      <c r="CA26" s="202">
        <f t="shared" si="21"/>
        <v>130</v>
      </c>
      <c r="CB26" s="203">
        <f t="shared" si="22"/>
        <v>0</v>
      </c>
      <c r="CC26" s="202">
        <f t="shared" si="23"/>
        <v>70</v>
      </c>
      <c r="CD26" s="203">
        <f t="shared" si="24"/>
        <v>0</v>
      </c>
      <c r="CE26" s="337"/>
      <c r="CF26" s="329" t="s">
        <v>130</v>
      </c>
      <c r="CG26" s="329"/>
      <c r="CH26" s="285" t="s">
        <v>131</v>
      </c>
      <c r="CI26" s="286">
        <v>0</v>
      </c>
      <c r="CJ26" s="287">
        <v>90</v>
      </c>
      <c r="CK26" s="286"/>
      <c r="CL26" s="287">
        <v>150</v>
      </c>
      <c r="CM26" s="286"/>
      <c r="CN26" s="287">
        <v>80</v>
      </c>
      <c r="CO26" s="286"/>
      <c r="CP26" s="287">
        <v>100</v>
      </c>
      <c r="CQ26" s="286"/>
      <c r="CR26" s="284">
        <f t="shared" si="25"/>
        <v>105</v>
      </c>
      <c r="CS26" s="284">
        <f t="shared" si="26"/>
        <v>0</v>
      </c>
      <c r="CT26" s="321" t="s">
        <v>132</v>
      </c>
      <c r="CU26" s="124">
        <f t="shared" si="27"/>
        <v>105</v>
      </c>
      <c r="CV26" s="125">
        <f t="shared" si="28"/>
        <v>0</v>
      </c>
      <c r="CW26" s="124" t="e">
        <f t="shared" si="29"/>
        <v>#VALUE!</v>
      </c>
      <c r="CX26" s="125">
        <f t="shared" si="30"/>
        <v>0</v>
      </c>
      <c r="CY26" s="314" t="s">
        <v>133</v>
      </c>
      <c r="CZ26" s="140">
        <v>165</v>
      </c>
      <c r="DA26" s="141"/>
      <c r="DB26" s="180">
        <f t="shared" si="31"/>
        <v>0.90659340659340659</v>
      </c>
      <c r="DC26" s="140">
        <v>165</v>
      </c>
      <c r="DD26" s="141"/>
      <c r="DE26" s="180">
        <f t="shared" si="32"/>
        <v>0.90659340659340659</v>
      </c>
      <c r="DF26" s="140">
        <v>148</v>
      </c>
      <c r="DG26" s="141"/>
      <c r="DH26" s="141"/>
      <c r="DI26" s="180">
        <f t="shared" si="33"/>
        <v>0.81318681318681318</v>
      </c>
    </row>
    <row r="27" spans="1:114" x14ac:dyDescent="0.3">
      <c r="A27" s="2" t="s">
        <v>134</v>
      </c>
      <c r="B27" s="301" t="s">
        <v>128</v>
      </c>
      <c r="C27" s="302" t="s">
        <v>135</v>
      </c>
      <c r="D27" s="3">
        <v>286.87096774193498</v>
      </c>
      <c r="E27" s="13">
        <v>22040.12</v>
      </c>
      <c r="F27" s="42">
        <f t="shared" si="34"/>
        <v>76.829384909479501</v>
      </c>
      <c r="G27" s="3">
        <v>285.57142857142901</v>
      </c>
      <c r="H27" s="13">
        <v>22241.31</v>
      </c>
      <c r="I27" s="42">
        <f t="shared" si="35"/>
        <v>77.883526763381582</v>
      </c>
      <c r="J27" s="3">
        <v>282.93548387096803</v>
      </c>
      <c r="K27" s="13">
        <v>22001.96</v>
      </c>
      <c r="L27" s="42">
        <f t="shared" si="36"/>
        <v>77.763169535970732</v>
      </c>
      <c r="M27" s="18">
        <v>282.2</v>
      </c>
      <c r="N27" s="13">
        <v>21839.79</v>
      </c>
      <c r="O27" s="43">
        <f t="shared" si="3"/>
        <v>77.391176470588235</v>
      </c>
      <c r="P27" s="3">
        <v>281.322580645161</v>
      </c>
      <c r="Q27" s="13">
        <v>23359.8</v>
      </c>
      <c r="R27" s="42">
        <f t="shared" si="4"/>
        <v>83.035638114895164</v>
      </c>
      <c r="S27" s="3">
        <v>280.36666666666702</v>
      </c>
      <c r="T27" s="13">
        <v>21626.53</v>
      </c>
      <c r="U27" s="42">
        <f t="shared" si="5"/>
        <v>77.136594935203803</v>
      </c>
      <c r="V27" s="3">
        <v>277.74193548387098</v>
      </c>
      <c r="W27" s="13">
        <v>21738.3</v>
      </c>
      <c r="X27" s="42">
        <f t="shared" si="6"/>
        <v>78.267979094076651</v>
      </c>
      <c r="Y27" s="3">
        <v>273.93548387096803</v>
      </c>
      <c r="Z27" s="13">
        <v>21612.43</v>
      </c>
      <c r="AA27" s="191">
        <f t="shared" si="7"/>
        <v>78.896058643429029</v>
      </c>
      <c r="AB27" s="29"/>
      <c r="AC27" s="175"/>
      <c r="AD27" s="192">
        <v>296</v>
      </c>
      <c r="AE27" s="193">
        <v>0</v>
      </c>
      <c r="AF27" s="309">
        <v>0</v>
      </c>
      <c r="AG27" s="2">
        <v>147</v>
      </c>
      <c r="AH27" s="179">
        <f t="shared" si="8"/>
        <v>0.4966216216216216</v>
      </c>
      <c r="AI27" s="192">
        <f>AD27-119</f>
        <v>177</v>
      </c>
      <c r="AJ27" s="193"/>
      <c r="AK27" s="180">
        <f t="shared" si="9"/>
        <v>0.59797297297297303</v>
      </c>
      <c r="AL27" s="196">
        <v>209</v>
      </c>
      <c r="AM27" s="12">
        <v>29</v>
      </c>
      <c r="AN27" s="180">
        <f t="shared" si="10"/>
        <v>0.80405405405405406</v>
      </c>
      <c r="AO27" s="193">
        <f>166+45</f>
        <v>211</v>
      </c>
      <c r="AP27" s="215">
        <v>32</v>
      </c>
      <c r="AQ27" s="180">
        <f t="shared" si="11"/>
        <v>0.82094594594594594</v>
      </c>
      <c r="AR27" s="193">
        <v>212</v>
      </c>
      <c r="AS27" s="215">
        <v>32</v>
      </c>
      <c r="AT27" s="180">
        <f t="shared" si="12"/>
        <v>0.82432432432432434</v>
      </c>
      <c r="AU27" s="216">
        <f>169+45</f>
        <v>214</v>
      </c>
      <c r="AV27" s="194">
        <v>30</v>
      </c>
      <c r="AW27" s="180">
        <f t="shared" si="13"/>
        <v>0.82432432432432434</v>
      </c>
      <c r="AX27" s="134">
        <f>171+45</f>
        <v>216</v>
      </c>
      <c r="AY27" s="135">
        <v>31</v>
      </c>
      <c r="AZ27" s="180">
        <f t="shared" si="14"/>
        <v>0.83445945945945943</v>
      </c>
      <c r="BA27" s="134">
        <f>175+45</f>
        <v>220</v>
      </c>
      <c r="BB27" s="135">
        <v>31</v>
      </c>
      <c r="BC27" s="180">
        <f t="shared" si="15"/>
        <v>0.84797297297297303</v>
      </c>
      <c r="BD27" s="134">
        <f>173+45</f>
        <v>218</v>
      </c>
      <c r="BE27" s="135">
        <v>31</v>
      </c>
      <c r="BF27" s="180">
        <f t="shared" si="16"/>
        <v>0.84121621621621623</v>
      </c>
      <c r="BG27" s="132">
        <v>216</v>
      </c>
      <c r="BH27" s="133">
        <v>32</v>
      </c>
      <c r="BI27" s="180">
        <f t="shared" si="17"/>
        <v>0.83783783783783783</v>
      </c>
      <c r="BJ27" s="133">
        <v>220</v>
      </c>
      <c r="BK27" s="133">
        <v>31</v>
      </c>
      <c r="BL27" s="180">
        <f t="shared" si="18"/>
        <v>0.84797297297297303</v>
      </c>
      <c r="BM27" s="132">
        <f>185+47</f>
        <v>232</v>
      </c>
      <c r="BN27" s="133">
        <v>31</v>
      </c>
      <c r="BO27" s="180">
        <f t="shared" si="19"/>
        <v>0.88851351351351349</v>
      </c>
      <c r="BP27" s="278">
        <f t="shared" si="20"/>
        <v>0.79729729729729737</v>
      </c>
      <c r="BQ27" s="199">
        <v>90</v>
      </c>
      <c r="BR27" s="200">
        <v>80</v>
      </c>
      <c r="BS27" s="201">
        <v>85</v>
      </c>
      <c r="BT27" s="200">
        <v>75</v>
      </c>
      <c r="BU27" s="201">
        <v>80</v>
      </c>
      <c r="BV27" s="200">
        <v>70</v>
      </c>
      <c r="BW27" s="201"/>
      <c r="BX27" s="200"/>
      <c r="BY27" s="201"/>
      <c r="BZ27" s="200"/>
      <c r="CA27" s="202">
        <f t="shared" si="21"/>
        <v>82.5</v>
      </c>
      <c r="CB27" s="203">
        <f t="shared" si="22"/>
        <v>72.5</v>
      </c>
      <c r="CC27" s="202">
        <f t="shared" si="23"/>
        <v>7.5</v>
      </c>
      <c r="CD27" s="203">
        <f t="shared" si="24"/>
        <v>7.5</v>
      </c>
      <c r="CE27" s="337"/>
      <c r="CF27" s="329"/>
      <c r="CG27" s="329"/>
      <c r="CH27" s="285" t="s">
        <v>136</v>
      </c>
      <c r="CI27" s="286">
        <v>80</v>
      </c>
      <c r="CJ27" s="287"/>
      <c r="CK27" s="286"/>
      <c r="CL27" s="287"/>
      <c r="CM27" s="286"/>
      <c r="CN27" s="287"/>
      <c r="CO27" s="286"/>
      <c r="CP27" s="287"/>
      <c r="CQ27" s="286"/>
      <c r="CR27" s="284">
        <f t="shared" si="25"/>
        <v>0</v>
      </c>
      <c r="CS27" s="284">
        <f t="shared" si="26"/>
        <v>0</v>
      </c>
      <c r="CT27" s="321"/>
      <c r="CU27" s="124">
        <f t="shared" si="27"/>
        <v>0</v>
      </c>
      <c r="CV27" s="125">
        <f t="shared" si="28"/>
        <v>0</v>
      </c>
      <c r="CW27" s="124" t="e">
        <f t="shared" si="29"/>
        <v>#VALUE!</v>
      </c>
      <c r="CX27" s="125">
        <f t="shared" si="30"/>
        <v>80</v>
      </c>
      <c r="CY27" s="314" t="s">
        <v>137</v>
      </c>
      <c r="CZ27" s="132">
        <f>185+47</f>
        <v>232</v>
      </c>
      <c r="DA27" s="133">
        <v>31</v>
      </c>
      <c r="DB27" s="180">
        <f t="shared" si="31"/>
        <v>0.88851351351351349</v>
      </c>
      <c r="DC27" s="132">
        <f>185+47</f>
        <v>232</v>
      </c>
      <c r="DD27" s="133">
        <v>31</v>
      </c>
      <c r="DE27" s="180">
        <f t="shared" si="32"/>
        <v>0.88851351351351349</v>
      </c>
      <c r="DF27" s="132">
        <f>185+45</f>
        <v>230</v>
      </c>
      <c r="DH27" s="133">
        <v>31</v>
      </c>
      <c r="DI27" s="180">
        <f t="shared" si="33"/>
        <v>0.8817567567567568</v>
      </c>
    </row>
    <row r="28" spans="1:114" x14ac:dyDescent="0.3">
      <c r="A28" s="2" t="s">
        <v>138</v>
      </c>
      <c r="B28" s="301" t="s">
        <v>128</v>
      </c>
      <c r="C28" s="302" t="s">
        <v>139</v>
      </c>
      <c r="D28" s="3">
        <v>266.09677419354801</v>
      </c>
      <c r="E28" s="13">
        <v>15975.1</v>
      </c>
      <c r="F28" s="42">
        <f t="shared" si="34"/>
        <v>60.034925445508634</v>
      </c>
      <c r="G28" s="3">
        <v>263.03571428571399</v>
      </c>
      <c r="H28" s="13">
        <v>16067.52</v>
      </c>
      <c r="I28" s="42">
        <f t="shared" si="35"/>
        <v>61.084936863543859</v>
      </c>
      <c r="J28" s="3">
        <v>262.77419354838702</v>
      </c>
      <c r="K28" s="13">
        <v>16226.41</v>
      </c>
      <c r="L28" s="42">
        <f t="shared" si="36"/>
        <v>61.750394058433606</v>
      </c>
      <c r="M28" s="18">
        <v>257.86666666666702</v>
      </c>
      <c r="N28" s="13">
        <v>15524</v>
      </c>
      <c r="O28" s="43">
        <f t="shared" si="3"/>
        <v>60.201654601861343</v>
      </c>
      <c r="P28" s="3">
        <v>259.677419354839</v>
      </c>
      <c r="Q28" s="13">
        <v>15768.79</v>
      </c>
      <c r="R28" s="42">
        <f t="shared" si="4"/>
        <v>60.724532919254592</v>
      </c>
      <c r="S28" s="3">
        <v>262.46666666666698</v>
      </c>
      <c r="T28" s="13">
        <v>15819.75</v>
      </c>
      <c r="U28" s="42">
        <f t="shared" si="5"/>
        <v>60.273368046736024</v>
      </c>
      <c r="V28" s="3">
        <v>262.48387096774201</v>
      </c>
      <c r="W28" s="13">
        <v>15788.32</v>
      </c>
      <c r="X28" s="42">
        <f t="shared" si="6"/>
        <v>60.149676785055902</v>
      </c>
      <c r="Y28" s="3">
        <v>263.87096774193498</v>
      </c>
      <c r="Z28" s="13">
        <v>15767.06</v>
      </c>
      <c r="AA28" s="191">
        <f t="shared" si="7"/>
        <v>59.75291687041576</v>
      </c>
      <c r="AB28" s="29"/>
      <c r="AC28" s="175"/>
      <c r="AD28" s="192">
        <v>352</v>
      </c>
      <c r="AE28" s="193">
        <v>0</v>
      </c>
      <c r="AF28" s="309">
        <v>0</v>
      </c>
      <c r="AG28" s="2">
        <v>265</v>
      </c>
      <c r="AH28" s="179">
        <f t="shared" si="8"/>
        <v>0.75284090909090906</v>
      </c>
      <c r="AI28" s="192">
        <f>AD28-48-47</f>
        <v>257</v>
      </c>
      <c r="AJ28" s="193"/>
      <c r="AK28" s="180">
        <f t="shared" si="9"/>
        <v>0.73011363636363635</v>
      </c>
      <c r="AL28" s="196">
        <v>168</v>
      </c>
      <c r="AM28" s="12">
        <v>0</v>
      </c>
      <c r="AN28" s="180">
        <f t="shared" si="10"/>
        <v>0.47727272727272729</v>
      </c>
      <c r="AO28" s="213" t="s">
        <v>90</v>
      </c>
      <c r="AP28" s="213" t="s">
        <v>90</v>
      </c>
      <c r="AQ28" s="180" t="e">
        <f t="shared" si="11"/>
        <v>#VALUE!</v>
      </c>
      <c r="AR28" s="213" t="s">
        <v>90</v>
      </c>
      <c r="AS28" s="213" t="s">
        <v>90</v>
      </c>
      <c r="AT28" s="180" t="e">
        <f t="shared" si="12"/>
        <v>#VALUE!</v>
      </c>
      <c r="AU28" s="214"/>
      <c r="AV28" s="213"/>
      <c r="AW28" s="180">
        <f t="shared" si="13"/>
        <v>0</v>
      </c>
      <c r="AX28" s="134">
        <v>161</v>
      </c>
      <c r="AY28" s="135">
        <v>68</v>
      </c>
      <c r="AZ28" s="180">
        <f t="shared" si="14"/>
        <v>0.65056818181818177</v>
      </c>
      <c r="BA28" s="134">
        <v>161</v>
      </c>
      <c r="BB28" s="135">
        <v>68</v>
      </c>
      <c r="BC28" s="180">
        <f t="shared" si="15"/>
        <v>0.65056818181818177</v>
      </c>
      <c r="BD28" s="134">
        <v>161</v>
      </c>
      <c r="BE28" s="135">
        <v>68</v>
      </c>
      <c r="BF28" s="180">
        <f t="shared" si="16"/>
        <v>0.65056818181818177</v>
      </c>
      <c r="BG28" s="132">
        <v>153</v>
      </c>
      <c r="BH28" s="133">
        <v>67</v>
      </c>
      <c r="BI28" s="180">
        <f t="shared" si="17"/>
        <v>0.625</v>
      </c>
      <c r="BJ28" s="132">
        <v>153</v>
      </c>
      <c r="BK28" s="133">
        <v>67</v>
      </c>
      <c r="BL28" s="180">
        <f t="shared" si="18"/>
        <v>0.625</v>
      </c>
      <c r="BM28" s="132">
        <v>152</v>
      </c>
      <c r="BN28" s="133">
        <v>68</v>
      </c>
      <c r="BO28" s="180">
        <f t="shared" si="19"/>
        <v>0.625</v>
      </c>
      <c r="BP28" s="278" t="e">
        <f>AVERAGE(BO28,BL28,BI28,BF28,BC28,AZ28,AW28,AT28,AQ28,AN28,AK28,AK28)</f>
        <v>#VALUE!</v>
      </c>
      <c r="BQ28" s="199">
        <v>90</v>
      </c>
      <c r="BR28" s="200">
        <v>80</v>
      </c>
      <c r="BS28" s="201">
        <v>75</v>
      </c>
      <c r="BT28" s="200">
        <v>0</v>
      </c>
      <c r="BU28" s="201">
        <v>80</v>
      </c>
      <c r="BV28" s="200"/>
      <c r="BW28" s="201"/>
      <c r="BX28" s="200"/>
      <c r="BY28" s="201"/>
      <c r="BZ28" s="200"/>
      <c r="CA28" s="202">
        <f t="shared" si="21"/>
        <v>77.5</v>
      </c>
      <c r="CB28" s="203">
        <f t="shared" si="22"/>
        <v>0</v>
      </c>
      <c r="CC28" s="202">
        <f t="shared" si="23"/>
        <v>12.5</v>
      </c>
      <c r="CD28" s="203">
        <f t="shared" si="24"/>
        <v>80</v>
      </c>
      <c r="CE28" s="337"/>
      <c r="CF28" s="329"/>
      <c r="CG28" s="329"/>
      <c r="CH28" s="285">
        <v>90</v>
      </c>
      <c r="CI28" s="286">
        <v>80</v>
      </c>
      <c r="CJ28" s="287">
        <v>80</v>
      </c>
      <c r="CK28" s="286">
        <v>80</v>
      </c>
      <c r="CL28" s="287">
        <v>90</v>
      </c>
      <c r="CM28" s="286">
        <v>90</v>
      </c>
      <c r="CN28" s="287">
        <v>100</v>
      </c>
      <c r="CO28" s="286">
        <v>85</v>
      </c>
      <c r="CP28" s="287">
        <v>90</v>
      </c>
      <c r="CQ28" s="286">
        <v>75</v>
      </c>
      <c r="CR28" s="284">
        <f t="shared" si="25"/>
        <v>90</v>
      </c>
      <c r="CS28" s="284">
        <f t="shared" si="26"/>
        <v>82.5</v>
      </c>
      <c r="CT28" s="321" t="s">
        <v>140</v>
      </c>
      <c r="CU28" s="124">
        <f t="shared" si="27"/>
        <v>90</v>
      </c>
      <c r="CV28" s="125">
        <f t="shared" si="28"/>
        <v>82.5</v>
      </c>
      <c r="CW28" s="124">
        <f t="shared" si="29"/>
        <v>0</v>
      </c>
      <c r="CX28" s="125">
        <f t="shared" si="30"/>
        <v>-2.5</v>
      </c>
      <c r="CY28" s="314"/>
      <c r="CZ28" s="132">
        <v>152</v>
      </c>
      <c r="DA28" s="133">
        <v>68</v>
      </c>
      <c r="DB28" s="180">
        <f t="shared" si="31"/>
        <v>0.625</v>
      </c>
      <c r="DC28" s="132">
        <v>152</v>
      </c>
      <c r="DD28" s="133">
        <v>68</v>
      </c>
      <c r="DE28" s="180">
        <f t="shared" si="32"/>
        <v>0.625</v>
      </c>
      <c r="DF28" s="132">
        <v>157</v>
      </c>
      <c r="DH28" s="133">
        <v>65</v>
      </c>
      <c r="DI28" s="180">
        <f t="shared" si="33"/>
        <v>0.63068181818181823</v>
      </c>
    </row>
    <row r="29" spans="1:114" x14ac:dyDescent="0.3">
      <c r="A29" s="2" t="s">
        <v>141</v>
      </c>
      <c r="B29" s="301" t="s">
        <v>128</v>
      </c>
      <c r="C29" s="302" t="s">
        <v>142</v>
      </c>
      <c r="D29" s="3">
        <v>406.83870967741899</v>
      </c>
      <c r="E29" s="13">
        <v>37817.06</v>
      </c>
      <c r="F29" s="42">
        <f t="shared" si="34"/>
        <v>92.953445924516416</v>
      </c>
      <c r="G29" s="3">
        <v>409.28571428571399</v>
      </c>
      <c r="H29" s="13">
        <v>37131.230000000003</v>
      </c>
      <c r="I29" s="42">
        <f t="shared" si="35"/>
        <v>90.722027923211243</v>
      </c>
      <c r="J29" s="3">
        <v>405.70967741935499</v>
      </c>
      <c r="K29" s="13">
        <v>36500.379999999997</v>
      </c>
      <c r="L29" s="42">
        <f t="shared" si="36"/>
        <v>89.966747237019916</v>
      </c>
      <c r="M29" s="18">
        <v>407</v>
      </c>
      <c r="N29" s="13">
        <v>36726.089999999997</v>
      </c>
      <c r="O29" s="43">
        <f t="shared" si="3"/>
        <v>90.236093366093357</v>
      </c>
      <c r="P29" s="3">
        <v>411.06451612903197</v>
      </c>
      <c r="Q29" s="13">
        <v>37079.300000000003</v>
      </c>
      <c r="R29" s="42">
        <f t="shared" si="4"/>
        <v>90.203115435925682</v>
      </c>
      <c r="S29" s="3">
        <v>409.9</v>
      </c>
      <c r="T29" s="13">
        <v>37357.440000000002</v>
      </c>
      <c r="U29" s="42">
        <f t="shared" si="5"/>
        <v>91.137936081971219</v>
      </c>
      <c r="V29" s="3">
        <v>406.12903225806502</v>
      </c>
      <c r="W29" s="13">
        <v>37386.160000000003</v>
      </c>
      <c r="X29" s="42">
        <f t="shared" si="6"/>
        <v>92.05488165210474</v>
      </c>
      <c r="Y29" s="3">
        <v>405.83870967741899</v>
      </c>
      <c r="Z29" s="13">
        <v>38657.43</v>
      </c>
      <c r="AA29" s="191">
        <f t="shared" si="7"/>
        <v>95.253185756299274</v>
      </c>
      <c r="AB29" s="29"/>
      <c r="AC29" s="175"/>
      <c r="AD29" s="192">
        <v>530</v>
      </c>
      <c r="AE29" s="193">
        <v>0</v>
      </c>
      <c r="AF29" s="309">
        <v>0</v>
      </c>
      <c r="AG29" s="2">
        <v>443</v>
      </c>
      <c r="AH29" s="179">
        <f t="shared" si="8"/>
        <v>0.83584905660377362</v>
      </c>
      <c r="AI29" s="192"/>
      <c r="AJ29" s="193"/>
      <c r="AK29" s="180">
        <f t="shared" si="9"/>
        <v>0</v>
      </c>
      <c r="AL29" s="196">
        <v>398</v>
      </c>
      <c r="AM29" s="12">
        <v>0</v>
      </c>
      <c r="AN29" s="180">
        <f t="shared" si="10"/>
        <v>0.75094339622641515</v>
      </c>
      <c r="AO29" s="193">
        <v>402</v>
      </c>
      <c r="AP29" s="215"/>
      <c r="AQ29" s="180">
        <f t="shared" si="11"/>
        <v>0.7584905660377359</v>
      </c>
      <c r="AR29" s="193">
        <v>390</v>
      </c>
      <c r="AS29" s="215"/>
      <c r="AT29" s="180">
        <f t="shared" si="12"/>
        <v>0.73584905660377353</v>
      </c>
      <c r="AU29" s="216">
        <f>347+31</f>
        <v>378</v>
      </c>
      <c r="AV29" s="194"/>
      <c r="AW29" s="180">
        <f t="shared" si="13"/>
        <v>0.71320754716981127</v>
      </c>
      <c r="AX29" s="134">
        <v>396</v>
      </c>
      <c r="AY29" s="135"/>
      <c r="AZ29" s="180">
        <f t="shared" si="14"/>
        <v>0.74716981132075466</v>
      </c>
      <c r="BA29" s="134">
        <f>363+33</f>
        <v>396</v>
      </c>
      <c r="BB29" s="135"/>
      <c r="BC29" s="180">
        <f t="shared" si="15"/>
        <v>0.74716981132075466</v>
      </c>
      <c r="BD29" s="134">
        <f>363+33</f>
        <v>396</v>
      </c>
      <c r="BE29" s="135"/>
      <c r="BF29" s="180">
        <f t="shared" si="16"/>
        <v>0.74716981132075466</v>
      </c>
      <c r="BG29" s="132">
        <f>369+35</f>
        <v>404</v>
      </c>
      <c r="BH29" s="133"/>
      <c r="BI29" s="180">
        <f t="shared" si="17"/>
        <v>0.76226415094339628</v>
      </c>
      <c r="BJ29" s="133">
        <v>404</v>
      </c>
      <c r="BK29" s="133"/>
      <c r="BL29" s="180">
        <f t="shared" si="18"/>
        <v>0.76226415094339628</v>
      </c>
      <c r="BM29" s="132">
        <f>369+35</f>
        <v>404</v>
      </c>
      <c r="BN29" s="133"/>
      <c r="BO29" s="180">
        <f t="shared" si="19"/>
        <v>0.76226415094339628</v>
      </c>
      <c r="BP29" s="278">
        <f t="shared" si="20"/>
        <v>0.62389937106918236</v>
      </c>
      <c r="BQ29" s="199">
        <v>125</v>
      </c>
      <c r="BR29" s="200">
        <v>200</v>
      </c>
      <c r="BS29" s="201">
        <v>110</v>
      </c>
      <c r="BT29" s="200">
        <v>0</v>
      </c>
      <c r="BU29" s="201">
        <v>80</v>
      </c>
      <c r="BV29" s="200"/>
      <c r="BW29" s="201">
        <v>140</v>
      </c>
      <c r="BX29" s="200"/>
      <c r="BY29" s="201">
        <v>125</v>
      </c>
      <c r="BZ29" s="200"/>
      <c r="CA29" s="202">
        <f t="shared" si="21"/>
        <v>113.75</v>
      </c>
      <c r="CB29" s="203">
        <f t="shared" si="22"/>
        <v>0</v>
      </c>
      <c r="CC29" s="202">
        <f t="shared" si="23"/>
        <v>11.25</v>
      </c>
      <c r="CD29" s="203">
        <f t="shared" si="24"/>
        <v>200</v>
      </c>
      <c r="CE29" s="337"/>
      <c r="CF29" s="329" t="s">
        <v>143</v>
      </c>
      <c r="CG29" s="329"/>
      <c r="CH29" s="285">
        <v>125</v>
      </c>
      <c r="CI29" s="286">
        <v>200</v>
      </c>
      <c r="CJ29" s="287">
        <v>100</v>
      </c>
      <c r="CK29" s="286"/>
      <c r="CL29" s="287">
        <v>110</v>
      </c>
      <c r="CM29" s="286"/>
      <c r="CN29" s="287">
        <v>100</v>
      </c>
      <c r="CO29" s="286"/>
      <c r="CP29" s="287">
        <v>200</v>
      </c>
      <c r="CQ29" s="286"/>
      <c r="CR29" s="284">
        <f t="shared" si="25"/>
        <v>127.5</v>
      </c>
      <c r="CS29" s="284">
        <f t="shared" si="26"/>
        <v>0</v>
      </c>
      <c r="CT29" s="321" t="s">
        <v>144</v>
      </c>
      <c r="CU29" s="124">
        <f t="shared" si="27"/>
        <v>127.5</v>
      </c>
      <c r="CV29" s="125">
        <f t="shared" si="28"/>
        <v>0</v>
      </c>
      <c r="CW29" s="124">
        <f t="shared" si="29"/>
        <v>-2.5</v>
      </c>
      <c r="CX29" s="125">
        <f t="shared" si="30"/>
        <v>200</v>
      </c>
      <c r="CY29" s="315" t="s">
        <v>145</v>
      </c>
      <c r="CZ29" s="132">
        <f>369+35</f>
        <v>404</v>
      </c>
      <c r="DA29" s="133"/>
      <c r="DB29" s="180">
        <f t="shared" si="31"/>
        <v>0.76226415094339628</v>
      </c>
      <c r="DC29" s="132">
        <f>369+35</f>
        <v>404</v>
      </c>
      <c r="DD29" s="133"/>
      <c r="DE29" s="180">
        <f t="shared" si="32"/>
        <v>0.76226415094339628</v>
      </c>
      <c r="DF29" s="132"/>
      <c r="DG29" s="133"/>
      <c r="DH29" s="133"/>
      <c r="DI29" s="180">
        <f t="shared" si="33"/>
        <v>0</v>
      </c>
    </row>
    <row r="30" spans="1:114" x14ac:dyDescent="0.3">
      <c r="A30" s="2" t="s">
        <v>146</v>
      </c>
      <c r="B30" s="301" t="s">
        <v>128</v>
      </c>
      <c r="C30" s="302" t="s">
        <v>147</v>
      </c>
      <c r="D30" s="3">
        <v>103</v>
      </c>
      <c r="E30" s="13">
        <v>8462.2800000000007</v>
      </c>
      <c r="F30" s="42">
        <f t="shared" si="34"/>
        <v>82.158058252427196</v>
      </c>
      <c r="G30" s="3">
        <v>103</v>
      </c>
      <c r="H30" s="13">
        <v>8291.3799999999992</v>
      </c>
      <c r="I30" s="42">
        <f t="shared" si="35"/>
        <v>80.498834951456303</v>
      </c>
      <c r="J30" s="3">
        <v>103</v>
      </c>
      <c r="K30" s="13">
        <v>8291.3799999999992</v>
      </c>
      <c r="L30" s="42">
        <f t="shared" si="36"/>
        <v>80.498834951456303</v>
      </c>
      <c r="M30" s="18">
        <v>104.533333333333</v>
      </c>
      <c r="N30" s="13">
        <v>8381.3799999999992</v>
      </c>
      <c r="O30" s="43">
        <f t="shared" si="3"/>
        <v>80.179017857143108</v>
      </c>
      <c r="P30" s="3">
        <v>104.935483870968</v>
      </c>
      <c r="Q30" s="13">
        <v>8561.3799999999992</v>
      </c>
      <c r="R30" s="42">
        <f t="shared" si="4"/>
        <v>81.587082692898662</v>
      </c>
      <c r="S30" s="3">
        <v>103.966666666667</v>
      </c>
      <c r="T30" s="13">
        <v>8539.19</v>
      </c>
      <c r="U30" s="42">
        <f t="shared" si="5"/>
        <v>82.133921128566598</v>
      </c>
      <c r="V30" s="3">
        <v>102.225806451613</v>
      </c>
      <c r="W30" s="13">
        <v>8628.91</v>
      </c>
      <c r="X30" s="42">
        <f t="shared" si="6"/>
        <v>84.410290312401315</v>
      </c>
      <c r="Y30" s="3">
        <v>100</v>
      </c>
      <c r="Z30" s="13">
        <v>7775.55</v>
      </c>
      <c r="AA30" s="191">
        <f t="shared" si="7"/>
        <v>77.755499999999998</v>
      </c>
      <c r="AB30" s="29"/>
      <c r="AC30" s="175"/>
      <c r="AD30" s="192">
        <v>90</v>
      </c>
      <c r="AE30" s="193">
        <v>56</v>
      </c>
      <c r="AF30" s="309">
        <v>0</v>
      </c>
      <c r="AG30" s="2">
        <v>141</v>
      </c>
      <c r="AH30" s="179">
        <f t="shared" si="8"/>
        <v>0.96575342465753422</v>
      </c>
      <c r="AI30" s="192">
        <f>AD30-16</f>
        <v>74</v>
      </c>
      <c r="AJ30" s="193">
        <f>AE30-13</f>
        <v>43</v>
      </c>
      <c r="AK30" s="180">
        <f t="shared" si="9"/>
        <v>0.80136986301369861</v>
      </c>
      <c r="AL30" s="196">
        <v>85</v>
      </c>
      <c r="AM30" s="12">
        <v>51</v>
      </c>
      <c r="AN30" s="180">
        <f t="shared" si="10"/>
        <v>0.93150684931506844</v>
      </c>
      <c r="AO30" s="193">
        <v>82</v>
      </c>
      <c r="AP30" s="215">
        <v>45</v>
      </c>
      <c r="AQ30" s="180">
        <f t="shared" si="11"/>
        <v>0.86986301369863017</v>
      </c>
      <c r="AR30" s="193">
        <v>82</v>
      </c>
      <c r="AS30" s="215">
        <v>45</v>
      </c>
      <c r="AT30" s="180">
        <f t="shared" si="12"/>
        <v>0.86986301369863017</v>
      </c>
      <c r="AU30" s="216">
        <v>81</v>
      </c>
      <c r="AV30" s="194">
        <v>50</v>
      </c>
      <c r="AW30" s="180">
        <f t="shared" si="13"/>
        <v>0.89726027397260277</v>
      </c>
      <c r="AX30" s="134">
        <v>82</v>
      </c>
      <c r="AY30" s="135">
        <v>40</v>
      </c>
      <c r="AZ30" s="180">
        <f t="shared" si="14"/>
        <v>0.83561643835616439</v>
      </c>
      <c r="BA30" s="134">
        <v>81</v>
      </c>
      <c r="BB30" s="135">
        <v>52</v>
      </c>
      <c r="BC30" s="180">
        <f t="shared" si="15"/>
        <v>0.91095890410958902</v>
      </c>
      <c r="BD30" s="134">
        <v>81</v>
      </c>
      <c r="BE30" s="135">
        <v>52</v>
      </c>
      <c r="BF30" s="180">
        <f t="shared" si="16"/>
        <v>0.91095890410958902</v>
      </c>
      <c r="BG30" s="132">
        <v>80</v>
      </c>
      <c r="BH30" s="133">
        <v>52</v>
      </c>
      <c r="BI30" s="180">
        <f t="shared" si="17"/>
        <v>0.90410958904109584</v>
      </c>
      <c r="BJ30" s="132">
        <v>80</v>
      </c>
      <c r="BK30" s="133">
        <v>52</v>
      </c>
      <c r="BL30" s="180">
        <f t="shared" si="18"/>
        <v>0.90410958904109584</v>
      </c>
      <c r="BM30" s="132">
        <v>79</v>
      </c>
      <c r="BN30" s="133">
        <v>51</v>
      </c>
      <c r="BO30" s="180">
        <f t="shared" si="19"/>
        <v>0.8904109589041096</v>
      </c>
      <c r="BP30" s="278">
        <f t="shared" si="20"/>
        <v>0.87728310502283113</v>
      </c>
      <c r="BQ30" s="199">
        <v>120</v>
      </c>
      <c r="BR30" s="200">
        <v>90</v>
      </c>
      <c r="BS30" s="201">
        <v>120</v>
      </c>
      <c r="BT30" s="200">
        <v>0</v>
      </c>
      <c r="BU30" s="201">
        <v>135</v>
      </c>
      <c r="BV30" s="200">
        <v>85</v>
      </c>
      <c r="BW30" s="201">
        <v>110</v>
      </c>
      <c r="BX30" s="200"/>
      <c r="BY30" s="201">
        <v>135</v>
      </c>
      <c r="BZ30" s="200">
        <v>110</v>
      </c>
      <c r="CA30" s="202">
        <f t="shared" si="21"/>
        <v>125</v>
      </c>
      <c r="CB30" s="203">
        <f t="shared" si="22"/>
        <v>65</v>
      </c>
      <c r="CC30" s="202">
        <f t="shared" si="23"/>
        <v>-5</v>
      </c>
      <c r="CD30" s="203">
        <f t="shared" si="24"/>
        <v>25</v>
      </c>
      <c r="CE30" s="337"/>
      <c r="CF30" s="329"/>
      <c r="CG30" s="329"/>
      <c r="CH30" s="285">
        <v>120</v>
      </c>
      <c r="CI30" s="286">
        <v>90</v>
      </c>
      <c r="CJ30" s="287"/>
      <c r="CK30" s="286"/>
      <c r="CL30" s="287">
        <v>80</v>
      </c>
      <c r="CM30" s="286">
        <v>90</v>
      </c>
      <c r="CN30" s="287">
        <v>140</v>
      </c>
      <c r="CO30" s="286"/>
      <c r="CP30" s="287">
        <v>100</v>
      </c>
      <c r="CQ30" s="286">
        <v>150</v>
      </c>
      <c r="CR30" s="284">
        <f t="shared" si="25"/>
        <v>106.66666666666667</v>
      </c>
      <c r="CS30" s="284">
        <f t="shared" si="26"/>
        <v>120</v>
      </c>
      <c r="CT30" s="321" t="s">
        <v>148</v>
      </c>
      <c r="CU30" s="124">
        <f t="shared" si="27"/>
        <v>106.66666666666667</v>
      </c>
      <c r="CV30" s="125">
        <f t="shared" si="28"/>
        <v>120</v>
      </c>
      <c r="CW30" s="124">
        <f t="shared" si="29"/>
        <v>13.333333333333329</v>
      </c>
      <c r="CX30" s="125">
        <f t="shared" si="30"/>
        <v>-30</v>
      </c>
      <c r="CY30" s="314" t="s">
        <v>149</v>
      </c>
      <c r="CZ30" s="132">
        <v>79</v>
      </c>
      <c r="DA30" s="133">
        <v>51</v>
      </c>
      <c r="DB30" s="180">
        <f t="shared" si="31"/>
        <v>0.8904109589041096</v>
      </c>
      <c r="DC30" s="132">
        <v>79</v>
      </c>
      <c r="DD30" s="133">
        <v>51</v>
      </c>
      <c r="DE30" s="180">
        <f t="shared" si="32"/>
        <v>0.8904109589041096</v>
      </c>
      <c r="DF30" s="132">
        <v>80</v>
      </c>
      <c r="DH30" s="133">
        <v>50</v>
      </c>
      <c r="DI30" s="180">
        <f t="shared" si="33"/>
        <v>0.8904109589041096</v>
      </c>
    </row>
    <row r="31" spans="1:114" x14ac:dyDescent="0.3">
      <c r="A31" s="2" t="s">
        <v>150</v>
      </c>
      <c r="B31" s="301" t="s">
        <v>128</v>
      </c>
      <c r="C31" s="302" t="s">
        <v>151</v>
      </c>
      <c r="D31" s="3">
        <v>290.322580645161</v>
      </c>
      <c r="E31" s="13">
        <v>20454.82</v>
      </c>
      <c r="F31" s="42">
        <f t="shared" si="34"/>
        <v>70.455491111111186</v>
      </c>
      <c r="G31" s="3">
        <v>287.57142857142901</v>
      </c>
      <c r="H31" s="13">
        <v>19788.169999999998</v>
      </c>
      <c r="I31" s="42">
        <f t="shared" si="35"/>
        <v>68.811321410829493</v>
      </c>
      <c r="J31" s="3">
        <v>288.03225806451599</v>
      </c>
      <c r="K31" s="13">
        <v>21109.16</v>
      </c>
      <c r="L31" s="42">
        <f t="shared" si="36"/>
        <v>73.287485720685439</v>
      </c>
      <c r="M31" s="18">
        <v>286.63333333333298</v>
      </c>
      <c r="N31" s="13">
        <v>20016.62</v>
      </c>
      <c r="O31" s="43">
        <f t="shared" si="3"/>
        <v>69.83353878357957</v>
      </c>
      <c r="P31" s="3">
        <v>286.61290322580601</v>
      </c>
      <c r="Q31" s="13">
        <v>20564.97</v>
      </c>
      <c r="R31" s="42">
        <f t="shared" si="4"/>
        <v>71.751724254361392</v>
      </c>
      <c r="S31" s="3">
        <v>284.2</v>
      </c>
      <c r="T31" s="13">
        <v>19835.87</v>
      </c>
      <c r="U31" s="42">
        <f t="shared" si="5"/>
        <v>69.795460942997892</v>
      </c>
      <c r="V31" s="3">
        <v>281.12903225806502</v>
      </c>
      <c r="W31" s="13">
        <v>19244.86</v>
      </c>
      <c r="X31" s="42">
        <f t="shared" si="6"/>
        <v>68.455612162937342</v>
      </c>
      <c r="Y31" s="3">
        <v>282.16129032258101</v>
      </c>
      <c r="Z31" s="13">
        <v>19509.79</v>
      </c>
      <c r="AA31" s="191">
        <f t="shared" si="7"/>
        <v>69.144105407568219</v>
      </c>
      <c r="AB31" s="29"/>
      <c r="AC31" s="175"/>
      <c r="AD31" s="192">
        <v>462</v>
      </c>
      <c r="AE31" s="193">
        <v>59</v>
      </c>
      <c r="AF31" s="309">
        <v>0</v>
      </c>
      <c r="AG31" s="2">
        <v>281</v>
      </c>
      <c r="AH31" s="179">
        <f t="shared" si="8"/>
        <v>0.53934740882917465</v>
      </c>
      <c r="AI31" s="192">
        <v>201</v>
      </c>
      <c r="AJ31" s="193">
        <f>AE31-53</f>
        <v>6</v>
      </c>
      <c r="AK31" s="180">
        <f t="shared" si="9"/>
        <v>0.39731285988483683</v>
      </c>
      <c r="AL31" s="196">
        <v>223</v>
      </c>
      <c r="AM31" s="12">
        <v>6</v>
      </c>
      <c r="AN31" s="180">
        <f t="shared" si="10"/>
        <v>0.43953934740882916</v>
      </c>
      <c r="AO31" s="193">
        <v>256</v>
      </c>
      <c r="AP31" s="215">
        <v>6</v>
      </c>
      <c r="AQ31" s="180">
        <f t="shared" si="11"/>
        <v>0.50287907869481763</v>
      </c>
      <c r="AR31" s="193">
        <v>256</v>
      </c>
      <c r="AS31" s="215">
        <v>6</v>
      </c>
      <c r="AT31" s="180">
        <f t="shared" si="12"/>
        <v>0.50287907869481763</v>
      </c>
      <c r="AU31" s="216">
        <v>258</v>
      </c>
      <c r="AV31" s="194">
        <v>10</v>
      </c>
      <c r="AW31" s="180">
        <f t="shared" si="13"/>
        <v>0.51439539347408825</v>
      </c>
      <c r="AX31" s="134">
        <v>263</v>
      </c>
      <c r="AY31" s="135">
        <v>14</v>
      </c>
      <c r="AZ31" s="180">
        <f t="shared" si="14"/>
        <v>0.53166986564299423</v>
      </c>
      <c r="BA31" s="134">
        <v>255</v>
      </c>
      <c r="BB31" s="135">
        <v>14</v>
      </c>
      <c r="BC31" s="180">
        <f t="shared" si="15"/>
        <v>0.51631477927063341</v>
      </c>
      <c r="BD31" s="134">
        <v>255</v>
      </c>
      <c r="BE31" s="135">
        <v>14</v>
      </c>
      <c r="BF31" s="180">
        <f t="shared" si="16"/>
        <v>0.51631477927063341</v>
      </c>
      <c r="BG31" s="132">
        <v>254</v>
      </c>
      <c r="BH31" s="133">
        <v>14</v>
      </c>
      <c r="BI31" s="180">
        <f t="shared" si="17"/>
        <v>0.51439539347408825</v>
      </c>
      <c r="BJ31" s="133">
        <v>255</v>
      </c>
      <c r="BK31" s="133">
        <v>14</v>
      </c>
      <c r="BL31" s="180">
        <f t="shared" si="18"/>
        <v>0.51631477927063341</v>
      </c>
      <c r="BM31" s="132">
        <v>257</v>
      </c>
      <c r="BN31" s="133">
        <v>13</v>
      </c>
      <c r="BO31" s="180">
        <f t="shared" si="19"/>
        <v>0.51823416506717845</v>
      </c>
      <c r="BP31" s="278">
        <f t="shared" si="20"/>
        <v>0.48896353166986567</v>
      </c>
      <c r="BQ31" s="199">
        <v>90</v>
      </c>
      <c r="BR31" s="200">
        <v>90</v>
      </c>
      <c r="BS31" s="201">
        <v>85</v>
      </c>
      <c r="BT31" s="200">
        <v>0</v>
      </c>
      <c r="BU31" s="201">
        <v>85</v>
      </c>
      <c r="BV31" s="200"/>
      <c r="BW31" s="201">
        <v>85</v>
      </c>
      <c r="BX31" s="200"/>
      <c r="BY31" s="201"/>
      <c r="BZ31" s="200"/>
      <c r="CA31" s="202">
        <f t="shared" si="21"/>
        <v>85</v>
      </c>
      <c r="CB31" s="203">
        <f t="shared" si="22"/>
        <v>0</v>
      </c>
      <c r="CC31" s="202">
        <f t="shared" si="23"/>
        <v>5</v>
      </c>
      <c r="CD31" s="203">
        <f t="shared" si="24"/>
        <v>90</v>
      </c>
      <c r="CE31" s="337"/>
      <c r="CF31" s="329" t="s">
        <v>152</v>
      </c>
      <c r="CG31" s="329"/>
      <c r="CH31" s="285">
        <v>100</v>
      </c>
      <c r="CI31" s="286">
        <v>90</v>
      </c>
      <c r="CJ31" s="287">
        <v>85</v>
      </c>
      <c r="CK31" s="286"/>
      <c r="CL31" s="287">
        <v>85</v>
      </c>
      <c r="CM31" s="286"/>
      <c r="CN31" s="287">
        <v>95</v>
      </c>
      <c r="CO31" s="286">
        <v>85</v>
      </c>
      <c r="CP31" s="287">
        <v>85</v>
      </c>
      <c r="CQ31" s="286"/>
      <c r="CR31" s="284">
        <f t="shared" si="25"/>
        <v>87.5</v>
      </c>
      <c r="CS31" s="284">
        <f t="shared" si="26"/>
        <v>85</v>
      </c>
      <c r="CT31" s="321"/>
      <c r="CU31" s="124">
        <f t="shared" si="27"/>
        <v>87.5</v>
      </c>
      <c r="CV31" s="125">
        <f t="shared" si="28"/>
        <v>85</v>
      </c>
      <c r="CW31" s="124">
        <f t="shared" si="29"/>
        <v>12.5</v>
      </c>
      <c r="CX31" s="125">
        <f t="shared" si="30"/>
        <v>5</v>
      </c>
      <c r="CY31" s="314" t="s">
        <v>153</v>
      </c>
      <c r="CZ31" s="132">
        <v>257</v>
      </c>
      <c r="DA31" s="133">
        <v>13</v>
      </c>
      <c r="DB31" s="180">
        <f t="shared" si="31"/>
        <v>0.51823416506717845</v>
      </c>
      <c r="DC31" s="132">
        <v>257</v>
      </c>
      <c r="DD31" s="133">
        <v>13</v>
      </c>
      <c r="DE31" s="180">
        <f t="shared" si="32"/>
        <v>0.51823416506717845</v>
      </c>
      <c r="DF31" s="132">
        <v>260</v>
      </c>
      <c r="DH31" s="133">
        <v>10</v>
      </c>
      <c r="DI31" s="180">
        <f t="shared" si="33"/>
        <v>0.51823416506717845</v>
      </c>
    </row>
    <row r="32" spans="1:114" x14ac:dyDescent="0.3">
      <c r="A32" s="2" t="s">
        <v>154</v>
      </c>
      <c r="B32" s="301" t="s">
        <v>128</v>
      </c>
      <c r="C32" s="302" t="s">
        <v>155</v>
      </c>
      <c r="D32" s="3">
        <v>146.35483870967701</v>
      </c>
      <c r="E32" s="13">
        <v>8294.0300000000007</v>
      </c>
      <c r="F32" s="42">
        <f t="shared" si="34"/>
        <v>56.670692087282511</v>
      </c>
      <c r="G32" s="3">
        <v>145.96428571428601</v>
      </c>
      <c r="H32" s="13">
        <v>8331.8799999999992</v>
      </c>
      <c r="I32" s="42">
        <f t="shared" si="35"/>
        <v>57.081634450697216</v>
      </c>
      <c r="J32" s="3">
        <v>145.54838709677401</v>
      </c>
      <c r="K32" s="13">
        <v>8639.09</v>
      </c>
      <c r="L32" s="42">
        <f t="shared" si="36"/>
        <v>59.355449911347591</v>
      </c>
      <c r="M32" s="18">
        <v>148.833333333333</v>
      </c>
      <c r="N32" s="13">
        <v>8631.34</v>
      </c>
      <c r="O32" s="43">
        <f t="shared" si="3"/>
        <v>57.993325867861273</v>
      </c>
      <c r="P32" s="3">
        <v>149.935483870968</v>
      </c>
      <c r="Q32" s="13">
        <v>8723.67</v>
      </c>
      <c r="R32" s="42">
        <f t="shared" si="4"/>
        <v>58.182824870912121</v>
      </c>
      <c r="S32" s="3">
        <v>149.6</v>
      </c>
      <c r="T32" s="13">
        <v>8679.24</v>
      </c>
      <c r="U32" s="42">
        <f t="shared" si="5"/>
        <v>58.016310160427807</v>
      </c>
      <c r="V32" s="3">
        <v>150</v>
      </c>
      <c r="W32" s="13">
        <v>8695.44</v>
      </c>
      <c r="X32" s="42">
        <f t="shared" si="6"/>
        <v>57.969600000000007</v>
      </c>
      <c r="Y32" s="3">
        <v>149.96774193548401</v>
      </c>
      <c r="Z32" s="13">
        <v>8695.44</v>
      </c>
      <c r="AA32" s="191">
        <f t="shared" si="7"/>
        <v>57.982069262206878</v>
      </c>
      <c r="AB32" s="29"/>
      <c r="AC32" s="175"/>
      <c r="AD32" s="192">
        <v>116</v>
      </c>
      <c r="AE32" s="193">
        <v>99</v>
      </c>
      <c r="AF32" s="309">
        <v>0</v>
      </c>
      <c r="AG32" s="2">
        <v>147</v>
      </c>
      <c r="AH32" s="179">
        <f t="shared" si="8"/>
        <v>0.68372093023255809</v>
      </c>
      <c r="AI32" s="192">
        <f>AD32-20</f>
        <v>96</v>
      </c>
      <c r="AJ32" s="193">
        <f>AE32-72</f>
        <v>27</v>
      </c>
      <c r="AK32" s="180">
        <f t="shared" si="9"/>
        <v>0.5720930232558139</v>
      </c>
      <c r="AL32" s="196">
        <v>102</v>
      </c>
      <c r="AM32" s="12">
        <v>25</v>
      </c>
      <c r="AN32" s="180">
        <f t="shared" si="10"/>
        <v>0.59069767441860466</v>
      </c>
      <c r="AO32" s="213" t="s">
        <v>90</v>
      </c>
      <c r="AP32" s="213" t="s">
        <v>90</v>
      </c>
      <c r="AQ32" s="180" t="e">
        <f t="shared" si="11"/>
        <v>#VALUE!</v>
      </c>
      <c r="AR32" s="213" t="s">
        <v>90</v>
      </c>
      <c r="AS32" s="213" t="s">
        <v>90</v>
      </c>
      <c r="AT32" s="180" t="e">
        <f t="shared" si="12"/>
        <v>#VALUE!</v>
      </c>
      <c r="AU32" s="214"/>
      <c r="AV32" s="213"/>
      <c r="AW32" s="180">
        <f t="shared" si="13"/>
        <v>0</v>
      </c>
      <c r="AX32" s="134">
        <v>98</v>
      </c>
      <c r="AY32" s="135">
        <v>24</v>
      </c>
      <c r="AZ32" s="180">
        <f t="shared" si="14"/>
        <v>0.56744186046511624</v>
      </c>
      <c r="BA32" s="134">
        <v>93</v>
      </c>
      <c r="BB32" s="135">
        <v>23</v>
      </c>
      <c r="BC32" s="180">
        <f t="shared" si="15"/>
        <v>0.53953488372093028</v>
      </c>
      <c r="BD32" s="134">
        <v>93</v>
      </c>
      <c r="BE32" s="135">
        <v>23</v>
      </c>
      <c r="BF32" s="180">
        <f t="shared" si="16"/>
        <v>0.53953488372093028</v>
      </c>
      <c r="BG32" s="132">
        <v>94</v>
      </c>
      <c r="BH32" s="133">
        <v>20</v>
      </c>
      <c r="BI32" s="180">
        <f t="shared" si="17"/>
        <v>0.53023255813953485</v>
      </c>
      <c r="BJ32" s="133">
        <v>95</v>
      </c>
      <c r="BK32" s="133">
        <v>20</v>
      </c>
      <c r="BL32" s="180">
        <f t="shared" si="18"/>
        <v>0.53488372093023251</v>
      </c>
      <c r="BM32" s="132">
        <v>96</v>
      </c>
      <c r="BN32" s="133">
        <v>20</v>
      </c>
      <c r="BO32" s="180">
        <f t="shared" si="19"/>
        <v>0.53953488372093028</v>
      </c>
      <c r="BP32" s="278" t="e">
        <f t="shared" si="20"/>
        <v>#VALUE!</v>
      </c>
      <c r="BQ32" s="199">
        <v>90</v>
      </c>
      <c r="BR32" s="200">
        <v>75</v>
      </c>
      <c r="BS32" s="201">
        <v>125</v>
      </c>
      <c r="BT32" s="200">
        <v>0</v>
      </c>
      <c r="BU32" s="201">
        <v>90</v>
      </c>
      <c r="BV32" s="200"/>
      <c r="BW32" s="201">
        <v>90</v>
      </c>
      <c r="BX32" s="200">
        <v>60</v>
      </c>
      <c r="BY32" s="201">
        <v>85</v>
      </c>
      <c r="BZ32" s="200"/>
      <c r="CA32" s="202">
        <f t="shared" si="21"/>
        <v>97.5</v>
      </c>
      <c r="CB32" s="203">
        <f t="shared" si="22"/>
        <v>30</v>
      </c>
      <c r="CC32" s="202">
        <f t="shared" si="23"/>
        <v>-7.5</v>
      </c>
      <c r="CD32" s="203">
        <f t="shared" si="24"/>
        <v>45</v>
      </c>
      <c r="CE32" s="337"/>
      <c r="CF32" s="329" t="s">
        <v>156</v>
      </c>
      <c r="CG32" s="329"/>
      <c r="CH32" s="285">
        <v>90</v>
      </c>
      <c r="CI32" s="286">
        <v>75</v>
      </c>
      <c r="CJ32" s="287">
        <v>125</v>
      </c>
      <c r="CK32" s="286">
        <v>125</v>
      </c>
      <c r="CL32" s="287">
        <v>90</v>
      </c>
      <c r="CM32" s="286">
        <v>90</v>
      </c>
      <c r="CN32" s="287">
        <v>90</v>
      </c>
      <c r="CO32" s="286">
        <v>60</v>
      </c>
      <c r="CP32" s="287">
        <v>85</v>
      </c>
      <c r="CQ32" s="286">
        <v>85</v>
      </c>
      <c r="CR32" s="284">
        <f t="shared" si="25"/>
        <v>97.5</v>
      </c>
      <c r="CS32" s="284">
        <f t="shared" si="26"/>
        <v>90</v>
      </c>
      <c r="CT32" s="321" t="s">
        <v>157</v>
      </c>
      <c r="CU32" s="124">
        <f t="shared" si="27"/>
        <v>97.5</v>
      </c>
      <c r="CV32" s="125">
        <f t="shared" si="28"/>
        <v>90</v>
      </c>
      <c r="CW32" s="124">
        <f t="shared" si="29"/>
        <v>-7.5</v>
      </c>
      <c r="CX32" s="125">
        <f t="shared" si="30"/>
        <v>-15</v>
      </c>
      <c r="CY32" s="314" t="s">
        <v>158</v>
      </c>
      <c r="CZ32" s="132">
        <v>96</v>
      </c>
      <c r="DA32" s="133">
        <v>20</v>
      </c>
      <c r="DB32" s="180">
        <f t="shared" si="31"/>
        <v>0.53953488372093028</v>
      </c>
      <c r="DC32" s="132">
        <v>96</v>
      </c>
      <c r="DD32" s="133">
        <v>20</v>
      </c>
      <c r="DE32" s="180">
        <f t="shared" si="32"/>
        <v>0.53953488372093028</v>
      </c>
      <c r="DF32" s="132">
        <v>92</v>
      </c>
      <c r="DH32" s="133">
        <v>19</v>
      </c>
      <c r="DI32" s="180">
        <f t="shared" si="33"/>
        <v>0.51627906976744187</v>
      </c>
    </row>
    <row r="33" spans="1:114" x14ac:dyDescent="0.3">
      <c r="A33" s="2" t="s">
        <v>159</v>
      </c>
      <c r="B33" s="301" t="s">
        <v>128</v>
      </c>
      <c r="C33" s="302" t="s">
        <v>160</v>
      </c>
      <c r="D33" s="3">
        <v>263.90322580645199</v>
      </c>
      <c r="E33" s="13">
        <v>27173.61</v>
      </c>
      <c r="F33" s="42">
        <f t="shared" si="34"/>
        <v>102.96808580858071</v>
      </c>
      <c r="G33" s="3">
        <v>261.71428571428601</v>
      </c>
      <c r="H33" s="13">
        <v>26998.58</v>
      </c>
      <c r="I33" s="42">
        <f t="shared" si="35"/>
        <v>103.16051310043657</v>
      </c>
      <c r="J33" s="3">
        <v>260.90322580645199</v>
      </c>
      <c r="K33" s="13">
        <v>26903.31</v>
      </c>
      <c r="L33" s="42">
        <f t="shared" si="36"/>
        <v>103.11604970326395</v>
      </c>
      <c r="M33" s="18">
        <v>263.96666666666698</v>
      </c>
      <c r="N33" s="13">
        <v>27167.03</v>
      </c>
      <c r="O33" s="43">
        <f t="shared" si="3"/>
        <v>102.91841141558265</v>
      </c>
      <c r="P33" s="3">
        <v>266.22580645161298</v>
      </c>
      <c r="Q33" s="13">
        <v>26487.4</v>
      </c>
      <c r="R33" s="42">
        <f t="shared" si="4"/>
        <v>99.492233127347603</v>
      </c>
      <c r="S33" s="3">
        <v>264</v>
      </c>
      <c r="T33" s="13">
        <v>26745.22</v>
      </c>
      <c r="U33" s="42">
        <f t="shared" si="5"/>
        <v>101.30765151515152</v>
      </c>
      <c r="V33" s="3">
        <v>263.87096774193498</v>
      </c>
      <c r="W33" s="13">
        <v>25853.54</v>
      </c>
      <c r="X33" s="42">
        <f t="shared" si="6"/>
        <v>97.977963325183566</v>
      </c>
      <c r="Y33" s="3">
        <v>265.74193548387098</v>
      </c>
      <c r="Z33" s="13">
        <v>24209.360000000001</v>
      </c>
      <c r="AA33" s="191">
        <f t="shared" si="7"/>
        <v>91.101014809419766</v>
      </c>
      <c r="AB33" s="29"/>
      <c r="AC33" s="175"/>
      <c r="AD33" s="192">
        <v>422</v>
      </c>
      <c r="AE33" s="193">
        <v>61</v>
      </c>
      <c r="AF33" s="309">
        <v>0</v>
      </c>
      <c r="AG33" s="2">
        <v>302</v>
      </c>
      <c r="AH33" s="179">
        <f t="shared" si="8"/>
        <v>0.62525879917184268</v>
      </c>
      <c r="AI33" s="192">
        <f>AD33-155</f>
        <v>267</v>
      </c>
      <c r="AJ33" s="193">
        <f>AE33-4</f>
        <v>57</v>
      </c>
      <c r="AK33" s="180">
        <f t="shared" si="9"/>
        <v>0.67080745341614911</v>
      </c>
      <c r="AL33" s="196">
        <v>297</v>
      </c>
      <c r="AM33" s="12">
        <v>41</v>
      </c>
      <c r="AN33" s="180">
        <f t="shared" si="10"/>
        <v>0.69979296066252583</v>
      </c>
      <c r="AO33" s="193">
        <v>266</v>
      </c>
      <c r="AP33" s="215">
        <v>11</v>
      </c>
      <c r="AQ33" s="180">
        <f t="shared" si="11"/>
        <v>0.57349896480331264</v>
      </c>
      <c r="AR33" s="193">
        <v>267</v>
      </c>
      <c r="AS33" s="215">
        <v>11</v>
      </c>
      <c r="AT33" s="180">
        <f t="shared" si="12"/>
        <v>0.57556935817805388</v>
      </c>
      <c r="AU33" s="216">
        <v>267</v>
      </c>
      <c r="AV33" s="194">
        <v>11</v>
      </c>
      <c r="AW33" s="180">
        <f t="shared" si="13"/>
        <v>0.57556935817805388</v>
      </c>
      <c r="AX33" s="134"/>
      <c r="AY33" s="135"/>
      <c r="AZ33" s="180">
        <f t="shared" si="14"/>
        <v>0</v>
      </c>
      <c r="BA33" s="134">
        <v>265</v>
      </c>
      <c r="BB33" s="135">
        <v>12</v>
      </c>
      <c r="BC33" s="180">
        <f t="shared" si="15"/>
        <v>0.57349896480331264</v>
      </c>
      <c r="BD33" s="134">
        <v>265</v>
      </c>
      <c r="BE33" s="135">
        <v>12</v>
      </c>
      <c r="BF33" s="180">
        <f t="shared" si="16"/>
        <v>0.57349896480331264</v>
      </c>
      <c r="BG33" s="132">
        <v>261</v>
      </c>
      <c r="BH33" s="133">
        <v>12</v>
      </c>
      <c r="BI33" s="180">
        <f t="shared" si="17"/>
        <v>0.56521739130434778</v>
      </c>
      <c r="BJ33" s="133">
        <v>257</v>
      </c>
      <c r="BK33" s="133">
        <v>12</v>
      </c>
      <c r="BL33" s="180">
        <f t="shared" si="18"/>
        <v>0.55693581780538304</v>
      </c>
      <c r="BM33" s="132">
        <v>252</v>
      </c>
      <c r="BN33" s="133">
        <v>11</v>
      </c>
      <c r="BO33" s="180">
        <f t="shared" si="19"/>
        <v>0.54451345755693581</v>
      </c>
      <c r="BP33" s="278">
        <f t="shared" si="20"/>
        <v>0.54830917874396135</v>
      </c>
      <c r="BQ33" s="199">
        <v>130</v>
      </c>
      <c r="BR33" s="200">
        <v>130</v>
      </c>
      <c r="BS33" s="201">
        <v>100</v>
      </c>
      <c r="BT33" s="200">
        <v>0</v>
      </c>
      <c r="BU33" s="201">
        <v>90</v>
      </c>
      <c r="BV33" s="200">
        <v>70</v>
      </c>
      <c r="BW33" s="201">
        <v>120</v>
      </c>
      <c r="BX33" s="200"/>
      <c r="BY33" s="201"/>
      <c r="BZ33" s="200"/>
      <c r="CA33" s="202">
        <f t="shared" si="21"/>
        <v>103.33333333333333</v>
      </c>
      <c r="CB33" s="203">
        <f t="shared" si="22"/>
        <v>35</v>
      </c>
      <c r="CC33" s="202">
        <f t="shared" si="23"/>
        <v>26.666666666666671</v>
      </c>
      <c r="CD33" s="203">
        <f t="shared" si="24"/>
        <v>95</v>
      </c>
      <c r="CE33" s="337"/>
      <c r="CF33" s="329"/>
      <c r="CG33" s="329"/>
      <c r="CH33" s="285">
        <v>130</v>
      </c>
      <c r="CI33" s="286">
        <v>130</v>
      </c>
      <c r="CJ33" s="287">
        <v>120</v>
      </c>
      <c r="CK33" s="286">
        <v>85</v>
      </c>
      <c r="CL33" s="287">
        <v>150</v>
      </c>
      <c r="CM33" s="286">
        <v>75</v>
      </c>
      <c r="CN33" s="287">
        <v>125</v>
      </c>
      <c r="CO33" s="286">
        <v>90</v>
      </c>
      <c r="CP33" s="287" t="s">
        <v>161</v>
      </c>
      <c r="CQ33" s="286" t="s">
        <v>161</v>
      </c>
      <c r="CR33" s="284">
        <f t="shared" si="25"/>
        <v>131.66666666666666</v>
      </c>
      <c r="CS33" s="284">
        <f t="shared" si="26"/>
        <v>83.333333333333329</v>
      </c>
      <c r="CT33" s="314" t="s">
        <v>162</v>
      </c>
      <c r="CU33" s="124">
        <f t="shared" si="27"/>
        <v>131.66666666666666</v>
      </c>
      <c r="CV33" s="125">
        <f t="shared" si="28"/>
        <v>83.333333333333329</v>
      </c>
      <c r="CW33" s="124">
        <f t="shared" si="29"/>
        <v>-1.6666666666666572</v>
      </c>
      <c r="CX33" s="125">
        <f t="shared" si="30"/>
        <v>46.666666666666671</v>
      </c>
      <c r="CY33" s="316" t="s">
        <v>163</v>
      </c>
      <c r="CZ33" s="132">
        <v>252</v>
      </c>
      <c r="DA33" s="133">
        <v>11</v>
      </c>
      <c r="DB33" s="180">
        <f t="shared" si="31"/>
        <v>0.54451345755693581</v>
      </c>
      <c r="DC33" s="132">
        <v>252</v>
      </c>
      <c r="DD33" s="133">
        <v>11</v>
      </c>
      <c r="DE33" s="180">
        <f t="shared" si="32"/>
        <v>0.54451345755693581</v>
      </c>
      <c r="DF33" s="132">
        <v>252</v>
      </c>
      <c r="DG33" s="133"/>
      <c r="DH33" s="133">
        <v>10</v>
      </c>
      <c r="DI33" s="180">
        <f t="shared" si="33"/>
        <v>0.54244306418219457</v>
      </c>
    </row>
    <row r="34" spans="1:114" s="68" customFormat="1" x14ac:dyDescent="0.3">
      <c r="A34" s="217" t="s">
        <v>164</v>
      </c>
      <c r="B34" s="301" t="s">
        <v>128</v>
      </c>
      <c r="C34" s="302" t="s">
        <v>165</v>
      </c>
      <c r="D34" s="3">
        <v>274.806451612903</v>
      </c>
      <c r="E34" s="13">
        <v>17022.37</v>
      </c>
      <c r="F34" s="42">
        <f t="shared" si="34"/>
        <v>61.943123606057092</v>
      </c>
      <c r="G34" s="3">
        <v>272.892857142857</v>
      </c>
      <c r="H34" s="13">
        <v>17014.29</v>
      </c>
      <c r="I34" s="42">
        <f t="shared" si="35"/>
        <v>62.347875932469606</v>
      </c>
      <c r="J34" s="3">
        <v>271.25806451612902</v>
      </c>
      <c r="K34" s="13">
        <v>16851.97</v>
      </c>
      <c r="L34" s="42">
        <f t="shared" si="36"/>
        <v>62.125231299797839</v>
      </c>
      <c r="M34" s="18">
        <v>269.933333333333</v>
      </c>
      <c r="N34" s="13">
        <v>16718.96</v>
      </c>
      <c r="O34" s="43">
        <f t="shared" si="3"/>
        <v>61.937367251173207</v>
      </c>
      <c r="P34" s="3">
        <v>268.45161290322602</v>
      </c>
      <c r="Q34" s="13">
        <v>16866.86</v>
      </c>
      <c r="R34" s="42">
        <f t="shared" si="4"/>
        <v>62.830168228791109</v>
      </c>
      <c r="S34" s="3">
        <v>269.433333333333</v>
      </c>
      <c r="T34" s="13">
        <v>16990.689999999999</v>
      </c>
      <c r="U34" s="42">
        <f t="shared" si="5"/>
        <v>63.060831374489744</v>
      </c>
      <c r="V34" s="3">
        <v>266.74193548387098</v>
      </c>
      <c r="W34" s="13">
        <v>17127.82</v>
      </c>
      <c r="X34" s="42">
        <f t="shared" si="6"/>
        <v>64.211200870721967</v>
      </c>
      <c r="Y34" s="3">
        <v>260.93548387096803</v>
      </c>
      <c r="Z34" s="13">
        <v>16817.32</v>
      </c>
      <c r="AA34" s="191">
        <f t="shared" si="7"/>
        <v>64.450107553467603</v>
      </c>
      <c r="AB34" s="29"/>
      <c r="AC34" s="175"/>
      <c r="AD34" s="214">
        <v>0</v>
      </c>
      <c r="AE34" s="213">
        <v>460</v>
      </c>
      <c r="AF34" s="309">
        <v>0</v>
      </c>
      <c r="AG34" s="217">
        <v>212</v>
      </c>
      <c r="AH34" s="219">
        <f t="shared" si="8"/>
        <v>0.46086956521739131</v>
      </c>
      <c r="AI34" s="192"/>
      <c r="AJ34" s="193"/>
      <c r="AK34" s="180">
        <f t="shared" si="9"/>
        <v>0</v>
      </c>
      <c r="AL34" s="209">
        <v>0</v>
      </c>
      <c r="AM34" s="220">
        <v>412</v>
      </c>
      <c r="AN34" s="180">
        <f t="shared" si="10"/>
        <v>0.89565217391304353</v>
      </c>
      <c r="AO34" s="213"/>
      <c r="AP34" s="221">
        <v>398</v>
      </c>
      <c r="AQ34" s="180">
        <f t="shared" si="11"/>
        <v>0.86521739130434783</v>
      </c>
      <c r="AR34" s="213"/>
      <c r="AS34" s="221">
        <v>380</v>
      </c>
      <c r="AT34" s="180">
        <f t="shared" si="12"/>
        <v>0.82608695652173914</v>
      </c>
      <c r="AU34" s="222"/>
      <c r="AV34" s="218">
        <v>305</v>
      </c>
      <c r="AW34" s="180">
        <f t="shared" si="13"/>
        <v>0.66304347826086951</v>
      </c>
      <c r="AX34" s="144"/>
      <c r="AY34" s="145">
        <v>358</v>
      </c>
      <c r="AZ34" s="180">
        <f t="shared" si="14"/>
        <v>0.77826086956521734</v>
      </c>
      <c r="BA34" s="144"/>
      <c r="BB34" s="145">
        <f>12+2+21+12+6+20+69+5+26+43+13+24+26+4+11+12+14+48+3</f>
        <v>371</v>
      </c>
      <c r="BC34" s="180">
        <f t="shared" si="15"/>
        <v>0.80652173913043479</v>
      </c>
      <c r="BD34" s="144"/>
      <c r="BE34" s="145">
        <f>14+21+12+26+69+31+43+13+24+30+11+12+14+48+4</f>
        <v>372</v>
      </c>
      <c r="BF34" s="180">
        <f t="shared" si="16"/>
        <v>0.80869565217391304</v>
      </c>
      <c r="BG34" s="146"/>
      <c r="BH34" s="147">
        <f>12+2+21+12+6+19+68+5+25+42+13+24+26+4+12+13+15+47+4</f>
        <v>370</v>
      </c>
      <c r="BI34" s="180">
        <f t="shared" si="17"/>
        <v>0.80434782608695654</v>
      </c>
      <c r="BJ34" s="147"/>
      <c r="BK34" s="147">
        <v>370</v>
      </c>
      <c r="BL34" s="180">
        <f t="shared" si="18"/>
        <v>0.80434782608695654</v>
      </c>
      <c r="BM34" s="146"/>
      <c r="BN34" s="147">
        <f>12+2+21+12+6+19+65+5+23+43+13+25+26+4+11+14+14+49+4</f>
        <v>368</v>
      </c>
      <c r="BO34" s="180">
        <f t="shared" si="19"/>
        <v>0.8</v>
      </c>
      <c r="BP34" s="278">
        <f t="shared" si="20"/>
        <v>0.67101449275362324</v>
      </c>
      <c r="BQ34" s="208">
        <v>0</v>
      </c>
      <c r="BR34" s="210">
        <v>70</v>
      </c>
      <c r="BS34" s="209"/>
      <c r="BT34" s="210">
        <v>70</v>
      </c>
      <c r="BU34" s="209"/>
      <c r="BV34" s="210">
        <v>70</v>
      </c>
      <c r="BW34" s="209"/>
      <c r="BX34" s="210">
        <v>70</v>
      </c>
      <c r="BY34" s="209"/>
      <c r="BZ34" s="210">
        <v>70</v>
      </c>
      <c r="CA34" s="211">
        <f t="shared" si="21"/>
        <v>0</v>
      </c>
      <c r="CB34" s="212">
        <f t="shared" si="22"/>
        <v>70</v>
      </c>
      <c r="CC34" s="211">
        <f t="shared" si="23"/>
        <v>0</v>
      </c>
      <c r="CD34" s="212">
        <f t="shared" si="24"/>
        <v>0</v>
      </c>
      <c r="CE34" s="337"/>
      <c r="CF34" s="329" t="s">
        <v>166</v>
      </c>
      <c r="CG34" s="329"/>
      <c r="CH34" s="288">
        <v>0</v>
      </c>
      <c r="CI34" s="289">
        <v>70</v>
      </c>
      <c r="CJ34" s="290">
        <v>95</v>
      </c>
      <c r="CK34" s="289" t="s">
        <v>167</v>
      </c>
      <c r="CL34" s="290"/>
      <c r="CM34" s="289">
        <v>100</v>
      </c>
      <c r="CN34" s="290">
        <v>90</v>
      </c>
      <c r="CO34" s="289"/>
      <c r="CP34" s="290">
        <v>70</v>
      </c>
      <c r="CQ34" s="289">
        <v>60</v>
      </c>
      <c r="CR34" s="284">
        <f t="shared" si="25"/>
        <v>85</v>
      </c>
      <c r="CS34" s="284">
        <f t="shared" si="26"/>
        <v>80</v>
      </c>
      <c r="CT34" s="322" t="s">
        <v>168</v>
      </c>
      <c r="CU34" s="124">
        <f t="shared" si="27"/>
        <v>85</v>
      </c>
      <c r="CV34" s="125">
        <f t="shared" si="28"/>
        <v>80</v>
      </c>
      <c r="CW34" s="124">
        <f t="shared" si="29"/>
        <v>-85</v>
      </c>
      <c r="CX34" s="125">
        <f t="shared" si="30"/>
        <v>-10</v>
      </c>
      <c r="CY34" s="314"/>
      <c r="CZ34" s="146"/>
      <c r="DA34" s="147">
        <f>12+2+21+12+6+19+65+5+23+43+13+25+26+4+11+14+14+49+4</f>
        <v>368</v>
      </c>
      <c r="DB34" s="180">
        <f t="shared" si="31"/>
        <v>0.8</v>
      </c>
      <c r="DC34" s="146"/>
      <c r="DD34" s="147">
        <f>12+2+21+12+6+19+65+5+23+43+13+25+26+4+11+14+14+49+4</f>
        <v>368</v>
      </c>
      <c r="DE34" s="180">
        <f t="shared" si="32"/>
        <v>0.8</v>
      </c>
      <c r="DF34" s="146"/>
      <c r="DG34" s="147"/>
      <c r="DH34" s="147">
        <f>11+2+21+12+6+20+65+3+22+39+13+25+26+4+11+16+13+51+4</f>
        <v>364</v>
      </c>
      <c r="DI34" s="180">
        <f t="shared" si="33"/>
        <v>0.79130434782608694</v>
      </c>
    </row>
    <row r="35" spans="1:114" x14ac:dyDescent="0.3">
      <c r="A35" s="2" t="s">
        <v>169</v>
      </c>
      <c r="B35" s="301" t="s">
        <v>128</v>
      </c>
      <c r="C35" s="302" t="s">
        <v>170</v>
      </c>
      <c r="D35" s="3">
        <v>272.96774193548401</v>
      </c>
      <c r="E35" s="13">
        <v>21071.37</v>
      </c>
      <c r="F35" s="42">
        <f t="shared" si="34"/>
        <v>77.193626802174379</v>
      </c>
      <c r="G35" s="3">
        <v>272.92857142857099</v>
      </c>
      <c r="H35" s="13">
        <v>20841.490000000002</v>
      </c>
      <c r="I35" s="42">
        <f t="shared" si="35"/>
        <v>76.362433917822685</v>
      </c>
      <c r="J35" s="3">
        <v>273.06451612903197</v>
      </c>
      <c r="K35" s="13">
        <v>20797.55</v>
      </c>
      <c r="L35" s="42">
        <f t="shared" si="36"/>
        <v>76.163502658003623</v>
      </c>
      <c r="M35" s="18">
        <v>271.66666666666703</v>
      </c>
      <c r="N35" s="13">
        <v>20308.7</v>
      </c>
      <c r="O35" s="43">
        <f t="shared" si="3"/>
        <v>74.755950920245297</v>
      </c>
      <c r="P35" s="3">
        <v>270.806451612903</v>
      </c>
      <c r="Q35" s="13">
        <v>19967.25</v>
      </c>
      <c r="R35" s="42">
        <f t="shared" si="4"/>
        <v>73.732549136390773</v>
      </c>
      <c r="S35" s="3">
        <v>273.39999999999998</v>
      </c>
      <c r="T35" s="13">
        <v>20380.88</v>
      </c>
      <c r="U35" s="42">
        <f t="shared" si="5"/>
        <v>74.54601316752013</v>
      </c>
      <c r="V35" s="3">
        <v>275.70967741935499</v>
      </c>
      <c r="W35" s="13">
        <v>20857.349999999999</v>
      </c>
      <c r="X35" s="42">
        <f t="shared" si="6"/>
        <v>75.649684099684052</v>
      </c>
      <c r="Y35" s="3">
        <v>277.74193548387098</v>
      </c>
      <c r="Z35" s="13">
        <v>20875.38</v>
      </c>
      <c r="AA35" s="191">
        <f t="shared" si="7"/>
        <v>75.161066202090595</v>
      </c>
      <c r="AB35" s="29"/>
      <c r="AC35" s="175"/>
      <c r="AD35" s="192">
        <v>287</v>
      </c>
      <c r="AE35" s="193">
        <v>49</v>
      </c>
      <c r="AF35" s="309">
        <v>0</v>
      </c>
      <c r="AG35" s="2">
        <v>274</v>
      </c>
      <c r="AH35" s="179">
        <f t="shared" si="8"/>
        <v>0.81547619047619047</v>
      </c>
      <c r="AI35" s="192">
        <f>AD35-88</f>
        <v>199</v>
      </c>
      <c r="AJ35" s="193">
        <f>AE35-8</f>
        <v>41</v>
      </c>
      <c r="AK35" s="180">
        <f t="shared" si="9"/>
        <v>0.7142857142857143</v>
      </c>
      <c r="AL35" s="196"/>
      <c r="AM35" s="12"/>
      <c r="AN35" s="180">
        <f t="shared" si="10"/>
        <v>0</v>
      </c>
      <c r="AO35" s="193">
        <v>206</v>
      </c>
      <c r="AP35" s="215">
        <v>40</v>
      </c>
      <c r="AQ35" s="180">
        <f t="shared" si="11"/>
        <v>0.7321428571428571</v>
      </c>
      <c r="AR35" s="193">
        <v>206</v>
      </c>
      <c r="AS35" s="215">
        <v>40</v>
      </c>
      <c r="AT35" s="180">
        <f t="shared" si="12"/>
        <v>0.7321428571428571</v>
      </c>
      <c r="AU35" s="216">
        <v>209</v>
      </c>
      <c r="AV35" s="194">
        <v>39</v>
      </c>
      <c r="AW35" s="180">
        <f t="shared" si="13"/>
        <v>0.73809523809523814</v>
      </c>
      <c r="AX35" s="134">
        <v>206</v>
      </c>
      <c r="AY35" s="135">
        <v>41</v>
      </c>
      <c r="AZ35" s="180">
        <f t="shared" si="14"/>
        <v>0.73511904761904767</v>
      </c>
      <c r="BA35" s="134">
        <v>219</v>
      </c>
      <c r="BB35" s="135">
        <v>42</v>
      </c>
      <c r="BC35" s="180">
        <f t="shared" si="15"/>
        <v>0.7767857142857143</v>
      </c>
      <c r="BD35" s="134">
        <v>219</v>
      </c>
      <c r="BE35" s="135">
        <v>42</v>
      </c>
      <c r="BF35" s="180">
        <f t="shared" si="16"/>
        <v>0.7767857142857143</v>
      </c>
      <c r="BG35" s="132">
        <v>222</v>
      </c>
      <c r="BH35" s="133">
        <v>40</v>
      </c>
      <c r="BI35" s="180">
        <f t="shared" si="17"/>
        <v>0.77976190476190477</v>
      </c>
      <c r="BJ35" s="132">
        <v>222</v>
      </c>
      <c r="BK35" s="133">
        <v>39</v>
      </c>
      <c r="BL35" s="180">
        <f t="shared" si="18"/>
        <v>0.7767857142857143</v>
      </c>
      <c r="BM35" s="132">
        <v>221</v>
      </c>
      <c r="BN35" s="133">
        <v>37</v>
      </c>
      <c r="BO35" s="180">
        <f t="shared" si="19"/>
        <v>0.7678571428571429</v>
      </c>
      <c r="BP35" s="278">
        <f t="shared" si="20"/>
        <v>0.68700396825396826</v>
      </c>
      <c r="BQ35" s="199">
        <v>110</v>
      </c>
      <c r="BR35" s="200">
        <v>85</v>
      </c>
      <c r="BS35" s="201"/>
      <c r="BT35" s="200">
        <v>0</v>
      </c>
      <c r="BU35" s="201"/>
      <c r="BV35" s="200"/>
      <c r="BW35" s="201"/>
      <c r="BX35" s="200"/>
      <c r="BY35" s="201"/>
      <c r="BZ35" s="200"/>
      <c r="CA35" s="202">
        <f t="shared" si="21"/>
        <v>0</v>
      </c>
      <c r="CB35" s="203">
        <f t="shared" si="22"/>
        <v>0</v>
      </c>
      <c r="CC35" s="202">
        <f t="shared" si="23"/>
        <v>110</v>
      </c>
      <c r="CD35" s="203">
        <f t="shared" si="24"/>
        <v>85</v>
      </c>
      <c r="CE35" s="337"/>
      <c r="CF35" s="329" t="b">
        <v>0</v>
      </c>
      <c r="CG35" s="329"/>
      <c r="CH35" s="285">
        <v>115</v>
      </c>
      <c r="CI35" s="286">
        <v>90</v>
      </c>
      <c r="CJ35" s="287"/>
      <c r="CK35" s="286">
        <v>125</v>
      </c>
      <c r="CL35" s="287">
        <v>80</v>
      </c>
      <c r="CM35" s="286">
        <v>60</v>
      </c>
      <c r="CN35" s="287"/>
      <c r="CO35" s="286">
        <v>85</v>
      </c>
      <c r="CP35" s="287">
        <v>50</v>
      </c>
      <c r="CQ35" s="286"/>
      <c r="CR35" s="284">
        <f t="shared" si="25"/>
        <v>65</v>
      </c>
      <c r="CS35" s="284">
        <f t="shared" si="26"/>
        <v>90</v>
      </c>
      <c r="CT35" s="321" t="s">
        <v>171</v>
      </c>
      <c r="CU35" s="124">
        <f t="shared" si="27"/>
        <v>65</v>
      </c>
      <c r="CV35" s="125">
        <f t="shared" si="28"/>
        <v>90</v>
      </c>
      <c r="CW35" s="124">
        <f t="shared" si="29"/>
        <v>50</v>
      </c>
      <c r="CX35" s="125">
        <f t="shared" si="30"/>
        <v>0</v>
      </c>
      <c r="CY35" s="314"/>
      <c r="CZ35" s="132">
        <v>221</v>
      </c>
      <c r="DA35" s="133">
        <v>37</v>
      </c>
      <c r="DB35" s="180">
        <f t="shared" si="31"/>
        <v>0.7678571428571429</v>
      </c>
      <c r="DC35" s="132">
        <v>221</v>
      </c>
      <c r="DD35" s="133">
        <v>37</v>
      </c>
      <c r="DE35" s="180">
        <f t="shared" si="32"/>
        <v>0.7678571428571429</v>
      </c>
      <c r="DF35" s="132">
        <v>219</v>
      </c>
      <c r="DH35" s="133">
        <v>36</v>
      </c>
      <c r="DI35" s="180">
        <f t="shared" si="33"/>
        <v>0.7589285714285714</v>
      </c>
    </row>
    <row r="36" spans="1:114" x14ac:dyDescent="0.3">
      <c r="A36" s="2" t="s">
        <v>172</v>
      </c>
      <c r="B36" s="301" t="s">
        <v>128</v>
      </c>
      <c r="C36" s="302" t="s">
        <v>173</v>
      </c>
      <c r="D36" s="3">
        <v>351.322580645161</v>
      </c>
      <c r="E36" s="13">
        <v>27046.26</v>
      </c>
      <c r="F36" s="42">
        <f t="shared" si="34"/>
        <v>76.984120833715977</v>
      </c>
      <c r="G36" s="3">
        <v>352.857142857143</v>
      </c>
      <c r="H36" s="13">
        <v>27172.71</v>
      </c>
      <c r="I36" s="42">
        <f t="shared" si="35"/>
        <v>77.007680161943284</v>
      </c>
      <c r="J36" s="3">
        <v>348.90322580645199</v>
      </c>
      <c r="K36" s="13">
        <v>27261.26</v>
      </c>
      <c r="L36" s="42">
        <f t="shared" si="36"/>
        <v>78.134158653846072</v>
      </c>
      <c r="M36" s="18">
        <v>345.933333333333</v>
      </c>
      <c r="N36" s="13">
        <v>26963.64</v>
      </c>
      <c r="O36" s="43">
        <f t="shared" si="3"/>
        <v>77.944613605704447</v>
      </c>
      <c r="P36" s="3">
        <v>345.29032258064501</v>
      </c>
      <c r="Q36" s="13">
        <v>26897.84</v>
      </c>
      <c r="R36" s="42">
        <f t="shared" si="4"/>
        <v>77.899200298953701</v>
      </c>
      <c r="S36" s="3">
        <v>344.73333333333301</v>
      </c>
      <c r="T36" s="13">
        <v>27051.59</v>
      </c>
      <c r="U36" s="42">
        <f t="shared" si="5"/>
        <v>78.471059756333474</v>
      </c>
      <c r="V36" s="3">
        <v>338.87096774193498</v>
      </c>
      <c r="W36" s="13">
        <v>26559.96</v>
      </c>
      <c r="X36" s="42">
        <f t="shared" si="6"/>
        <v>78.377797239409915</v>
      </c>
      <c r="Y36" s="3">
        <v>336.03225806451599</v>
      </c>
      <c r="Z36" s="13">
        <v>26326.29</v>
      </c>
      <c r="AA36" s="191">
        <f t="shared" si="7"/>
        <v>78.344532014975556</v>
      </c>
      <c r="AB36" s="29"/>
      <c r="AC36" s="175"/>
      <c r="AD36" s="192">
        <v>154</v>
      </c>
      <c r="AE36" s="193">
        <v>340</v>
      </c>
      <c r="AF36" s="309">
        <v>0</v>
      </c>
      <c r="AG36" s="2">
        <v>481</v>
      </c>
      <c r="AH36" s="179">
        <f t="shared" si="8"/>
        <v>0.97368421052631582</v>
      </c>
      <c r="AI36" s="192"/>
      <c r="AJ36" s="193"/>
      <c r="AK36" s="180">
        <f t="shared" si="9"/>
        <v>0</v>
      </c>
      <c r="AL36" s="196"/>
      <c r="AM36" s="12"/>
      <c r="AN36" s="180">
        <f t="shared" si="10"/>
        <v>0</v>
      </c>
      <c r="AO36" s="193">
        <v>141</v>
      </c>
      <c r="AP36" s="215">
        <v>123</v>
      </c>
      <c r="AQ36" s="180">
        <f t="shared" si="11"/>
        <v>0.53441295546558709</v>
      </c>
      <c r="AR36" s="193">
        <v>141</v>
      </c>
      <c r="AS36" s="215">
        <v>123</v>
      </c>
      <c r="AT36" s="180">
        <f t="shared" si="12"/>
        <v>0.53441295546558709</v>
      </c>
      <c r="AU36" s="216">
        <v>144</v>
      </c>
      <c r="AV36" s="194">
        <v>250</v>
      </c>
      <c r="AW36" s="180">
        <f t="shared" si="13"/>
        <v>0.79757085020242913</v>
      </c>
      <c r="AX36" s="134">
        <v>140</v>
      </c>
      <c r="AY36" s="135">
        <f>224+28</f>
        <v>252</v>
      </c>
      <c r="AZ36" s="180">
        <f t="shared" si="14"/>
        <v>0.79352226720647778</v>
      </c>
      <c r="BA36" s="134">
        <v>134</v>
      </c>
      <c r="BB36" s="135">
        <f>129+121</f>
        <v>250</v>
      </c>
      <c r="BC36" s="180">
        <f t="shared" si="15"/>
        <v>0.77732793522267207</v>
      </c>
      <c r="BD36" s="134">
        <v>134</v>
      </c>
      <c r="BE36" s="135">
        <f>129+121</f>
        <v>250</v>
      </c>
      <c r="BF36" s="180">
        <f t="shared" si="16"/>
        <v>0.77732793522267207</v>
      </c>
      <c r="BG36" s="132">
        <v>137</v>
      </c>
      <c r="BH36" s="133">
        <f>137+123</f>
        <v>260</v>
      </c>
      <c r="BI36" s="180">
        <f t="shared" si="17"/>
        <v>0.80364372469635625</v>
      </c>
      <c r="BJ36" s="133">
        <v>138</v>
      </c>
      <c r="BK36" s="133">
        <v>252</v>
      </c>
      <c r="BL36" s="180">
        <f t="shared" si="18"/>
        <v>0.78947368421052633</v>
      </c>
      <c r="BM36" s="132">
        <v>139</v>
      </c>
      <c r="BN36" s="133">
        <f>129+119</f>
        <v>248</v>
      </c>
      <c r="BO36" s="180">
        <f t="shared" si="19"/>
        <v>0.7834008097165992</v>
      </c>
      <c r="BP36" s="278">
        <f t="shared" si="20"/>
        <v>0.54925775978407565</v>
      </c>
      <c r="BQ36" s="199">
        <v>120</v>
      </c>
      <c r="BR36" s="200">
        <v>90</v>
      </c>
      <c r="BS36" s="201">
        <v>60</v>
      </c>
      <c r="BT36" s="200">
        <v>0</v>
      </c>
      <c r="BU36" s="201">
        <v>60</v>
      </c>
      <c r="BV36" s="200"/>
      <c r="BW36" s="201">
        <v>135</v>
      </c>
      <c r="BX36" s="200">
        <v>125</v>
      </c>
      <c r="BY36" s="201"/>
      <c r="BZ36" s="200"/>
      <c r="CA36" s="202">
        <f t="shared" si="21"/>
        <v>85</v>
      </c>
      <c r="CB36" s="203">
        <f t="shared" si="22"/>
        <v>62.5</v>
      </c>
      <c r="CC36" s="202">
        <f t="shared" si="23"/>
        <v>35</v>
      </c>
      <c r="CD36" s="203">
        <f t="shared" si="24"/>
        <v>27.5</v>
      </c>
      <c r="CE36" s="337"/>
      <c r="CF36" s="329"/>
      <c r="CG36" s="329"/>
      <c r="CH36" s="285">
        <v>120</v>
      </c>
      <c r="CI36" s="286">
        <v>90</v>
      </c>
      <c r="CJ36" s="287"/>
      <c r="CK36" s="286"/>
      <c r="CL36" s="287"/>
      <c r="CM36" s="286"/>
      <c r="CN36" s="287"/>
      <c r="CO36" s="286"/>
      <c r="CP36" s="287"/>
      <c r="CQ36" s="286"/>
      <c r="CR36" s="284">
        <f t="shared" si="25"/>
        <v>0</v>
      </c>
      <c r="CS36" s="284">
        <f t="shared" si="26"/>
        <v>0</v>
      </c>
      <c r="CT36" s="321"/>
      <c r="CU36" s="124">
        <f t="shared" si="27"/>
        <v>0</v>
      </c>
      <c r="CV36" s="125">
        <f t="shared" si="28"/>
        <v>0</v>
      </c>
      <c r="CW36" s="124">
        <f t="shared" si="29"/>
        <v>120</v>
      </c>
      <c r="CX36" s="125">
        <f t="shared" si="30"/>
        <v>90</v>
      </c>
      <c r="CY36" s="314" t="s">
        <v>174</v>
      </c>
      <c r="CZ36" s="132">
        <v>139</v>
      </c>
      <c r="DA36" s="133">
        <f>129+119</f>
        <v>248</v>
      </c>
      <c r="DB36" s="180">
        <f t="shared" si="31"/>
        <v>0.7834008097165992</v>
      </c>
      <c r="DC36" s="132">
        <v>139</v>
      </c>
      <c r="DD36" s="133">
        <f>129+119</f>
        <v>248</v>
      </c>
      <c r="DE36" s="180">
        <f t="shared" si="32"/>
        <v>0.7834008097165992</v>
      </c>
      <c r="DF36" s="132">
        <v>141</v>
      </c>
      <c r="DH36" s="133">
        <f>133+120</f>
        <v>253</v>
      </c>
      <c r="DI36" s="180">
        <f t="shared" si="33"/>
        <v>0.79757085020242913</v>
      </c>
    </row>
    <row r="37" spans="1:114" x14ac:dyDescent="0.3">
      <c r="A37" s="2" t="s">
        <v>175</v>
      </c>
      <c r="B37" s="301" t="s">
        <v>128</v>
      </c>
      <c r="C37" s="302" t="s">
        <v>176</v>
      </c>
      <c r="D37" s="3">
        <v>128.935483870968</v>
      </c>
      <c r="E37" s="13">
        <v>9849.44</v>
      </c>
      <c r="F37" s="42">
        <f t="shared" si="34"/>
        <v>76.390452839629575</v>
      </c>
      <c r="G37" s="3">
        <v>127.71428571428601</v>
      </c>
      <c r="H37" s="13">
        <v>9318.65</v>
      </c>
      <c r="I37" s="42">
        <f t="shared" si="35"/>
        <v>72.9648210290826</v>
      </c>
      <c r="J37" s="3">
        <v>129.38709677419399</v>
      </c>
      <c r="K37" s="13">
        <v>9507.9699999999993</v>
      </c>
      <c r="L37" s="42">
        <f t="shared" si="36"/>
        <v>73.484684617302165</v>
      </c>
      <c r="M37" s="18">
        <v>129.566666666667</v>
      </c>
      <c r="N37" s="13">
        <v>9784.26</v>
      </c>
      <c r="O37" s="43">
        <f t="shared" si="3"/>
        <v>75.515255981476528</v>
      </c>
      <c r="P37" s="3">
        <v>127.967741935484</v>
      </c>
      <c r="Q37" s="13">
        <v>9821.94</v>
      </c>
      <c r="R37" s="42">
        <f t="shared" si="4"/>
        <v>76.753249306780873</v>
      </c>
      <c r="S37" s="3">
        <v>128.933333333333</v>
      </c>
      <c r="T37" s="13">
        <v>9623.1</v>
      </c>
      <c r="U37" s="42">
        <f t="shared" si="5"/>
        <v>74.636246122027089</v>
      </c>
      <c r="V37" s="3">
        <v>128.83870967741899</v>
      </c>
      <c r="W37" s="13">
        <v>10093.06</v>
      </c>
      <c r="X37" s="42">
        <f t="shared" si="6"/>
        <v>78.338723084627162</v>
      </c>
      <c r="Y37" s="3">
        <v>125.645161290323</v>
      </c>
      <c r="Z37" s="13">
        <v>9865.8700000000008</v>
      </c>
      <c r="AA37" s="191">
        <f t="shared" si="7"/>
        <v>78.521686777920152</v>
      </c>
      <c r="AB37" s="29"/>
      <c r="AC37" s="175"/>
      <c r="AD37" s="192">
        <v>198</v>
      </c>
      <c r="AE37" s="193">
        <v>79</v>
      </c>
      <c r="AF37" s="309">
        <v>0</v>
      </c>
      <c r="AG37" s="2">
        <v>164</v>
      </c>
      <c r="AH37" s="179">
        <f t="shared" si="8"/>
        <v>0.59205776173285196</v>
      </c>
      <c r="AI37" s="192"/>
      <c r="AJ37" s="193"/>
      <c r="AK37" s="180">
        <f t="shared" si="9"/>
        <v>0</v>
      </c>
      <c r="AL37" s="196">
        <v>138</v>
      </c>
      <c r="AM37" s="196"/>
      <c r="AN37" s="180">
        <f t="shared" si="10"/>
        <v>0.49819494584837543</v>
      </c>
      <c r="AO37" s="193">
        <v>125</v>
      </c>
      <c r="AP37" s="215">
        <v>41</v>
      </c>
      <c r="AQ37" s="180">
        <f t="shared" si="11"/>
        <v>0.59927797833935015</v>
      </c>
      <c r="AR37" s="193">
        <v>121</v>
      </c>
      <c r="AS37" s="215">
        <v>41</v>
      </c>
      <c r="AT37" s="180">
        <f t="shared" si="12"/>
        <v>0.58483754512635377</v>
      </c>
      <c r="AU37" s="216">
        <v>117</v>
      </c>
      <c r="AV37" s="194">
        <v>40</v>
      </c>
      <c r="AW37" s="180">
        <f t="shared" si="13"/>
        <v>0.56678700361010825</v>
      </c>
      <c r="AX37" s="134">
        <v>114</v>
      </c>
      <c r="AY37" s="135">
        <v>38</v>
      </c>
      <c r="AZ37" s="180">
        <f t="shared" si="14"/>
        <v>0.54873646209386284</v>
      </c>
      <c r="BA37" s="134">
        <v>120</v>
      </c>
      <c r="BB37" s="135">
        <v>38</v>
      </c>
      <c r="BC37" s="180">
        <f t="shared" si="15"/>
        <v>0.5703971119133574</v>
      </c>
      <c r="BD37" s="134">
        <v>118</v>
      </c>
      <c r="BE37" s="135">
        <v>38</v>
      </c>
      <c r="BF37" s="180">
        <f t="shared" si="16"/>
        <v>0.56317689530685922</v>
      </c>
      <c r="BG37" s="132">
        <v>115</v>
      </c>
      <c r="BH37" s="133">
        <v>39</v>
      </c>
      <c r="BI37" s="180">
        <f t="shared" si="17"/>
        <v>0.55595667870036103</v>
      </c>
      <c r="BJ37" s="133">
        <v>115</v>
      </c>
      <c r="BK37" s="133">
        <v>39</v>
      </c>
      <c r="BL37" s="180">
        <f t="shared" si="18"/>
        <v>0.55595667870036103</v>
      </c>
      <c r="BM37" s="132">
        <v>114</v>
      </c>
      <c r="BN37" s="133">
        <v>38</v>
      </c>
      <c r="BO37" s="180">
        <f t="shared" si="19"/>
        <v>0.54873646209386284</v>
      </c>
      <c r="BP37" s="278">
        <f t="shared" si="20"/>
        <v>0.4660048134777377</v>
      </c>
      <c r="BQ37" s="199">
        <v>85</v>
      </c>
      <c r="BR37" s="200">
        <v>85</v>
      </c>
      <c r="BS37" s="201">
        <v>75</v>
      </c>
      <c r="BT37" s="200">
        <v>75</v>
      </c>
      <c r="BU37" s="201">
        <v>85</v>
      </c>
      <c r="BV37" s="200">
        <v>85</v>
      </c>
      <c r="BW37" s="201">
        <v>75</v>
      </c>
      <c r="BX37" s="200">
        <v>75</v>
      </c>
      <c r="BY37" s="201"/>
      <c r="BZ37" s="200"/>
      <c r="CA37" s="202">
        <f t="shared" si="21"/>
        <v>78.333333333333329</v>
      </c>
      <c r="CB37" s="203">
        <f t="shared" si="22"/>
        <v>78.333333333333329</v>
      </c>
      <c r="CC37" s="202">
        <f t="shared" si="23"/>
        <v>6.6666666666666714</v>
      </c>
      <c r="CD37" s="203">
        <f t="shared" si="24"/>
        <v>6.6666666666666714</v>
      </c>
      <c r="CE37" s="337"/>
      <c r="CF37" s="329" t="s">
        <v>177</v>
      </c>
      <c r="CG37" s="329"/>
      <c r="CH37" s="285">
        <v>85</v>
      </c>
      <c r="CI37" s="286">
        <v>85</v>
      </c>
      <c r="CJ37" s="287"/>
      <c r="CK37" s="286"/>
      <c r="CL37" s="287"/>
      <c r="CM37" s="286"/>
      <c r="CN37" s="287"/>
      <c r="CO37" s="286"/>
      <c r="CP37" s="287"/>
      <c r="CQ37" s="286"/>
      <c r="CR37" s="284">
        <f t="shared" si="25"/>
        <v>0</v>
      </c>
      <c r="CS37" s="284">
        <f t="shared" si="26"/>
        <v>0</v>
      </c>
      <c r="CT37" s="321"/>
      <c r="CU37" s="124">
        <f t="shared" si="27"/>
        <v>0</v>
      </c>
      <c r="CV37" s="125">
        <f t="shared" si="28"/>
        <v>0</v>
      </c>
      <c r="CW37" s="124">
        <f t="shared" si="29"/>
        <v>85</v>
      </c>
      <c r="CX37" s="125">
        <f t="shared" si="30"/>
        <v>85</v>
      </c>
      <c r="CY37" s="314" t="s">
        <v>178</v>
      </c>
      <c r="CZ37" s="132">
        <v>114</v>
      </c>
      <c r="DA37" s="133">
        <v>38</v>
      </c>
      <c r="DB37" s="180">
        <f t="shared" si="31"/>
        <v>0.54873646209386284</v>
      </c>
      <c r="DC37" s="132">
        <v>114</v>
      </c>
      <c r="DD37" s="133">
        <v>38</v>
      </c>
      <c r="DE37" s="180">
        <f t="shared" si="32"/>
        <v>0.54873646209386284</v>
      </c>
      <c r="DF37" s="132">
        <v>115</v>
      </c>
      <c r="DH37" s="133">
        <v>37</v>
      </c>
      <c r="DI37" s="180">
        <f t="shared" si="33"/>
        <v>0.54873646209386284</v>
      </c>
    </row>
    <row r="38" spans="1:114" x14ac:dyDescent="0.3">
      <c r="A38" s="2" t="s">
        <v>179</v>
      </c>
      <c r="B38" s="301" t="s">
        <v>128</v>
      </c>
      <c r="C38" s="302" t="s">
        <v>180</v>
      </c>
      <c r="D38" s="3">
        <v>107.935483870968</v>
      </c>
      <c r="E38" s="13">
        <v>7611.05</v>
      </c>
      <c r="F38" s="42">
        <f t="shared" si="34"/>
        <v>70.514808726837842</v>
      </c>
      <c r="G38" s="3">
        <v>106.928571428571</v>
      </c>
      <c r="H38" s="13">
        <v>7417.88</v>
      </c>
      <c r="I38" s="42">
        <f t="shared" si="35"/>
        <v>69.372291249165272</v>
      </c>
      <c r="J38" s="3">
        <v>105.54838709677399</v>
      </c>
      <c r="K38" s="13">
        <v>7137.41</v>
      </c>
      <c r="L38" s="42">
        <f t="shared" si="36"/>
        <v>67.622160757946332</v>
      </c>
      <c r="M38" s="18">
        <v>104.133333333333</v>
      </c>
      <c r="N38" s="13">
        <v>6883.08</v>
      </c>
      <c r="O38" s="43">
        <f t="shared" si="3"/>
        <v>66.098719590269098</v>
      </c>
      <c r="P38" s="3">
        <v>103.870967741935</v>
      </c>
      <c r="Q38" s="13">
        <v>6866.43</v>
      </c>
      <c r="R38" s="42">
        <f t="shared" si="4"/>
        <v>66.105381987577942</v>
      </c>
      <c r="S38" s="3">
        <v>101.9</v>
      </c>
      <c r="T38" s="13">
        <v>6640.07</v>
      </c>
      <c r="U38" s="42">
        <f t="shared" si="5"/>
        <v>65.162610402355241</v>
      </c>
      <c r="V38" s="3">
        <v>101.709677419355</v>
      </c>
      <c r="W38" s="13">
        <v>6514.75</v>
      </c>
      <c r="X38" s="42">
        <f t="shared" si="6"/>
        <v>64.052410402790883</v>
      </c>
      <c r="Y38" s="3">
        <v>101.161290322581</v>
      </c>
      <c r="Z38" s="13">
        <v>6361.53</v>
      </c>
      <c r="AA38" s="191">
        <f t="shared" si="7"/>
        <v>62.885022321428352</v>
      </c>
      <c r="AB38" s="29"/>
      <c r="AC38" s="175"/>
      <c r="AD38" s="192">
        <v>155</v>
      </c>
      <c r="AE38" s="193">
        <v>0</v>
      </c>
      <c r="AF38" s="309">
        <v>0</v>
      </c>
      <c r="AG38" s="2">
        <v>102</v>
      </c>
      <c r="AH38" s="179">
        <f t="shared" si="8"/>
        <v>0.65806451612903227</v>
      </c>
      <c r="AI38" s="192"/>
      <c r="AJ38" s="193"/>
      <c r="AK38" s="180">
        <f t="shared" si="9"/>
        <v>0</v>
      </c>
      <c r="AL38" s="196">
        <v>106</v>
      </c>
      <c r="AM38" s="12"/>
      <c r="AN38" s="180">
        <f t="shared" si="10"/>
        <v>0.68387096774193545</v>
      </c>
      <c r="AO38" s="213"/>
      <c r="AP38" s="215"/>
      <c r="AQ38" s="180">
        <f t="shared" si="11"/>
        <v>0</v>
      </c>
      <c r="AR38" s="213"/>
      <c r="AS38" s="215"/>
      <c r="AT38" s="180">
        <f t="shared" si="12"/>
        <v>0</v>
      </c>
      <c r="AU38" s="222"/>
      <c r="AV38" s="218"/>
      <c r="AW38" s="180">
        <f t="shared" si="13"/>
        <v>0</v>
      </c>
      <c r="AX38" s="134"/>
      <c r="AY38" s="135"/>
      <c r="AZ38" s="180">
        <f t="shared" si="14"/>
        <v>0</v>
      </c>
      <c r="BA38" s="134"/>
      <c r="BB38" s="135"/>
      <c r="BC38" s="180">
        <f t="shared" si="15"/>
        <v>0</v>
      </c>
      <c r="BD38" s="134"/>
      <c r="BE38" s="135"/>
      <c r="BF38" s="180">
        <f t="shared" si="16"/>
        <v>0</v>
      </c>
      <c r="BG38" s="132"/>
      <c r="BH38" s="133"/>
      <c r="BI38" s="180">
        <f t="shared" si="17"/>
        <v>0</v>
      </c>
      <c r="BJ38" s="133"/>
      <c r="BK38" s="133"/>
      <c r="BL38" s="180">
        <f t="shared" si="18"/>
        <v>0</v>
      </c>
      <c r="BM38" s="132"/>
      <c r="BN38" s="133"/>
      <c r="BO38" s="180">
        <f t="shared" si="19"/>
        <v>0</v>
      </c>
      <c r="BP38" s="278">
        <f t="shared" si="20"/>
        <v>5.6989247311827952E-2</v>
      </c>
      <c r="BQ38" s="199">
        <v>75</v>
      </c>
      <c r="BR38" s="200">
        <v>75</v>
      </c>
      <c r="BS38" s="201">
        <v>75</v>
      </c>
      <c r="BT38" s="200">
        <v>75</v>
      </c>
      <c r="BU38" s="201">
        <v>85</v>
      </c>
      <c r="BV38" s="200">
        <v>85</v>
      </c>
      <c r="BW38" s="201">
        <v>75</v>
      </c>
      <c r="BX38" s="200">
        <v>75</v>
      </c>
      <c r="BY38" s="201"/>
      <c r="BZ38" s="200"/>
      <c r="CA38" s="202">
        <f t="shared" si="21"/>
        <v>78.333333333333329</v>
      </c>
      <c r="CB38" s="203">
        <f t="shared" si="22"/>
        <v>78.333333333333329</v>
      </c>
      <c r="CC38" s="202">
        <f t="shared" si="23"/>
        <v>-3.3333333333333286</v>
      </c>
      <c r="CD38" s="203">
        <f t="shared" si="24"/>
        <v>-3.3333333333333286</v>
      </c>
      <c r="CE38" s="337"/>
      <c r="CF38" s="329"/>
      <c r="CG38" s="329"/>
      <c r="CH38" s="285">
        <v>75</v>
      </c>
      <c r="CI38" s="286">
        <v>75</v>
      </c>
      <c r="CJ38" s="287"/>
      <c r="CK38" s="286"/>
      <c r="CL38" s="287"/>
      <c r="CM38" s="286"/>
      <c r="CN38" s="287"/>
      <c r="CO38" s="286"/>
      <c r="CP38" s="287"/>
      <c r="CQ38" s="286"/>
      <c r="CR38" s="284">
        <f t="shared" si="25"/>
        <v>0</v>
      </c>
      <c r="CS38" s="284">
        <f t="shared" si="26"/>
        <v>0</v>
      </c>
      <c r="CT38" s="323"/>
      <c r="CU38" s="124">
        <f t="shared" si="27"/>
        <v>0</v>
      </c>
      <c r="CV38" s="125">
        <f t="shared" si="28"/>
        <v>0</v>
      </c>
      <c r="CW38" s="124">
        <f t="shared" si="29"/>
        <v>75</v>
      </c>
      <c r="CX38" s="125">
        <f t="shared" si="30"/>
        <v>75</v>
      </c>
      <c r="CY38" s="314" t="s">
        <v>181</v>
      </c>
      <c r="CZ38" s="132"/>
      <c r="DA38" s="133"/>
      <c r="DB38" s="180">
        <f t="shared" si="31"/>
        <v>0</v>
      </c>
      <c r="DC38" s="132"/>
      <c r="DD38" s="133"/>
      <c r="DE38" s="180">
        <f t="shared" si="32"/>
        <v>0</v>
      </c>
      <c r="DF38" s="132"/>
      <c r="DG38" s="133"/>
      <c r="DH38" s="133"/>
      <c r="DI38" s="180">
        <f t="shared" si="33"/>
        <v>0</v>
      </c>
    </row>
    <row r="39" spans="1:114" x14ac:dyDescent="0.3">
      <c r="A39" s="2" t="s">
        <v>182</v>
      </c>
      <c r="B39" s="301" t="s">
        <v>128</v>
      </c>
      <c r="C39" s="302" t="s">
        <v>183</v>
      </c>
      <c r="D39" s="3">
        <v>186.258064516129</v>
      </c>
      <c r="E39" s="13">
        <v>16240.76</v>
      </c>
      <c r="F39" s="42">
        <f t="shared" si="34"/>
        <v>87.194935919639789</v>
      </c>
      <c r="G39" s="3">
        <v>186.46428571428601</v>
      </c>
      <c r="H39" s="13">
        <v>15992.62</v>
      </c>
      <c r="I39" s="42">
        <f t="shared" si="35"/>
        <v>85.767737981229516</v>
      </c>
      <c r="J39" s="3">
        <v>185.90322580645201</v>
      </c>
      <c r="K39" s="13">
        <v>16050.31</v>
      </c>
      <c r="L39" s="42">
        <f t="shared" si="36"/>
        <v>86.336909595696497</v>
      </c>
      <c r="M39" s="18">
        <v>186.73333333333301</v>
      </c>
      <c r="N39" s="13">
        <v>15860.06</v>
      </c>
      <c r="O39" s="43">
        <f t="shared" si="3"/>
        <v>84.934273473759518</v>
      </c>
      <c r="P39" s="3">
        <v>187.064516129032</v>
      </c>
      <c r="Q39" s="13">
        <v>15213.88</v>
      </c>
      <c r="R39" s="42">
        <f t="shared" si="4"/>
        <v>81.329587859975959</v>
      </c>
      <c r="S39" s="3">
        <v>189.46666666666701</v>
      </c>
      <c r="T39" s="13">
        <v>15227.56</v>
      </c>
      <c r="U39" s="42">
        <f t="shared" si="5"/>
        <v>80.370654468683881</v>
      </c>
      <c r="V39" s="3">
        <v>185.129032258065</v>
      </c>
      <c r="W39" s="13">
        <v>15148.55</v>
      </c>
      <c r="X39" s="42">
        <f t="shared" si="6"/>
        <v>81.826982052622199</v>
      </c>
      <c r="Y39" s="3">
        <v>186.35483870967701</v>
      </c>
      <c r="Z39" s="13">
        <v>15836.11</v>
      </c>
      <c r="AA39" s="191">
        <f t="shared" si="7"/>
        <v>84.978260342738636</v>
      </c>
      <c r="AB39" s="29"/>
      <c r="AC39" s="175"/>
      <c r="AD39" s="192">
        <v>245</v>
      </c>
      <c r="AE39" s="193">
        <v>40</v>
      </c>
      <c r="AF39" s="309">
        <v>0</v>
      </c>
      <c r="AG39" s="2">
        <v>190</v>
      </c>
      <c r="AH39" s="179">
        <f t="shared" si="8"/>
        <v>0.66666666666666663</v>
      </c>
      <c r="AI39" s="192"/>
      <c r="AJ39" s="193"/>
      <c r="AK39" s="180">
        <f t="shared" si="9"/>
        <v>0</v>
      </c>
      <c r="AL39" s="196">
        <v>178</v>
      </c>
      <c r="AM39" s="12">
        <v>0</v>
      </c>
      <c r="AN39" s="180">
        <f t="shared" si="10"/>
        <v>0.62456140350877198</v>
      </c>
      <c r="AO39" s="213"/>
      <c r="AP39" s="215"/>
      <c r="AQ39" s="180">
        <f t="shared" si="11"/>
        <v>0</v>
      </c>
      <c r="AR39" s="213"/>
      <c r="AS39" s="215"/>
      <c r="AT39" s="180">
        <f t="shared" si="12"/>
        <v>0</v>
      </c>
      <c r="AU39" s="222"/>
      <c r="AV39" s="218"/>
      <c r="AW39" s="180">
        <f t="shared" si="13"/>
        <v>0</v>
      </c>
      <c r="AX39" s="134"/>
      <c r="AY39" s="135"/>
      <c r="AZ39" s="180">
        <f t="shared" si="14"/>
        <v>0</v>
      </c>
      <c r="BA39" s="134"/>
      <c r="BB39" s="135"/>
      <c r="BC39" s="180">
        <f t="shared" si="15"/>
        <v>0</v>
      </c>
      <c r="BD39" s="134"/>
      <c r="BE39" s="135"/>
      <c r="BF39" s="180">
        <f t="shared" si="16"/>
        <v>0</v>
      </c>
      <c r="BG39" s="132"/>
      <c r="BH39" s="133"/>
      <c r="BI39" s="180">
        <f t="shared" si="17"/>
        <v>0</v>
      </c>
      <c r="BJ39" s="133"/>
      <c r="BK39" s="133"/>
      <c r="BL39" s="180">
        <f t="shared" si="18"/>
        <v>0</v>
      </c>
      <c r="BM39" s="132"/>
      <c r="BN39" s="133"/>
      <c r="BO39" s="180">
        <f t="shared" si="19"/>
        <v>0</v>
      </c>
      <c r="BP39" s="278">
        <f t="shared" si="20"/>
        <v>5.2046783625731001E-2</v>
      </c>
      <c r="BQ39" s="199">
        <v>90</v>
      </c>
      <c r="BR39" s="200">
        <v>80</v>
      </c>
      <c r="BS39" s="201"/>
      <c r="BT39" s="200">
        <v>0</v>
      </c>
      <c r="BU39" s="201"/>
      <c r="BV39" s="200"/>
      <c r="BW39" s="201"/>
      <c r="BX39" s="200"/>
      <c r="BY39" s="201"/>
      <c r="BZ39" s="200"/>
      <c r="CA39" s="202">
        <f t="shared" si="21"/>
        <v>0</v>
      </c>
      <c r="CB39" s="203">
        <f t="shared" si="22"/>
        <v>0</v>
      </c>
      <c r="CC39" s="202">
        <f t="shared" si="23"/>
        <v>90</v>
      </c>
      <c r="CD39" s="203">
        <f t="shared" si="24"/>
        <v>80</v>
      </c>
      <c r="CE39" s="337"/>
      <c r="CF39" s="329"/>
      <c r="CG39" s="329"/>
      <c r="CH39" s="285" t="s">
        <v>136</v>
      </c>
      <c r="CI39" s="286">
        <v>80</v>
      </c>
      <c r="CJ39" s="287"/>
      <c r="CK39" s="286"/>
      <c r="CL39" s="287"/>
      <c r="CM39" s="286"/>
      <c r="CN39" s="287"/>
      <c r="CO39" s="286"/>
      <c r="CP39" s="287"/>
      <c r="CQ39" s="286"/>
      <c r="CR39" s="284">
        <f t="shared" si="25"/>
        <v>0</v>
      </c>
      <c r="CS39" s="284">
        <f t="shared" si="26"/>
        <v>0</v>
      </c>
      <c r="CT39" s="321"/>
      <c r="CU39" s="124">
        <f t="shared" si="27"/>
        <v>0</v>
      </c>
      <c r="CV39" s="125">
        <f t="shared" si="28"/>
        <v>0</v>
      </c>
      <c r="CW39" s="124" t="e">
        <f t="shared" si="29"/>
        <v>#VALUE!</v>
      </c>
      <c r="CX39" s="125">
        <f t="shared" si="30"/>
        <v>80</v>
      </c>
      <c r="CY39" s="314" t="s">
        <v>184</v>
      </c>
      <c r="CZ39" s="132"/>
      <c r="DA39" s="133"/>
      <c r="DB39" s="180">
        <f t="shared" si="31"/>
        <v>0</v>
      </c>
      <c r="DC39" s="132"/>
      <c r="DD39" s="133"/>
      <c r="DE39" s="180">
        <f t="shared" si="32"/>
        <v>0</v>
      </c>
      <c r="DF39" s="132"/>
      <c r="DG39" s="133"/>
      <c r="DH39" s="133"/>
      <c r="DI39" s="180">
        <f t="shared" si="33"/>
        <v>0</v>
      </c>
    </row>
    <row r="40" spans="1:114" x14ac:dyDescent="0.3">
      <c r="A40" s="2" t="s">
        <v>185</v>
      </c>
      <c r="B40" s="301" t="s">
        <v>128</v>
      </c>
      <c r="C40" s="302" t="s">
        <v>186</v>
      </c>
      <c r="D40" s="3">
        <v>160.96774193548401</v>
      </c>
      <c r="E40" s="13">
        <v>10619.96</v>
      </c>
      <c r="F40" s="42">
        <f t="shared" si="34"/>
        <v>65.975703406813565</v>
      </c>
      <c r="G40" s="3">
        <v>160.17857142857099</v>
      </c>
      <c r="H40" s="13">
        <v>10634.76</v>
      </c>
      <c r="I40" s="42">
        <f t="shared" si="35"/>
        <v>66.393150501672423</v>
      </c>
      <c r="J40" s="3">
        <v>163.03225806451599</v>
      </c>
      <c r="K40" s="13">
        <v>10621.2</v>
      </c>
      <c r="L40" s="42">
        <f t="shared" si="36"/>
        <v>65.147843292441692</v>
      </c>
      <c r="M40" s="18">
        <v>163.26666666666699</v>
      </c>
      <c r="N40" s="13">
        <v>8553.89</v>
      </c>
      <c r="O40" s="43">
        <f t="shared" si="3"/>
        <v>52.392139648836149</v>
      </c>
      <c r="P40" s="3">
        <v>163.35483870967701</v>
      </c>
      <c r="Q40" s="13">
        <v>8276.2000000000007</v>
      </c>
      <c r="R40" s="42">
        <f t="shared" si="4"/>
        <v>50.663941548183388</v>
      </c>
      <c r="S40" s="3">
        <v>164.3</v>
      </c>
      <c r="T40" s="13">
        <v>7176.78</v>
      </c>
      <c r="U40" s="42">
        <f t="shared" si="5"/>
        <v>43.680949482653681</v>
      </c>
      <c r="V40" s="3">
        <v>163.935483870968</v>
      </c>
      <c r="W40" s="13">
        <v>7859.06</v>
      </c>
      <c r="X40" s="42">
        <f t="shared" si="6"/>
        <v>47.93995670995664</v>
      </c>
      <c r="Y40" s="3">
        <v>163.129032258065</v>
      </c>
      <c r="Z40" s="13">
        <v>8896.09</v>
      </c>
      <c r="AA40" s="191">
        <f t="shared" si="7"/>
        <v>54.5340696064859</v>
      </c>
      <c r="AB40" s="29"/>
      <c r="AC40" s="175"/>
      <c r="AD40" s="192">
        <v>150</v>
      </c>
      <c r="AE40" s="193">
        <v>70</v>
      </c>
      <c r="AF40" s="309">
        <v>0</v>
      </c>
      <c r="AG40" s="2">
        <v>174</v>
      </c>
      <c r="AH40" s="179">
        <f t="shared" si="8"/>
        <v>0.79090909090909089</v>
      </c>
      <c r="AI40" s="192">
        <f>AD40-25</f>
        <v>125</v>
      </c>
      <c r="AJ40" s="193">
        <f>AE40-31</f>
        <v>39</v>
      </c>
      <c r="AK40" s="180">
        <f t="shared" si="9"/>
        <v>0.74545454545454548</v>
      </c>
      <c r="AL40" s="196">
        <v>122</v>
      </c>
      <c r="AM40" s="12">
        <v>39</v>
      </c>
      <c r="AN40" s="180">
        <f t="shared" si="10"/>
        <v>0.73181818181818181</v>
      </c>
      <c r="AO40" s="193">
        <v>122</v>
      </c>
      <c r="AP40" s="215">
        <v>34</v>
      </c>
      <c r="AQ40" s="180">
        <f t="shared" si="11"/>
        <v>0.70909090909090911</v>
      </c>
      <c r="AR40" s="193">
        <v>122</v>
      </c>
      <c r="AS40" s="215">
        <v>34</v>
      </c>
      <c r="AT40" s="180">
        <f t="shared" si="12"/>
        <v>0.70909090909090911</v>
      </c>
      <c r="AU40" s="216">
        <v>123</v>
      </c>
      <c r="AV40" s="194">
        <v>35</v>
      </c>
      <c r="AW40" s="180">
        <f t="shared" si="13"/>
        <v>0.71818181818181814</v>
      </c>
      <c r="AX40" s="134"/>
      <c r="AY40" s="135"/>
      <c r="AZ40" s="180">
        <f t="shared" si="14"/>
        <v>0</v>
      </c>
      <c r="BA40" s="134">
        <v>121</v>
      </c>
      <c r="BB40" s="135">
        <v>34</v>
      </c>
      <c r="BC40" s="180">
        <f t="shared" si="15"/>
        <v>0.70454545454545459</v>
      </c>
      <c r="BD40" s="134">
        <v>121</v>
      </c>
      <c r="BE40" s="135">
        <v>34</v>
      </c>
      <c r="BF40" s="180">
        <f t="shared" si="16"/>
        <v>0.70454545454545459</v>
      </c>
      <c r="BG40" s="132">
        <v>119</v>
      </c>
      <c r="BH40" s="133">
        <v>31</v>
      </c>
      <c r="BI40" s="180">
        <f t="shared" si="17"/>
        <v>0.68181818181818177</v>
      </c>
      <c r="BJ40" s="133">
        <v>117</v>
      </c>
      <c r="BK40" s="133">
        <v>31</v>
      </c>
      <c r="BL40" s="180">
        <f t="shared" si="18"/>
        <v>0.67272727272727273</v>
      </c>
      <c r="BM40" s="132">
        <v>115</v>
      </c>
      <c r="BN40" s="133">
        <v>32</v>
      </c>
      <c r="BO40" s="180">
        <f t="shared" si="19"/>
        <v>0.66818181818181821</v>
      </c>
      <c r="BP40" s="278">
        <f t="shared" si="20"/>
        <v>0.64924242424242407</v>
      </c>
      <c r="BQ40" s="199">
        <v>100</v>
      </c>
      <c r="BR40" s="200">
        <v>85</v>
      </c>
      <c r="BS40" s="201">
        <v>85</v>
      </c>
      <c r="BT40" s="200">
        <v>0</v>
      </c>
      <c r="BU40" s="201">
        <v>85</v>
      </c>
      <c r="BV40" s="200"/>
      <c r="BW40" s="201">
        <v>85</v>
      </c>
      <c r="BX40" s="200"/>
      <c r="BY40" s="201"/>
      <c r="BZ40" s="200"/>
      <c r="CA40" s="202">
        <f t="shared" si="21"/>
        <v>85</v>
      </c>
      <c r="CB40" s="203">
        <f t="shared" si="22"/>
        <v>0</v>
      </c>
      <c r="CC40" s="202">
        <f t="shared" si="23"/>
        <v>15</v>
      </c>
      <c r="CD40" s="203">
        <f t="shared" si="24"/>
        <v>85</v>
      </c>
      <c r="CE40" s="337"/>
      <c r="CF40" s="329" t="s">
        <v>187</v>
      </c>
      <c r="CG40" s="329"/>
      <c r="CH40" s="285">
        <v>100</v>
      </c>
      <c r="CI40" s="286">
        <v>85</v>
      </c>
      <c r="CJ40" s="287">
        <v>90</v>
      </c>
      <c r="CK40" s="286"/>
      <c r="CL40" s="287">
        <v>100</v>
      </c>
      <c r="CM40" s="286"/>
      <c r="CN40" s="287">
        <v>110</v>
      </c>
      <c r="CO40" s="286"/>
      <c r="CP40" s="287">
        <v>100</v>
      </c>
      <c r="CQ40" s="286"/>
      <c r="CR40" s="284">
        <f t="shared" si="25"/>
        <v>100</v>
      </c>
      <c r="CS40" s="284">
        <f t="shared" si="26"/>
        <v>0</v>
      </c>
      <c r="CT40" s="321" t="s">
        <v>188</v>
      </c>
      <c r="CU40" s="124">
        <f t="shared" si="27"/>
        <v>100</v>
      </c>
      <c r="CV40" s="125">
        <f t="shared" si="28"/>
        <v>0</v>
      </c>
      <c r="CW40" s="124">
        <f t="shared" si="29"/>
        <v>0</v>
      </c>
      <c r="CX40" s="125">
        <f t="shared" si="30"/>
        <v>85</v>
      </c>
      <c r="CY40" s="314" t="s">
        <v>189</v>
      </c>
      <c r="CZ40" s="132">
        <v>115</v>
      </c>
      <c r="DA40" s="133">
        <v>32</v>
      </c>
      <c r="DB40" s="180">
        <f t="shared" si="31"/>
        <v>0.66818181818181821</v>
      </c>
      <c r="DC40" s="132">
        <v>115</v>
      </c>
      <c r="DD40" s="133">
        <v>32</v>
      </c>
      <c r="DE40" s="180">
        <f t="shared" si="32"/>
        <v>0.66818181818181821</v>
      </c>
      <c r="DF40" s="132">
        <v>117</v>
      </c>
      <c r="DH40" s="133">
        <v>31</v>
      </c>
      <c r="DI40" s="180">
        <f t="shared" si="33"/>
        <v>0.67272727272727273</v>
      </c>
    </row>
    <row r="41" spans="1:114" x14ac:dyDescent="0.3">
      <c r="A41" s="2" t="s">
        <v>190</v>
      </c>
      <c r="B41" s="301" t="s">
        <v>128</v>
      </c>
      <c r="C41" s="302" t="s">
        <v>191</v>
      </c>
      <c r="D41" s="3">
        <v>177.322580645161</v>
      </c>
      <c r="E41" s="13">
        <v>24531.43</v>
      </c>
      <c r="F41" s="42">
        <f t="shared" si="34"/>
        <v>138.34352010187399</v>
      </c>
      <c r="G41" s="3">
        <v>183.92857142857099</v>
      </c>
      <c r="H41" s="13">
        <v>18290.64</v>
      </c>
      <c r="I41" s="42">
        <f t="shared" si="35"/>
        <v>99.444256310679847</v>
      </c>
      <c r="J41" s="3">
        <v>190.064516129032</v>
      </c>
      <c r="K41" s="13">
        <v>20847.61</v>
      </c>
      <c r="L41" s="42">
        <f t="shared" si="36"/>
        <v>109.68701799049573</v>
      </c>
      <c r="M41" s="18">
        <v>188.36666666666699</v>
      </c>
      <c r="N41" s="13">
        <v>21341.55</v>
      </c>
      <c r="O41" s="43">
        <f t="shared" si="3"/>
        <v>113.2979118740044</v>
      </c>
      <c r="P41" s="3">
        <v>186.48387096774201</v>
      </c>
      <c r="Q41" s="13">
        <v>19759.23</v>
      </c>
      <c r="R41" s="42">
        <f t="shared" si="4"/>
        <v>105.95677737415667</v>
      </c>
      <c r="S41" s="3">
        <v>191.9</v>
      </c>
      <c r="T41" s="13">
        <v>20626.650000000001</v>
      </c>
      <c r="U41" s="42">
        <f t="shared" si="5"/>
        <v>107.48645127670662</v>
      </c>
      <c r="V41" s="3">
        <v>195.29032258064501</v>
      </c>
      <c r="W41" s="13">
        <v>25564.99</v>
      </c>
      <c r="X41" s="42">
        <f t="shared" si="6"/>
        <v>130.90761314833179</v>
      </c>
      <c r="Y41" s="3">
        <v>199.193548387097</v>
      </c>
      <c r="Z41" s="13">
        <v>21074.74</v>
      </c>
      <c r="AA41" s="191">
        <f t="shared" si="7"/>
        <v>105.80031417004038</v>
      </c>
      <c r="AB41" s="29"/>
      <c r="AC41" s="175"/>
      <c r="AD41" s="192">
        <v>201</v>
      </c>
      <c r="AE41" s="193">
        <v>19</v>
      </c>
      <c r="AF41" s="309">
        <v>0</v>
      </c>
      <c r="AG41" s="2">
        <v>128</v>
      </c>
      <c r="AH41" s="179">
        <f t="shared" si="8"/>
        <v>0.58181818181818179</v>
      </c>
      <c r="AI41" s="192">
        <f>AD41-57</f>
        <v>144</v>
      </c>
      <c r="AJ41" s="193"/>
      <c r="AK41" s="180">
        <f t="shared" si="9"/>
        <v>0.65454545454545454</v>
      </c>
      <c r="AL41" s="196"/>
      <c r="AM41" s="12"/>
      <c r="AN41" s="180">
        <f t="shared" si="10"/>
        <v>0</v>
      </c>
      <c r="AO41" s="213">
        <v>117</v>
      </c>
      <c r="AP41" s="215"/>
      <c r="AQ41" s="180">
        <f t="shared" si="11"/>
        <v>0.53181818181818186</v>
      </c>
      <c r="AR41" s="213">
        <v>117</v>
      </c>
      <c r="AS41" s="215"/>
      <c r="AT41" s="180">
        <f t="shared" si="12"/>
        <v>0.53181818181818186</v>
      </c>
      <c r="AU41" s="216">
        <v>112</v>
      </c>
      <c r="AV41" s="194"/>
      <c r="AW41" s="180">
        <f t="shared" si="13"/>
        <v>0.50909090909090904</v>
      </c>
      <c r="AX41" s="223"/>
      <c r="AY41"/>
      <c r="AZ41" s="180">
        <f t="shared" si="14"/>
        <v>0</v>
      </c>
      <c r="BA41" s="134">
        <v>112</v>
      </c>
      <c r="BB41" s="135"/>
      <c r="BC41" s="180">
        <f t="shared" si="15"/>
        <v>0.50909090909090904</v>
      </c>
      <c r="BD41" s="134">
        <v>112</v>
      </c>
      <c r="BE41" s="135"/>
      <c r="BF41" s="180">
        <f t="shared" si="16"/>
        <v>0.50909090909090904</v>
      </c>
      <c r="BG41" s="132">
        <v>113</v>
      </c>
      <c r="BH41" s="133"/>
      <c r="BI41" s="180">
        <f t="shared" si="17"/>
        <v>0.51363636363636367</v>
      </c>
      <c r="BJ41" s="133">
        <v>110</v>
      </c>
      <c r="BK41" s="133"/>
      <c r="BL41" s="180">
        <f t="shared" si="18"/>
        <v>0.5</v>
      </c>
      <c r="BM41" s="132">
        <v>107</v>
      </c>
      <c r="BN41" s="133"/>
      <c r="BO41" s="180">
        <f t="shared" si="19"/>
        <v>0.48636363636363639</v>
      </c>
      <c r="BP41" s="278">
        <f t="shared" si="20"/>
        <v>0.4499999999999999</v>
      </c>
      <c r="BQ41" s="199">
        <v>200</v>
      </c>
      <c r="BR41" s="200"/>
      <c r="BS41" s="201"/>
      <c r="BT41" s="200">
        <v>0</v>
      </c>
      <c r="BU41" s="201"/>
      <c r="BV41" s="200"/>
      <c r="BW41" s="201"/>
      <c r="BX41" s="200"/>
      <c r="BY41" s="201"/>
      <c r="BZ41" s="200"/>
      <c r="CA41" s="202">
        <f t="shared" si="21"/>
        <v>0</v>
      </c>
      <c r="CB41" s="203">
        <f t="shared" si="22"/>
        <v>0</v>
      </c>
      <c r="CC41" s="202">
        <f t="shared" si="23"/>
        <v>200</v>
      </c>
      <c r="CD41" s="203">
        <f t="shared" si="24"/>
        <v>0</v>
      </c>
      <c r="CE41" s="337"/>
      <c r="CF41" s="329" t="s">
        <v>192</v>
      </c>
      <c r="CG41" s="329"/>
      <c r="CH41" s="285" t="s">
        <v>193</v>
      </c>
      <c r="CI41" s="286"/>
      <c r="CJ41" s="287"/>
      <c r="CK41" s="286"/>
      <c r="CL41" s="287"/>
      <c r="CM41" s="286"/>
      <c r="CN41" s="287"/>
      <c r="CO41" s="286"/>
      <c r="CP41" s="287"/>
      <c r="CQ41" s="286"/>
      <c r="CR41" s="284">
        <f t="shared" si="25"/>
        <v>0</v>
      </c>
      <c r="CS41" s="284">
        <f t="shared" si="26"/>
        <v>0</v>
      </c>
      <c r="CT41" s="321"/>
      <c r="CU41" s="124">
        <f t="shared" si="27"/>
        <v>0</v>
      </c>
      <c r="CV41" s="125">
        <f t="shared" si="28"/>
        <v>0</v>
      </c>
      <c r="CW41" s="124" t="e">
        <f t="shared" si="29"/>
        <v>#VALUE!</v>
      </c>
      <c r="CX41" s="125">
        <f t="shared" si="30"/>
        <v>0</v>
      </c>
      <c r="CY41" s="314"/>
      <c r="CZ41" s="132">
        <v>107</v>
      </c>
      <c r="DA41" s="133"/>
      <c r="DB41" s="180">
        <f t="shared" si="31"/>
        <v>0.48636363636363639</v>
      </c>
      <c r="DC41" s="132">
        <v>107</v>
      </c>
      <c r="DD41" s="133"/>
      <c r="DE41" s="180">
        <f t="shared" si="32"/>
        <v>0.48636363636363639</v>
      </c>
      <c r="DF41" s="132">
        <v>94</v>
      </c>
      <c r="DH41" s="133">
        <v>6</v>
      </c>
      <c r="DI41" s="180">
        <f t="shared" si="33"/>
        <v>0.45454545454545453</v>
      </c>
    </row>
    <row r="42" spans="1:114" x14ac:dyDescent="0.3">
      <c r="A42" s="2" t="s">
        <v>194</v>
      </c>
      <c r="B42" s="301" t="s">
        <v>128</v>
      </c>
      <c r="C42" s="302" t="s">
        <v>195</v>
      </c>
      <c r="D42" s="3">
        <v>280.61290322580601</v>
      </c>
      <c r="E42" s="13">
        <v>29117.37</v>
      </c>
      <c r="F42" s="42">
        <f t="shared" si="34"/>
        <v>103.76347511208201</v>
      </c>
      <c r="G42" s="3">
        <v>276</v>
      </c>
      <c r="H42" s="13">
        <v>27676.74</v>
      </c>
      <c r="I42" s="42">
        <f t="shared" si="35"/>
        <v>100.27804347826087</v>
      </c>
      <c r="J42" s="3">
        <v>275.25806451612902</v>
      </c>
      <c r="K42" s="13">
        <v>27450.07</v>
      </c>
      <c r="L42" s="42">
        <f t="shared" si="36"/>
        <v>99.724852923942336</v>
      </c>
      <c r="M42" s="18">
        <v>276.066666666667</v>
      </c>
      <c r="N42" s="13">
        <v>27468.23</v>
      </c>
      <c r="O42" s="43">
        <f t="shared" si="3"/>
        <v>99.498539000241365</v>
      </c>
      <c r="P42" s="3">
        <v>275.45161290322602</v>
      </c>
      <c r="Q42" s="13">
        <v>27316.46</v>
      </c>
      <c r="R42" s="42">
        <f t="shared" si="4"/>
        <v>99.169722449935506</v>
      </c>
      <c r="S42" s="3">
        <v>275.066666666667</v>
      </c>
      <c r="T42" s="13">
        <v>27421.93</v>
      </c>
      <c r="U42" s="42">
        <f t="shared" si="5"/>
        <v>99.691941347551989</v>
      </c>
      <c r="V42" s="3">
        <v>270.51612903225799</v>
      </c>
      <c r="W42" s="13">
        <v>26590.95</v>
      </c>
      <c r="X42" s="42">
        <f t="shared" si="6"/>
        <v>98.297096351061327</v>
      </c>
      <c r="Y42" s="3">
        <v>273.22580645161298</v>
      </c>
      <c r="Z42" s="13">
        <v>27247.06</v>
      </c>
      <c r="AA42" s="191">
        <f t="shared" si="7"/>
        <v>99.723596221959838</v>
      </c>
      <c r="AB42" s="29"/>
      <c r="AC42" s="175"/>
      <c r="AD42" s="192">
        <v>290</v>
      </c>
      <c r="AE42" s="193">
        <v>38</v>
      </c>
      <c r="AF42" s="309">
        <v>0</v>
      </c>
      <c r="AG42" s="2">
        <v>276</v>
      </c>
      <c r="AH42" s="179">
        <f t="shared" si="8"/>
        <v>0.84146341463414631</v>
      </c>
      <c r="AI42" s="192"/>
      <c r="AJ42" s="193"/>
      <c r="AK42" s="180">
        <f t="shared" si="9"/>
        <v>0</v>
      </c>
      <c r="AL42" s="196">
        <v>261</v>
      </c>
      <c r="AM42" s="12">
        <v>29</v>
      </c>
      <c r="AN42" s="180">
        <f t="shared" si="10"/>
        <v>0.88414634146341464</v>
      </c>
      <c r="AO42" s="193">
        <v>220</v>
      </c>
      <c r="AP42" s="215">
        <v>27</v>
      </c>
      <c r="AQ42" s="180">
        <f t="shared" si="11"/>
        <v>0.75304878048780488</v>
      </c>
      <c r="AR42" s="193">
        <v>220</v>
      </c>
      <c r="AS42" s="215">
        <v>27</v>
      </c>
      <c r="AT42" s="180">
        <f t="shared" si="12"/>
        <v>0.75304878048780488</v>
      </c>
      <c r="AU42" s="216">
        <v>243</v>
      </c>
      <c r="AV42" s="194">
        <v>28</v>
      </c>
      <c r="AW42" s="180">
        <f t="shared" si="13"/>
        <v>0.82621951219512191</v>
      </c>
      <c r="AX42" s="134">
        <v>245</v>
      </c>
      <c r="AY42" s="135">
        <v>28</v>
      </c>
      <c r="AZ42" s="180">
        <f t="shared" si="14"/>
        <v>0.83231707317073167</v>
      </c>
      <c r="BA42" s="134">
        <v>261</v>
      </c>
      <c r="BB42" s="135">
        <v>26</v>
      </c>
      <c r="BC42" s="180">
        <f t="shared" si="15"/>
        <v>0.875</v>
      </c>
      <c r="BD42" s="134">
        <v>261</v>
      </c>
      <c r="BE42" s="135">
        <v>26</v>
      </c>
      <c r="BF42" s="180">
        <f t="shared" si="16"/>
        <v>0.875</v>
      </c>
      <c r="BG42" s="132">
        <v>258</v>
      </c>
      <c r="BH42" s="133">
        <v>26</v>
      </c>
      <c r="BI42" s="180">
        <f t="shared" si="17"/>
        <v>0.86585365853658536</v>
      </c>
      <c r="BJ42" s="133">
        <v>261</v>
      </c>
      <c r="BK42" s="133">
        <v>27</v>
      </c>
      <c r="BL42" s="180">
        <f t="shared" si="18"/>
        <v>0.87804878048780488</v>
      </c>
      <c r="BM42" s="132">
        <v>266</v>
      </c>
      <c r="BN42" s="133">
        <v>28</v>
      </c>
      <c r="BO42" s="180">
        <f t="shared" si="19"/>
        <v>0.89634146341463417</v>
      </c>
      <c r="BP42" s="278">
        <f t="shared" si="20"/>
        <v>0.7032520325203252</v>
      </c>
      <c r="BQ42" s="199">
        <v>120</v>
      </c>
      <c r="BR42" s="200">
        <v>85</v>
      </c>
      <c r="BS42" s="201">
        <v>90</v>
      </c>
      <c r="BT42" s="200">
        <v>65</v>
      </c>
      <c r="BU42" s="201">
        <v>110</v>
      </c>
      <c r="BV42" s="200">
        <v>90</v>
      </c>
      <c r="BW42" s="201">
        <v>85</v>
      </c>
      <c r="BX42" s="200">
        <v>65</v>
      </c>
      <c r="BY42" s="201">
        <v>110</v>
      </c>
      <c r="BZ42" s="200" t="s">
        <v>196</v>
      </c>
      <c r="CA42" s="202">
        <f t="shared" si="21"/>
        <v>98.75</v>
      </c>
      <c r="CB42" s="203">
        <f t="shared" si="22"/>
        <v>73.333333333333329</v>
      </c>
      <c r="CC42" s="202">
        <f t="shared" si="23"/>
        <v>21.25</v>
      </c>
      <c r="CD42" s="203">
        <f t="shared" si="24"/>
        <v>11.666666666666671</v>
      </c>
      <c r="CE42" s="337"/>
      <c r="CF42" s="329"/>
      <c r="CG42" s="329"/>
      <c r="CH42" s="285">
        <v>120</v>
      </c>
      <c r="CI42" s="286">
        <v>85</v>
      </c>
      <c r="CJ42" s="287"/>
      <c r="CK42" s="286"/>
      <c r="CL42" s="287"/>
      <c r="CM42" s="286"/>
      <c r="CN42" s="287"/>
      <c r="CO42" s="286"/>
      <c r="CP42" s="287"/>
      <c r="CQ42" s="286"/>
      <c r="CR42" s="284">
        <f t="shared" si="25"/>
        <v>0</v>
      </c>
      <c r="CS42" s="284">
        <f t="shared" si="26"/>
        <v>0</v>
      </c>
      <c r="CT42" s="321"/>
      <c r="CU42" s="124">
        <f t="shared" si="27"/>
        <v>0</v>
      </c>
      <c r="CV42" s="125">
        <f t="shared" si="28"/>
        <v>0</v>
      </c>
      <c r="CW42" s="124">
        <f t="shared" si="29"/>
        <v>120</v>
      </c>
      <c r="CX42" s="125">
        <f t="shared" si="30"/>
        <v>85</v>
      </c>
      <c r="CY42" s="314" t="s">
        <v>197</v>
      </c>
      <c r="CZ42" s="132">
        <v>266</v>
      </c>
      <c r="DA42" s="133">
        <v>28</v>
      </c>
      <c r="DB42" s="180">
        <f t="shared" si="31"/>
        <v>0.89634146341463417</v>
      </c>
      <c r="DC42" s="132">
        <v>266</v>
      </c>
      <c r="DD42" s="133">
        <v>28</v>
      </c>
      <c r="DE42" s="180">
        <f t="shared" si="32"/>
        <v>0.89634146341463417</v>
      </c>
      <c r="DF42" s="132">
        <v>267</v>
      </c>
      <c r="DH42" s="133">
        <v>29</v>
      </c>
      <c r="DI42" s="180">
        <f t="shared" si="33"/>
        <v>0.90243902439024393</v>
      </c>
    </row>
    <row r="43" spans="1:114" ht="28.8" x14ac:dyDescent="0.3">
      <c r="A43" s="2" t="s">
        <v>198</v>
      </c>
      <c r="B43" s="301" t="s">
        <v>128</v>
      </c>
      <c r="C43" s="302" t="s">
        <v>199</v>
      </c>
      <c r="D43" s="3">
        <v>224.03225806451599</v>
      </c>
      <c r="E43" s="13">
        <v>9323.57</v>
      </c>
      <c r="F43" s="42">
        <f t="shared" si="34"/>
        <v>41.617087113030983</v>
      </c>
      <c r="G43" s="3">
        <v>222.71428571428601</v>
      </c>
      <c r="H43" s="13">
        <v>7414.21</v>
      </c>
      <c r="I43" s="42">
        <f t="shared" si="35"/>
        <v>33.290230917254604</v>
      </c>
      <c r="J43" s="3">
        <v>220.129032258065</v>
      </c>
      <c r="K43" s="13">
        <v>7224.42</v>
      </c>
      <c r="L43" s="42">
        <f t="shared" si="36"/>
        <v>32.819024032825254</v>
      </c>
      <c r="M43" s="18">
        <v>226.7</v>
      </c>
      <c r="N43" s="13">
        <v>12233</v>
      </c>
      <c r="O43" s="43">
        <f t="shared" si="3"/>
        <v>53.96118217909131</v>
      </c>
      <c r="P43" s="3">
        <v>227.935483870968</v>
      </c>
      <c r="Q43" s="13">
        <v>4375.22</v>
      </c>
      <c r="R43" s="42">
        <f t="shared" si="4"/>
        <v>19.19499292386072</v>
      </c>
      <c r="S43" s="3">
        <v>229.4</v>
      </c>
      <c r="T43" s="13">
        <v>-273.45999999999998</v>
      </c>
      <c r="U43" s="42">
        <f t="shared" si="5"/>
        <v>-1.1920662598081952</v>
      </c>
      <c r="V43" s="3">
        <v>230.29032258064501</v>
      </c>
      <c r="W43" s="13">
        <v>12699.2</v>
      </c>
      <c r="X43" s="42">
        <f t="shared" si="6"/>
        <v>55.144305925199646</v>
      </c>
      <c r="Y43" s="3">
        <v>236.61290322580601</v>
      </c>
      <c r="Z43" s="13">
        <v>7562.5</v>
      </c>
      <c r="AA43" s="191">
        <f t="shared" si="7"/>
        <v>31.961486025903262</v>
      </c>
      <c r="AB43" s="29"/>
      <c r="AC43" s="175"/>
      <c r="AD43" s="192">
        <v>246</v>
      </c>
      <c r="AE43" s="193">
        <v>0</v>
      </c>
      <c r="AF43" s="309">
        <v>0</v>
      </c>
      <c r="AG43" s="2">
        <v>0</v>
      </c>
      <c r="AH43" s="179">
        <f t="shared" si="8"/>
        <v>0</v>
      </c>
      <c r="AI43" s="192"/>
      <c r="AJ43" s="193"/>
      <c r="AK43" s="180">
        <f t="shared" si="9"/>
        <v>0</v>
      </c>
      <c r="AL43" s="196"/>
      <c r="AM43" s="12"/>
      <c r="AN43" s="180">
        <f t="shared" si="10"/>
        <v>0</v>
      </c>
      <c r="AO43" s="193">
        <v>0</v>
      </c>
      <c r="AP43" s="215"/>
      <c r="AQ43" s="180">
        <f t="shared" si="11"/>
        <v>0</v>
      </c>
      <c r="AR43" s="193">
        <v>0</v>
      </c>
      <c r="AS43" s="215"/>
      <c r="AT43" s="180">
        <f t="shared" si="12"/>
        <v>0</v>
      </c>
      <c r="AU43" s="222"/>
      <c r="AV43" s="218"/>
      <c r="AW43" s="180">
        <f t="shared" si="13"/>
        <v>0</v>
      </c>
      <c r="AX43" s="134"/>
      <c r="AY43" s="135"/>
      <c r="AZ43" s="180">
        <f t="shared" si="14"/>
        <v>0</v>
      </c>
      <c r="BA43" s="134"/>
      <c r="BB43" s="135"/>
      <c r="BC43" s="180">
        <f t="shared" si="15"/>
        <v>0</v>
      </c>
      <c r="BD43" s="134"/>
      <c r="BE43" s="135"/>
      <c r="BF43" s="180">
        <f t="shared" si="16"/>
        <v>0</v>
      </c>
      <c r="BG43" s="132"/>
      <c r="BH43" s="133"/>
      <c r="BI43" s="180">
        <f t="shared" si="17"/>
        <v>0</v>
      </c>
      <c r="BJ43" s="133"/>
      <c r="BK43" s="133"/>
      <c r="BL43" s="180">
        <f t="shared" si="18"/>
        <v>0</v>
      </c>
      <c r="BM43" s="132"/>
      <c r="BN43" s="133"/>
      <c r="BO43" s="180">
        <f t="shared" si="19"/>
        <v>0</v>
      </c>
      <c r="BP43" s="278">
        <f t="shared" si="20"/>
        <v>0</v>
      </c>
      <c r="BQ43" s="199"/>
      <c r="BR43" s="200"/>
      <c r="BS43" s="201"/>
      <c r="BT43" s="200"/>
      <c r="BU43" s="201"/>
      <c r="BV43" s="200"/>
      <c r="BW43" s="201"/>
      <c r="BX43" s="200"/>
      <c r="BY43" s="201"/>
      <c r="BZ43" s="200"/>
      <c r="CA43" s="202">
        <f t="shared" si="21"/>
        <v>0</v>
      </c>
      <c r="CB43" s="203">
        <f t="shared" si="22"/>
        <v>0</v>
      </c>
      <c r="CC43" s="202">
        <f t="shared" si="23"/>
        <v>0</v>
      </c>
      <c r="CD43" s="203">
        <f t="shared" si="24"/>
        <v>0</v>
      </c>
      <c r="CE43" s="337"/>
      <c r="CF43" s="331" t="s">
        <v>200</v>
      </c>
      <c r="CG43" s="329"/>
      <c r="CH43" s="285"/>
      <c r="CI43" s="286"/>
      <c r="CJ43" s="287">
        <v>0</v>
      </c>
      <c r="CK43" s="286">
        <v>0</v>
      </c>
      <c r="CL43" s="287">
        <v>0</v>
      </c>
      <c r="CM43" s="286">
        <v>0</v>
      </c>
      <c r="CN43" s="287">
        <v>0</v>
      </c>
      <c r="CO43" s="286">
        <v>0</v>
      </c>
      <c r="CP43" s="287">
        <v>0</v>
      </c>
      <c r="CQ43" s="286">
        <v>0</v>
      </c>
      <c r="CR43" s="284">
        <f t="shared" si="25"/>
        <v>0</v>
      </c>
      <c r="CS43" s="284">
        <f t="shared" si="26"/>
        <v>0</v>
      </c>
      <c r="CT43" s="321" t="s">
        <v>201</v>
      </c>
      <c r="CU43" s="124">
        <f t="shared" si="27"/>
        <v>0</v>
      </c>
      <c r="CV43" s="125">
        <f t="shared" si="28"/>
        <v>0</v>
      </c>
      <c r="CW43" s="124">
        <f t="shared" si="29"/>
        <v>0</v>
      </c>
      <c r="CX43" s="125">
        <f t="shared" si="30"/>
        <v>0</v>
      </c>
      <c r="CY43" s="314" t="s">
        <v>196</v>
      </c>
      <c r="CZ43" s="132"/>
      <c r="DA43" s="133"/>
      <c r="DB43" s="180">
        <f t="shared" si="31"/>
        <v>0</v>
      </c>
      <c r="DC43" s="132"/>
      <c r="DD43" s="133"/>
      <c r="DE43" s="180">
        <f t="shared" si="32"/>
        <v>0</v>
      </c>
      <c r="DF43" s="132"/>
      <c r="DG43" s="133"/>
      <c r="DH43" s="133"/>
      <c r="DI43" s="180">
        <f t="shared" si="33"/>
        <v>0</v>
      </c>
    </row>
    <row r="44" spans="1:114" ht="15" thickBot="1" x14ac:dyDescent="0.35">
      <c r="A44" s="2" t="s">
        <v>202</v>
      </c>
      <c r="B44" s="301" t="s">
        <v>128</v>
      </c>
      <c r="C44" s="302" t="s">
        <v>203</v>
      </c>
      <c r="D44" s="3">
        <v>555.12903225806497</v>
      </c>
      <c r="E44" s="13">
        <v>34754.699999999997</v>
      </c>
      <c r="F44" s="42">
        <f t="shared" si="34"/>
        <v>62.60652565518037</v>
      </c>
      <c r="G44" s="3">
        <v>550.25</v>
      </c>
      <c r="H44" s="13">
        <v>33432.42</v>
      </c>
      <c r="I44" s="42">
        <f t="shared" si="35"/>
        <v>60.758600636074512</v>
      </c>
      <c r="J44" s="3">
        <v>542.29032258064501</v>
      </c>
      <c r="K44" s="13">
        <v>32726.9</v>
      </c>
      <c r="L44" s="42">
        <f t="shared" si="36"/>
        <v>60.349408125632046</v>
      </c>
      <c r="M44" s="18">
        <v>537.03333333333296</v>
      </c>
      <c r="N44" s="13">
        <v>31277.71</v>
      </c>
      <c r="O44" s="43">
        <f t="shared" si="3"/>
        <v>58.241654770032937</v>
      </c>
      <c r="P44" s="3">
        <v>529.35483870967698</v>
      </c>
      <c r="Q44" s="13">
        <v>30339.23</v>
      </c>
      <c r="R44" s="42">
        <f t="shared" si="4"/>
        <v>57.313597196831246</v>
      </c>
      <c r="S44" s="3">
        <v>526.03333333333296</v>
      </c>
      <c r="T44" s="13">
        <v>29920.87</v>
      </c>
      <c r="U44" s="42">
        <f t="shared" si="5"/>
        <v>56.88017869590017</v>
      </c>
      <c r="V44" s="3">
        <v>532</v>
      </c>
      <c r="W44" s="13">
        <v>30168.21</v>
      </c>
      <c r="X44" s="42">
        <f t="shared" si="6"/>
        <v>56.707161654135334</v>
      </c>
      <c r="Y44" s="3">
        <v>536.61290322580601</v>
      </c>
      <c r="Z44" s="13">
        <v>30023.279999999999</v>
      </c>
      <c r="AA44" s="191">
        <f t="shared" si="7"/>
        <v>55.949605049594275</v>
      </c>
      <c r="AB44" s="29"/>
      <c r="AC44" s="175"/>
      <c r="AD44" s="192">
        <v>785</v>
      </c>
      <c r="AE44" s="193">
        <v>0</v>
      </c>
      <c r="AF44" s="309">
        <v>0</v>
      </c>
      <c r="AG44" s="2">
        <v>268</v>
      </c>
      <c r="AH44" s="179">
        <f t="shared" si="8"/>
        <v>0.3414012738853503</v>
      </c>
      <c r="AI44" s="192"/>
      <c r="AJ44" s="193"/>
      <c r="AK44" s="180">
        <f t="shared" si="9"/>
        <v>0</v>
      </c>
      <c r="AL44" s="196"/>
      <c r="AM44" s="12"/>
      <c r="AN44" s="180">
        <f t="shared" si="10"/>
        <v>0</v>
      </c>
      <c r="AO44" s="213">
        <v>207</v>
      </c>
      <c r="AP44" s="215"/>
      <c r="AQ44" s="180">
        <f t="shared" si="11"/>
        <v>0.26369426751592356</v>
      </c>
      <c r="AR44" s="213">
        <v>205</v>
      </c>
      <c r="AS44" s="215"/>
      <c r="AT44" s="180">
        <f t="shared" si="12"/>
        <v>0.26114649681528662</v>
      </c>
      <c r="AU44" s="216">
        <v>202</v>
      </c>
      <c r="AV44" s="194"/>
      <c r="AW44" s="180">
        <f t="shared" si="13"/>
        <v>0.25732484076433121</v>
      </c>
      <c r="AX44" s="134">
        <v>255</v>
      </c>
      <c r="AY44" s="135"/>
      <c r="AZ44" s="180">
        <f t="shared" si="14"/>
        <v>0.32484076433121017</v>
      </c>
      <c r="BA44" s="134">
        <v>257</v>
      </c>
      <c r="BB44" s="135"/>
      <c r="BC44" s="180">
        <f t="shared" si="15"/>
        <v>0.32738853503184712</v>
      </c>
      <c r="BD44" s="136">
        <v>256</v>
      </c>
      <c r="BE44" s="137"/>
      <c r="BF44" s="180">
        <f t="shared" si="16"/>
        <v>0.32611464968152865</v>
      </c>
      <c r="BG44" s="132">
        <v>254</v>
      </c>
      <c r="BH44" s="133"/>
      <c r="BI44" s="180">
        <f t="shared" si="17"/>
        <v>0.3235668789808917</v>
      </c>
      <c r="BJ44" s="133">
        <v>257</v>
      </c>
      <c r="BK44" s="133"/>
      <c r="BL44" s="180">
        <f t="shared" si="18"/>
        <v>0.32738853503184712</v>
      </c>
      <c r="BM44" s="132">
        <v>262</v>
      </c>
      <c r="BN44" s="133"/>
      <c r="BO44" s="180">
        <f t="shared" si="19"/>
        <v>0.33375796178343947</v>
      </c>
      <c r="BP44" s="278">
        <f t="shared" si="20"/>
        <v>0.22876857749469215</v>
      </c>
      <c r="BQ44" s="199">
        <v>130</v>
      </c>
      <c r="BR44" s="200">
        <v>0</v>
      </c>
      <c r="BS44" s="201">
        <v>150</v>
      </c>
      <c r="BT44" s="200">
        <v>0</v>
      </c>
      <c r="BU44" s="201">
        <v>120</v>
      </c>
      <c r="BV44" s="200"/>
      <c r="BW44" s="201">
        <v>130</v>
      </c>
      <c r="BX44" s="200"/>
      <c r="BY44" s="201"/>
      <c r="BZ44" s="200"/>
      <c r="CA44" s="202">
        <f t="shared" si="21"/>
        <v>133.33333333333334</v>
      </c>
      <c r="CB44" s="203">
        <f t="shared" si="22"/>
        <v>0</v>
      </c>
      <c r="CC44" s="202">
        <f t="shared" si="23"/>
        <v>-3.3333333333333428</v>
      </c>
      <c r="CD44" s="203">
        <f t="shared" si="24"/>
        <v>0</v>
      </c>
      <c r="CE44" s="337"/>
      <c r="CF44" s="329" t="s">
        <v>204</v>
      </c>
      <c r="CG44" s="329"/>
      <c r="CH44" s="285">
        <v>130</v>
      </c>
      <c r="CI44" s="286">
        <v>0</v>
      </c>
      <c r="CJ44" s="287">
        <v>175</v>
      </c>
      <c r="CK44" s="286"/>
      <c r="CL44" s="287">
        <v>150</v>
      </c>
      <c r="CM44" s="286"/>
      <c r="CN44" s="287"/>
      <c r="CO44" s="286"/>
      <c r="CP44" s="287"/>
      <c r="CQ44" s="286"/>
      <c r="CR44" s="284">
        <f t="shared" si="25"/>
        <v>162.5</v>
      </c>
      <c r="CS44" s="284">
        <f t="shared" si="26"/>
        <v>0</v>
      </c>
      <c r="CT44" s="321"/>
      <c r="CU44" s="124">
        <f t="shared" si="27"/>
        <v>162.5</v>
      </c>
      <c r="CV44" s="125">
        <f t="shared" si="28"/>
        <v>0</v>
      </c>
      <c r="CW44" s="124">
        <f t="shared" si="29"/>
        <v>-32.5</v>
      </c>
      <c r="CX44" s="125">
        <f t="shared" si="30"/>
        <v>0</v>
      </c>
      <c r="CY44" s="317" t="s">
        <v>205</v>
      </c>
      <c r="CZ44" s="132">
        <v>262</v>
      </c>
      <c r="DA44" s="133"/>
      <c r="DB44" s="180">
        <f t="shared" si="31"/>
        <v>0.33375796178343947</v>
      </c>
      <c r="DC44" s="132">
        <v>262</v>
      </c>
      <c r="DD44" s="133"/>
      <c r="DE44" s="180">
        <f t="shared" si="32"/>
        <v>0.33375796178343947</v>
      </c>
      <c r="DF44" s="132">
        <v>250</v>
      </c>
      <c r="DG44" s="133"/>
      <c r="DH44" s="133"/>
      <c r="DI44" s="180">
        <f t="shared" si="33"/>
        <v>0.31847133757961782</v>
      </c>
    </row>
    <row r="45" spans="1:114" ht="15" thickBot="1" x14ac:dyDescent="0.35">
      <c r="A45" s="225" t="s">
        <v>206</v>
      </c>
      <c r="B45" s="303" t="s">
        <v>94</v>
      </c>
      <c r="C45" s="304" t="s">
        <v>207</v>
      </c>
      <c r="D45" s="150"/>
      <c r="E45" s="151"/>
      <c r="F45" s="152"/>
      <c r="G45" s="150"/>
      <c r="H45" s="151"/>
      <c r="I45" s="152"/>
      <c r="J45" s="150"/>
      <c r="K45" s="151"/>
      <c r="L45" s="152"/>
      <c r="M45" s="226"/>
      <c r="N45" s="151"/>
      <c r="O45" s="153"/>
      <c r="P45" s="150"/>
      <c r="Q45" s="151"/>
      <c r="R45" s="152"/>
      <c r="S45" s="150"/>
      <c r="T45" s="151"/>
      <c r="U45" s="152"/>
      <c r="V45" s="150"/>
      <c r="W45" s="151"/>
      <c r="X45" s="152"/>
      <c r="Y45" s="150"/>
      <c r="Z45" s="151"/>
      <c r="AA45" s="227"/>
      <c r="AB45" s="228"/>
      <c r="AC45" s="229"/>
      <c r="AD45" s="230">
        <v>144</v>
      </c>
      <c r="AE45" s="231">
        <v>0</v>
      </c>
      <c r="AF45" s="310">
        <v>0</v>
      </c>
      <c r="AG45" s="225"/>
      <c r="AH45" s="233"/>
      <c r="AI45" s="230"/>
      <c r="AJ45" s="231"/>
      <c r="AK45" s="180">
        <f t="shared" si="9"/>
        <v>0</v>
      </c>
      <c r="AL45" s="234"/>
      <c r="AM45" s="224"/>
      <c r="AN45" s="180">
        <f t="shared" si="10"/>
        <v>0</v>
      </c>
      <c r="AO45" s="235"/>
      <c r="AP45" s="236"/>
      <c r="AQ45" s="180">
        <f t="shared" si="11"/>
        <v>0</v>
      </c>
      <c r="AR45" s="235"/>
      <c r="AS45" s="236"/>
      <c r="AT45" s="180">
        <f t="shared" si="12"/>
        <v>0</v>
      </c>
      <c r="AU45" s="237"/>
      <c r="AV45" s="232"/>
      <c r="AW45" s="180">
        <f t="shared" si="13"/>
        <v>0</v>
      </c>
      <c r="AX45" s="138"/>
      <c r="AY45" s="139"/>
      <c r="AZ45" s="180">
        <f t="shared" si="14"/>
        <v>0</v>
      </c>
      <c r="BA45" s="138"/>
      <c r="BB45" s="139"/>
      <c r="BC45" s="180">
        <f t="shared" si="15"/>
        <v>0</v>
      </c>
      <c r="BD45" s="148"/>
      <c r="BE45" s="149"/>
      <c r="BF45" s="180">
        <f t="shared" si="16"/>
        <v>0</v>
      </c>
      <c r="BG45" s="143"/>
      <c r="BH45" s="142"/>
      <c r="BI45" s="180">
        <f t="shared" si="17"/>
        <v>0</v>
      </c>
      <c r="BJ45" s="142"/>
      <c r="BK45" s="142"/>
      <c r="BL45" s="180">
        <f t="shared" si="18"/>
        <v>0</v>
      </c>
      <c r="BM45" s="143"/>
      <c r="BN45" s="142"/>
      <c r="BO45" s="180">
        <f t="shared" si="19"/>
        <v>0</v>
      </c>
      <c r="BP45" s="278">
        <f t="shared" si="20"/>
        <v>0</v>
      </c>
      <c r="BQ45" s="238"/>
      <c r="BR45" s="239"/>
      <c r="BS45" s="240"/>
      <c r="BT45" s="239"/>
      <c r="BU45" s="240"/>
      <c r="BV45" s="239"/>
      <c r="BW45" s="240"/>
      <c r="BX45" s="239"/>
      <c r="BY45" s="240"/>
      <c r="BZ45" s="239"/>
      <c r="CA45" s="241"/>
      <c r="CB45" s="242"/>
      <c r="CC45" s="241"/>
      <c r="CD45" s="242"/>
      <c r="CE45" s="338"/>
      <c r="CF45" s="332"/>
      <c r="CG45" s="332"/>
      <c r="CH45" s="291">
        <v>75</v>
      </c>
      <c r="CI45" s="292"/>
      <c r="CJ45" s="293">
        <v>125</v>
      </c>
      <c r="CK45" s="292"/>
      <c r="CL45" s="293">
        <v>90</v>
      </c>
      <c r="CM45" s="292"/>
      <c r="CN45" s="293">
        <v>75</v>
      </c>
      <c r="CO45" s="292"/>
      <c r="CP45" s="293" t="s">
        <v>208</v>
      </c>
      <c r="CQ45" s="292"/>
      <c r="CR45" s="284">
        <f t="shared" si="25"/>
        <v>96.666666666666671</v>
      </c>
      <c r="CS45" s="284">
        <f t="shared" si="26"/>
        <v>0</v>
      </c>
      <c r="CT45" s="324" t="s">
        <v>209</v>
      </c>
      <c r="CU45" s="156"/>
      <c r="CV45" s="157"/>
      <c r="CW45" s="156"/>
      <c r="CX45" s="157"/>
      <c r="CY45" s="318" t="s">
        <v>210</v>
      </c>
      <c r="CZ45" s="143"/>
      <c r="DA45" s="142"/>
      <c r="DB45" s="180">
        <f t="shared" si="31"/>
        <v>0</v>
      </c>
      <c r="DC45" s="143"/>
      <c r="DD45" s="142"/>
      <c r="DE45" s="180">
        <f t="shared" si="32"/>
        <v>0</v>
      </c>
      <c r="DF45" s="143">
        <v>130</v>
      </c>
      <c r="DG45" s="142">
        <v>0</v>
      </c>
      <c r="DH45" s="142"/>
      <c r="DI45" s="180">
        <f t="shared" si="33"/>
        <v>0.90277777777777779</v>
      </c>
      <c r="DJ45">
        <v>3</v>
      </c>
    </row>
    <row r="46" spans="1:114" ht="15" thickBot="1" x14ac:dyDescent="0.35">
      <c r="A46" s="9" t="s">
        <v>211</v>
      </c>
      <c r="B46" s="305" t="s">
        <v>128</v>
      </c>
      <c r="C46" s="306" t="s">
        <v>212</v>
      </c>
      <c r="D46" s="10">
        <v>447.96774193548401</v>
      </c>
      <c r="E46" s="15">
        <v>17935.419999999998</v>
      </c>
      <c r="F46" s="56">
        <f t="shared" si="34"/>
        <v>40.037302513141768</v>
      </c>
      <c r="G46" s="10">
        <v>440.96428571428601</v>
      </c>
      <c r="H46" s="15">
        <v>17325.810000000001</v>
      </c>
      <c r="I46" s="56">
        <f t="shared" si="35"/>
        <v>39.290732971572019</v>
      </c>
      <c r="J46" s="10">
        <v>437.83870967741899</v>
      </c>
      <c r="K46" s="15">
        <v>16123.7</v>
      </c>
      <c r="L46" s="56">
        <f t="shared" si="36"/>
        <v>36.825661239224964</v>
      </c>
      <c r="M46" s="19">
        <v>435.36666666666702</v>
      </c>
      <c r="N46" s="15">
        <v>15815.5</v>
      </c>
      <c r="O46" s="55">
        <f t="shared" si="3"/>
        <v>36.326850930250338</v>
      </c>
      <c r="P46" s="10">
        <v>439.22580645161298</v>
      </c>
      <c r="Q46" s="15">
        <v>15187.07</v>
      </c>
      <c r="R46" s="56">
        <f t="shared" si="4"/>
        <v>34.576907314923609</v>
      </c>
      <c r="S46" s="10">
        <v>436.33333333333297</v>
      </c>
      <c r="T46" s="15">
        <v>15251.65</v>
      </c>
      <c r="U46" s="56">
        <f t="shared" si="5"/>
        <v>34.954125286478252</v>
      </c>
      <c r="V46" s="10">
        <v>442.29032258064501</v>
      </c>
      <c r="W46" s="15">
        <v>15770.09</v>
      </c>
      <c r="X46" s="56">
        <f t="shared" si="6"/>
        <v>35.655516738385252</v>
      </c>
      <c r="Y46" s="10">
        <v>465.22580645161298</v>
      </c>
      <c r="Z46" s="15">
        <v>15946.5</v>
      </c>
      <c r="AA46" s="243">
        <f t="shared" si="7"/>
        <v>34.276903342116206</v>
      </c>
      <c r="AB46" s="30"/>
      <c r="AC46" s="244"/>
      <c r="AD46" s="245">
        <v>226</v>
      </c>
      <c r="AE46" s="246">
        <v>0</v>
      </c>
      <c r="AF46" s="311">
        <v>0</v>
      </c>
      <c r="AG46" s="9">
        <v>128</v>
      </c>
      <c r="AH46" s="248">
        <f t="shared" si="8"/>
        <v>0.5663716814159292</v>
      </c>
      <c r="AI46" s="245">
        <f>AD46-123</f>
        <v>103</v>
      </c>
      <c r="AJ46" s="246"/>
      <c r="AK46" s="180">
        <f t="shared" si="9"/>
        <v>0.45575221238938052</v>
      </c>
      <c r="AL46" s="249">
        <v>121</v>
      </c>
      <c r="AM46" s="16">
        <v>0</v>
      </c>
      <c r="AN46" s="180">
        <f t="shared" si="10"/>
        <v>0.53539823008849563</v>
      </c>
      <c r="AO46" s="246">
        <v>125</v>
      </c>
      <c r="AP46" s="250"/>
      <c r="AQ46" s="180">
        <f t="shared" si="11"/>
        <v>0.55309734513274333</v>
      </c>
      <c r="AR46" s="246">
        <v>125</v>
      </c>
      <c r="AS46" s="250"/>
      <c r="AT46" s="180">
        <f t="shared" si="12"/>
        <v>0.55309734513274333</v>
      </c>
      <c r="AU46" s="251">
        <f>135-14</f>
        <v>121</v>
      </c>
      <c r="AV46" s="247"/>
      <c r="AW46" s="180">
        <f t="shared" si="13"/>
        <v>0.53539823008849563</v>
      </c>
      <c r="AX46" s="136">
        <v>128</v>
      </c>
      <c r="AY46" s="137"/>
      <c r="AZ46" s="180">
        <f t="shared" si="14"/>
        <v>0.5663716814159292</v>
      </c>
      <c r="BA46" s="136">
        <v>137</v>
      </c>
      <c r="BB46" s="137"/>
      <c r="BC46" s="180">
        <f t="shared" si="15"/>
        <v>0.60619469026548678</v>
      </c>
      <c r="BD46" s="148">
        <v>137</v>
      </c>
      <c r="BE46" s="149"/>
      <c r="BF46" s="180">
        <f t="shared" si="16"/>
        <v>0.60619469026548678</v>
      </c>
      <c r="BG46" s="148">
        <v>140</v>
      </c>
      <c r="BH46" s="149"/>
      <c r="BI46" s="180">
        <f t="shared" si="17"/>
        <v>0.61946902654867253</v>
      </c>
      <c r="BJ46" s="149">
        <v>138</v>
      </c>
      <c r="BK46" s="149"/>
      <c r="BL46" s="180">
        <f t="shared" si="18"/>
        <v>0.61061946902654862</v>
      </c>
      <c r="BM46" s="148">
        <v>136</v>
      </c>
      <c r="BN46" s="149"/>
      <c r="BO46" s="180">
        <f t="shared" si="19"/>
        <v>0.60176991150442483</v>
      </c>
      <c r="BP46" s="278">
        <f t="shared" si="20"/>
        <v>0.55825958702064893</v>
      </c>
      <c r="BQ46" s="252">
        <v>145</v>
      </c>
      <c r="BR46" s="253">
        <v>0</v>
      </c>
      <c r="BS46" s="254">
        <v>112</v>
      </c>
      <c r="BT46" s="253">
        <v>0</v>
      </c>
      <c r="BU46" s="254">
        <v>120</v>
      </c>
      <c r="BV46" s="253"/>
      <c r="BW46" s="254">
        <v>132.75</v>
      </c>
      <c r="BX46" s="253"/>
      <c r="BY46" s="254">
        <v>141.25</v>
      </c>
      <c r="BZ46" s="253"/>
      <c r="CA46" s="255">
        <f t="shared" si="21"/>
        <v>126.5</v>
      </c>
      <c r="CB46" s="256">
        <f t="shared" si="22"/>
        <v>0</v>
      </c>
      <c r="CC46" s="255">
        <f t="shared" si="23"/>
        <v>18.5</v>
      </c>
      <c r="CD46" s="256">
        <f t="shared" si="24"/>
        <v>0</v>
      </c>
      <c r="CE46" s="339"/>
      <c r="CF46" s="333" t="s">
        <v>213</v>
      </c>
      <c r="CG46" s="333"/>
      <c r="CH46" s="294">
        <v>145</v>
      </c>
      <c r="CI46" s="295">
        <v>0</v>
      </c>
      <c r="CJ46" s="296">
        <v>150</v>
      </c>
      <c r="CK46" s="295"/>
      <c r="CL46" s="296">
        <v>200</v>
      </c>
      <c r="CM46" s="295"/>
      <c r="CN46" s="296">
        <v>130</v>
      </c>
      <c r="CO46" s="295"/>
      <c r="CP46" s="296"/>
      <c r="CQ46" s="295"/>
      <c r="CR46" s="284">
        <f t="shared" si="25"/>
        <v>160</v>
      </c>
      <c r="CS46" s="284">
        <f t="shared" si="26"/>
        <v>0</v>
      </c>
      <c r="CT46" s="325" t="s">
        <v>214</v>
      </c>
      <c r="CU46" s="128">
        <f t="shared" si="27"/>
        <v>160</v>
      </c>
      <c r="CV46" s="129">
        <f t="shared" si="28"/>
        <v>0</v>
      </c>
      <c r="CW46" s="128">
        <f t="shared" si="29"/>
        <v>-15</v>
      </c>
      <c r="CX46" s="129">
        <f t="shared" si="30"/>
        <v>0</v>
      </c>
      <c r="CY46" s="319" t="s">
        <v>215</v>
      </c>
      <c r="CZ46" s="148">
        <v>136</v>
      </c>
      <c r="DA46" s="149"/>
      <c r="DB46" s="180">
        <f t="shared" si="31"/>
        <v>0.60176991150442483</v>
      </c>
      <c r="DC46" s="148">
        <v>136</v>
      </c>
      <c r="DD46" s="149"/>
      <c r="DE46" s="180">
        <f t="shared" si="32"/>
        <v>0.60176991150442483</v>
      </c>
      <c r="DF46" s="148">
        <v>138</v>
      </c>
      <c r="DG46" s="149"/>
      <c r="DH46" s="149"/>
      <c r="DI46" s="180">
        <f t="shared" si="33"/>
        <v>0.61061946902654862</v>
      </c>
    </row>
  </sheetData>
  <sheetProtection selectLockedCells="1" sort="0" autoFilter="0"/>
  <protectedRanges>
    <protectedRange sqref="DH7 DG4:DH6 DH27:DH28 DH35:DH37 DG8:DH26 DH30:DH32 DG29:DH29 DG33:DH34 DH40:DH42 DG43:DH46 DG38:DH39 CZ4:DF46 DI4:DI46 A4:CG46" name="Range1"/>
  </protectedRanges>
  <autoFilter ref="A3:BZ46" xr:uid="{EB35B3CF-B7EA-484D-9871-76D5A95E1E72}"/>
  <sortState xmlns:xlrd2="http://schemas.microsoft.com/office/spreadsheetml/2017/richdata2" ref="A4:AA46">
    <sortCondition ref="B4:B46"/>
  </sortState>
  <mergeCells count="35">
    <mergeCell ref="CZ2:DB2"/>
    <mergeCell ref="DC2:DE2"/>
    <mergeCell ref="DF2:DI2"/>
    <mergeCell ref="BQ2:BR2"/>
    <mergeCell ref="AX2:AZ2"/>
    <mergeCell ref="BD2:BF2"/>
    <mergeCell ref="BA2:BC2"/>
    <mergeCell ref="BJ2:BL2"/>
    <mergeCell ref="AU2:AW2"/>
    <mergeCell ref="D2:F2"/>
    <mergeCell ref="G2:I2"/>
    <mergeCell ref="J2:L2"/>
    <mergeCell ref="M2:O2"/>
    <mergeCell ref="P2:R2"/>
    <mergeCell ref="AR2:AT2"/>
    <mergeCell ref="AD2:AF2"/>
    <mergeCell ref="S2:U2"/>
    <mergeCell ref="V2:X2"/>
    <mergeCell ref="Y2:AA2"/>
    <mergeCell ref="BQ1:CF1"/>
    <mergeCell ref="CH1:CX1"/>
    <mergeCell ref="AI2:AK2"/>
    <mergeCell ref="AL2:AN2"/>
    <mergeCell ref="AO2:AQ2"/>
    <mergeCell ref="CH2:CI2"/>
    <mergeCell ref="CJ2:CK2"/>
    <mergeCell ref="CL2:CM2"/>
    <mergeCell ref="CN2:CO2"/>
    <mergeCell ref="CP2:CQ2"/>
    <mergeCell ref="BS2:BT2"/>
    <mergeCell ref="BU2:BV2"/>
    <mergeCell ref="BW2:BX2"/>
    <mergeCell ref="BY2:BZ2"/>
    <mergeCell ref="BG2:BI2"/>
    <mergeCell ref="BM2:BO2"/>
  </mergeCells>
  <phoneticPr fontId="1" type="noConversion"/>
  <conditionalFormatting sqref="AH4:AH46">
    <cfRule type="cellIs" dxfId="21" priority="22" operator="greaterThan">
      <formula>0.8</formula>
    </cfRule>
  </conditionalFormatting>
  <conditionalFormatting sqref="AK4:AK46">
    <cfRule type="cellIs" dxfId="20" priority="21" operator="greaterThan">
      <formula>85</formula>
    </cfRule>
  </conditionalFormatting>
  <conditionalFormatting sqref="AN4:AN46">
    <cfRule type="cellIs" dxfId="19" priority="17" operator="greaterThan">
      <formula>85</formula>
    </cfRule>
  </conditionalFormatting>
  <conditionalFormatting sqref="AQ4:AQ46">
    <cfRule type="cellIs" dxfId="18" priority="16" operator="greaterThan">
      <formula>85</formula>
    </cfRule>
  </conditionalFormatting>
  <conditionalFormatting sqref="AT4:AT46">
    <cfRule type="cellIs" dxfId="17" priority="15" operator="greaterThan">
      <formula>85</formula>
    </cfRule>
  </conditionalFormatting>
  <conditionalFormatting sqref="AW4:AW46">
    <cfRule type="cellIs" dxfId="16" priority="12" operator="greaterThan">
      <formula>85</formula>
    </cfRule>
  </conditionalFormatting>
  <conditionalFormatting sqref="AZ4:AZ46">
    <cfRule type="cellIs" dxfId="15" priority="11" operator="greaterThan">
      <formula>85</formula>
    </cfRule>
  </conditionalFormatting>
  <conditionalFormatting sqref="BC4:BC46">
    <cfRule type="cellIs" dxfId="14" priority="10" operator="greaterThan">
      <formula>85</formula>
    </cfRule>
  </conditionalFormatting>
  <conditionalFormatting sqref="BF4:BF46">
    <cfRule type="cellIs" dxfId="13" priority="9" operator="greaterThan">
      <formula>85</formula>
    </cfRule>
  </conditionalFormatting>
  <conditionalFormatting sqref="BI4:BI46">
    <cfRule type="cellIs" dxfId="12" priority="8" operator="greaterThan">
      <formula>85</formula>
    </cfRule>
  </conditionalFormatting>
  <conditionalFormatting sqref="BL4:BL46">
    <cfRule type="cellIs" dxfId="11" priority="7" operator="greaterThan">
      <formula>85</formula>
    </cfRule>
  </conditionalFormatting>
  <conditionalFormatting sqref="BO4:BP46">
    <cfRule type="cellIs" dxfId="10" priority="6" operator="greaterThan">
      <formula>85</formula>
    </cfRule>
  </conditionalFormatting>
  <conditionalFormatting sqref="BP4:BP46">
    <cfRule type="cellIs" dxfId="9" priority="1" operator="greaterThan">
      <formula>0.75</formula>
    </cfRule>
  </conditionalFormatting>
  <conditionalFormatting sqref="DB4:DB46">
    <cfRule type="cellIs" dxfId="7" priority="5" operator="greaterThan">
      <formula>85</formula>
    </cfRule>
  </conditionalFormatting>
  <conditionalFormatting sqref="DE4:DE46">
    <cfRule type="cellIs" dxfId="6" priority="3" operator="greaterThan">
      <formula>85</formula>
    </cfRule>
  </conditionalFormatting>
  <conditionalFormatting sqref="DI4:DI46">
    <cfRule type="cellIs" dxfId="5" priority="2" operator="greaterThan">
      <formula>85</formula>
    </cfRule>
  </conditionalFormatting>
  <pageMargins left="0.7" right="0.7" top="0.75" bottom="0.75" header="0.3" footer="0.3"/>
  <pageSetup orientation="portrait" r:id="rId1"/>
  <ignoredErrors>
    <ignoredError sqref="AH46 AH4:AH44" formulaRange="1"/>
    <ignoredError sqref="CR4:CS4 CR5:CS46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A41F828D-CD08-44DB-A08E-DE1320E4C59E}">
            <xm:f>NOT(ISERROR(SEARCH("-",CC4)))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CW4:CY32 CC4:CE46 CT33 CW33:CX33 CW34:CY46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0238B30-698C-4D04-95A1-AF9BE638FF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Sheet1!D3:K3</xm:f>
              <xm:sqref>AB4</xm:sqref>
            </x14:sparkline>
            <x14:sparkline>
              <xm:f>Sheet1!D4:K4</xm:f>
              <xm:sqref>AB5</xm:sqref>
            </x14:sparkline>
            <x14:sparkline>
              <xm:f>Sheet1!D5:K5</xm:f>
              <xm:sqref>AB6</xm:sqref>
            </x14:sparkline>
            <x14:sparkline>
              <xm:f>Sheet1!D6:K6</xm:f>
              <xm:sqref>AB7</xm:sqref>
            </x14:sparkline>
            <x14:sparkline>
              <xm:f>Sheet1!D7:K7</xm:f>
              <xm:sqref>AB8</xm:sqref>
            </x14:sparkline>
            <x14:sparkline>
              <xm:f>Sheet1!D8:K8</xm:f>
              <xm:sqref>AB9</xm:sqref>
            </x14:sparkline>
            <x14:sparkline>
              <xm:f>Sheet1!D9:K9</xm:f>
              <xm:sqref>AB10</xm:sqref>
            </x14:sparkline>
            <x14:sparkline>
              <xm:f>Sheet1!D10:K10</xm:f>
              <xm:sqref>AB11</xm:sqref>
            </x14:sparkline>
            <x14:sparkline>
              <xm:f>Sheet1!D11:K11</xm:f>
              <xm:sqref>AB12</xm:sqref>
            </x14:sparkline>
            <x14:sparkline>
              <xm:f>Sheet1!D12:K12</xm:f>
              <xm:sqref>AB13</xm:sqref>
            </x14:sparkline>
            <x14:sparkline>
              <xm:f>Sheet1!D13:K13</xm:f>
              <xm:sqref>AB14</xm:sqref>
            </x14:sparkline>
            <x14:sparkline>
              <xm:f>Sheet1!D14:K14</xm:f>
              <xm:sqref>AB15</xm:sqref>
            </x14:sparkline>
            <x14:sparkline>
              <xm:f>Sheet1!D15:K15</xm:f>
              <xm:sqref>AB16</xm:sqref>
            </x14:sparkline>
            <x14:sparkline>
              <xm:f>Sheet1!D16:K16</xm:f>
              <xm:sqref>AB17</xm:sqref>
            </x14:sparkline>
            <x14:sparkline>
              <xm:f>Sheet1!D17:K17</xm:f>
              <xm:sqref>AB18</xm:sqref>
            </x14:sparkline>
            <x14:sparkline>
              <xm:f>Sheet1!D18:K18</xm:f>
              <xm:sqref>AB19</xm:sqref>
            </x14:sparkline>
            <x14:sparkline>
              <xm:f>Sheet1!D19:K19</xm:f>
              <xm:sqref>AB20</xm:sqref>
            </x14:sparkline>
            <x14:sparkline>
              <xm:f>Sheet1!D20:K20</xm:f>
              <xm:sqref>AB21</xm:sqref>
            </x14:sparkline>
            <x14:sparkline>
              <xm:f>Sheet1!D21:K21</xm:f>
              <xm:sqref>AB22</xm:sqref>
            </x14:sparkline>
            <x14:sparkline>
              <xm:f>Sheet1!D22:K22</xm:f>
              <xm:sqref>AB23</xm:sqref>
            </x14:sparkline>
            <x14:sparkline>
              <xm:f>Sheet1!D23:K23</xm:f>
              <xm:sqref>AB24</xm:sqref>
            </x14:sparkline>
            <x14:sparkline>
              <xm:f>Sheet1!D24:K24</xm:f>
              <xm:sqref>AB25</xm:sqref>
            </x14:sparkline>
            <x14:sparkline>
              <xm:f>Sheet1!D25:K25</xm:f>
              <xm:sqref>AB26</xm:sqref>
            </x14:sparkline>
            <x14:sparkline>
              <xm:f>Sheet1!D26:K26</xm:f>
              <xm:sqref>AB27</xm:sqref>
            </x14:sparkline>
            <x14:sparkline>
              <xm:f>Sheet1!D27:K27</xm:f>
              <xm:sqref>AB28</xm:sqref>
            </x14:sparkline>
            <x14:sparkline>
              <xm:f>Sheet1!D28:K28</xm:f>
              <xm:sqref>AB29</xm:sqref>
            </x14:sparkline>
            <x14:sparkline>
              <xm:f>Sheet1!D29:K29</xm:f>
              <xm:sqref>AB30</xm:sqref>
            </x14:sparkline>
            <x14:sparkline>
              <xm:f>Sheet1!D30:K30</xm:f>
              <xm:sqref>AB31</xm:sqref>
            </x14:sparkline>
            <x14:sparkline>
              <xm:f>Sheet1!D31:K31</xm:f>
              <xm:sqref>AB32</xm:sqref>
            </x14:sparkline>
            <x14:sparkline>
              <xm:f>Sheet1!D32:K32</xm:f>
              <xm:sqref>AB33</xm:sqref>
            </x14:sparkline>
            <x14:sparkline>
              <xm:f>Sheet1!D33:K33</xm:f>
              <xm:sqref>AB34</xm:sqref>
            </x14:sparkline>
            <x14:sparkline>
              <xm:f>Sheet1!D34:K34</xm:f>
              <xm:sqref>AB35</xm:sqref>
            </x14:sparkline>
            <x14:sparkline>
              <xm:f>Sheet1!D35:K35</xm:f>
              <xm:sqref>AB36</xm:sqref>
            </x14:sparkline>
            <x14:sparkline>
              <xm:f>Sheet1!D36:K36</xm:f>
              <xm:sqref>AB37</xm:sqref>
            </x14:sparkline>
            <x14:sparkline>
              <xm:f>Sheet1!D37:K37</xm:f>
              <xm:sqref>AB38</xm:sqref>
            </x14:sparkline>
            <x14:sparkline>
              <xm:f>Sheet1!D38:K38</xm:f>
              <xm:sqref>AB39</xm:sqref>
            </x14:sparkline>
            <x14:sparkline>
              <xm:f>Sheet1!D39:K39</xm:f>
              <xm:sqref>AB40</xm:sqref>
            </x14:sparkline>
            <x14:sparkline>
              <xm:f>Sheet1!D40:K40</xm:f>
              <xm:sqref>AB41</xm:sqref>
            </x14:sparkline>
            <x14:sparkline>
              <xm:f>Sheet1!D41:K41</xm:f>
              <xm:sqref>AB42</xm:sqref>
            </x14:sparkline>
            <x14:sparkline>
              <xm:f>Sheet1!D42:K42</xm:f>
              <xm:sqref>AB43</xm:sqref>
            </x14:sparkline>
            <x14:sparkline>
              <xm:f>Sheet1!D43:K43</xm:f>
              <xm:sqref>AB44</xm:sqref>
            </x14:sparkline>
            <x14:sparkline>
              <xm:f>Sheet1!D44:K44</xm:f>
              <xm:sqref>AB45</xm:sqref>
            </x14:sparkline>
            <x14:sparkline>
              <xm:f>Sheet1!D44:K44</xm:f>
              <xm:sqref>AB46</xm:sqref>
            </x14:sparkline>
          </x14:sparklines>
        </x14:sparklineGroup>
        <x14:sparklineGroup displayEmptyCellsAs="gap" xr2:uid="{16D1BCDE-02F0-4743-B69B-D664D59CB6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Sheet1!D51:K51</xm:f>
              <xm:sqref>AC4</xm:sqref>
            </x14:sparkline>
            <x14:sparkline>
              <xm:f>Sheet1!D52:K52</xm:f>
              <xm:sqref>AC5</xm:sqref>
            </x14:sparkline>
            <x14:sparkline>
              <xm:f>Sheet1!D53:K53</xm:f>
              <xm:sqref>AC6</xm:sqref>
            </x14:sparkline>
            <x14:sparkline>
              <xm:f>Sheet1!D54:K54</xm:f>
              <xm:sqref>AC7</xm:sqref>
            </x14:sparkline>
            <x14:sparkline>
              <xm:f>Sheet1!D55:K55</xm:f>
              <xm:sqref>AC8</xm:sqref>
            </x14:sparkline>
            <x14:sparkline>
              <xm:f>Sheet1!D56:K56</xm:f>
              <xm:sqref>AC9</xm:sqref>
            </x14:sparkline>
            <x14:sparkline>
              <xm:f>Sheet1!D57:K57</xm:f>
              <xm:sqref>AC10</xm:sqref>
            </x14:sparkline>
            <x14:sparkline>
              <xm:f>Sheet1!D58:K58</xm:f>
              <xm:sqref>AC11</xm:sqref>
            </x14:sparkline>
            <x14:sparkline>
              <xm:f>Sheet1!D59:K59</xm:f>
              <xm:sqref>AC12</xm:sqref>
            </x14:sparkline>
            <x14:sparkline>
              <xm:f>Sheet1!D60:K60</xm:f>
              <xm:sqref>AC13</xm:sqref>
            </x14:sparkline>
            <x14:sparkline>
              <xm:f>Sheet1!D61:K61</xm:f>
              <xm:sqref>AC14</xm:sqref>
            </x14:sparkline>
            <x14:sparkline>
              <xm:f>Sheet1!D62:K62</xm:f>
              <xm:sqref>AC15</xm:sqref>
            </x14:sparkline>
            <x14:sparkline>
              <xm:f>Sheet1!D63:K63</xm:f>
              <xm:sqref>AC16</xm:sqref>
            </x14:sparkline>
            <x14:sparkline>
              <xm:f>Sheet1!D64:K64</xm:f>
              <xm:sqref>AC17</xm:sqref>
            </x14:sparkline>
            <x14:sparkline>
              <xm:f>Sheet1!D65:K65</xm:f>
              <xm:sqref>AC18</xm:sqref>
            </x14:sparkline>
            <x14:sparkline>
              <xm:f>Sheet1!D66:K66</xm:f>
              <xm:sqref>AC19</xm:sqref>
            </x14:sparkline>
            <x14:sparkline>
              <xm:f>Sheet1!D67:K67</xm:f>
              <xm:sqref>AC20</xm:sqref>
            </x14:sparkline>
            <x14:sparkline>
              <xm:f>Sheet1!D68:K68</xm:f>
              <xm:sqref>AC21</xm:sqref>
            </x14:sparkline>
            <x14:sparkline>
              <xm:f>Sheet1!D69:K69</xm:f>
              <xm:sqref>AC22</xm:sqref>
            </x14:sparkline>
            <x14:sparkline>
              <xm:f>Sheet1!D70:K70</xm:f>
              <xm:sqref>AC23</xm:sqref>
            </x14:sparkline>
            <x14:sparkline>
              <xm:f>Sheet1!D71:K71</xm:f>
              <xm:sqref>AC24</xm:sqref>
            </x14:sparkline>
            <x14:sparkline>
              <xm:f>Sheet1!D72:K72</xm:f>
              <xm:sqref>AC25</xm:sqref>
            </x14:sparkline>
            <x14:sparkline>
              <xm:f>Sheet1!D73:K73</xm:f>
              <xm:sqref>AC26</xm:sqref>
            </x14:sparkline>
            <x14:sparkline>
              <xm:f>Sheet1!D74:K74</xm:f>
              <xm:sqref>AC27</xm:sqref>
            </x14:sparkline>
            <x14:sparkline>
              <xm:f>Sheet1!D75:K75</xm:f>
              <xm:sqref>AC28</xm:sqref>
            </x14:sparkline>
            <x14:sparkline>
              <xm:f>Sheet1!D76:K76</xm:f>
              <xm:sqref>AC29</xm:sqref>
            </x14:sparkline>
            <x14:sparkline>
              <xm:f>Sheet1!D77:K77</xm:f>
              <xm:sqref>AC30</xm:sqref>
            </x14:sparkline>
            <x14:sparkline>
              <xm:f>Sheet1!D78:K78</xm:f>
              <xm:sqref>AC31</xm:sqref>
            </x14:sparkline>
            <x14:sparkline>
              <xm:f>Sheet1!D79:K79</xm:f>
              <xm:sqref>AC32</xm:sqref>
            </x14:sparkline>
            <x14:sparkline>
              <xm:f>Sheet1!D80:K80</xm:f>
              <xm:sqref>AC33</xm:sqref>
            </x14:sparkline>
            <x14:sparkline>
              <xm:f>Sheet1!D81:K81</xm:f>
              <xm:sqref>AC34</xm:sqref>
            </x14:sparkline>
            <x14:sparkline>
              <xm:f>Sheet1!D82:K82</xm:f>
              <xm:sqref>AC35</xm:sqref>
            </x14:sparkline>
            <x14:sparkline>
              <xm:f>Sheet1!D83:K83</xm:f>
              <xm:sqref>AC36</xm:sqref>
            </x14:sparkline>
            <x14:sparkline>
              <xm:f>Sheet1!D84:K84</xm:f>
              <xm:sqref>AC37</xm:sqref>
            </x14:sparkline>
            <x14:sparkline>
              <xm:f>Sheet1!D85:K85</xm:f>
              <xm:sqref>AC38</xm:sqref>
            </x14:sparkline>
            <x14:sparkline>
              <xm:f>Sheet1!D86:K86</xm:f>
              <xm:sqref>AC39</xm:sqref>
            </x14:sparkline>
            <x14:sparkline>
              <xm:f>Sheet1!D87:K87</xm:f>
              <xm:sqref>AC40</xm:sqref>
            </x14:sparkline>
            <x14:sparkline>
              <xm:f>Sheet1!D88:K88</xm:f>
              <xm:sqref>AC41</xm:sqref>
            </x14:sparkline>
            <x14:sparkline>
              <xm:f>Sheet1!D89:K89</xm:f>
              <xm:sqref>AC42</xm:sqref>
            </x14:sparkline>
            <x14:sparkline>
              <xm:f>Sheet1!D90:K90</xm:f>
              <xm:sqref>AC43</xm:sqref>
            </x14:sparkline>
            <x14:sparkline>
              <xm:f>Sheet1!D91:K91</xm:f>
              <xm:sqref>AC44</xm:sqref>
            </x14:sparkline>
            <x14:sparkline>
              <xm:f>Sheet1!D92:K92</xm:f>
              <xm:sqref>AC45</xm:sqref>
            </x14:sparkline>
            <x14:sparkline>
              <xm:f>Sheet1!D92:K92</xm:f>
              <xm:sqref>AC46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1A3F-0A67-4E95-AC0D-241E1B5244C4}">
  <dimension ref="A1:AA92"/>
  <sheetViews>
    <sheetView topLeftCell="A40" workbookViewId="0">
      <selection activeCell="J49" sqref="J49:L49"/>
    </sheetView>
  </sheetViews>
  <sheetFormatPr defaultColWidth="8.69921875" defaultRowHeight="14.4" x14ac:dyDescent="0.3"/>
  <cols>
    <col min="3" max="3" width="22.8984375" bestFit="1" customWidth="1"/>
    <col min="4" max="4" width="8.59765625" customWidth="1"/>
    <col min="12" max="12" width="11.09765625" customWidth="1"/>
  </cols>
  <sheetData>
    <row r="1" spans="1:15" ht="15" thickBot="1" x14ac:dyDescent="0.35">
      <c r="A1" s="4"/>
      <c r="B1" s="4"/>
      <c r="C1" s="4"/>
      <c r="D1" s="11" t="s">
        <v>2</v>
      </c>
      <c r="E1" s="11" t="s">
        <v>3</v>
      </c>
      <c r="F1" s="11" t="s">
        <v>4</v>
      </c>
      <c r="G1" s="34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35"/>
      <c r="M1" s="36"/>
      <c r="N1" s="36"/>
      <c r="O1" s="31"/>
    </row>
    <row r="2" spans="1:15" s="1" customFormat="1" ht="43.8" thickBot="1" x14ac:dyDescent="0.35">
      <c r="A2" s="32" t="s">
        <v>24</v>
      </c>
      <c r="B2" s="32" t="s">
        <v>25</v>
      </c>
      <c r="C2" s="7" t="s">
        <v>26</v>
      </c>
      <c r="D2" s="8" t="s">
        <v>27</v>
      </c>
      <c r="E2" s="8" t="s">
        <v>30</v>
      </c>
      <c r="F2" s="8" t="s">
        <v>30</v>
      </c>
      <c r="G2" s="26" t="s">
        <v>30</v>
      </c>
      <c r="H2" s="8" t="s">
        <v>30</v>
      </c>
      <c r="I2" s="8" t="s">
        <v>30</v>
      </c>
      <c r="J2" s="8" t="s">
        <v>30</v>
      </c>
      <c r="K2" s="8" t="s">
        <v>30</v>
      </c>
      <c r="L2" s="28" t="s">
        <v>18</v>
      </c>
      <c r="M2" s="27" t="s">
        <v>19</v>
      </c>
      <c r="N2" s="27" t="s">
        <v>20</v>
      </c>
      <c r="O2" s="25" t="s">
        <v>21</v>
      </c>
    </row>
    <row r="3" spans="1:15" x14ac:dyDescent="0.3">
      <c r="A3" s="5" t="s">
        <v>55</v>
      </c>
      <c r="B3" s="5" t="s">
        <v>56</v>
      </c>
      <c r="C3" s="5" t="s">
        <v>57</v>
      </c>
      <c r="D3" s="6">
        <v>233.38709677419399</v>
      </c>
      <c r="E3" s="6">
        <v>234</v>
      </c>
      <c r="F3" s="6">
        <v>231.16129032258101</v>
      </c>
      <c r="G3" s="22">
        <v>229.1</v>
      </c>
      <c r="H3" s="6">
        <v>233.64516129032299</v>
      </c>
      <c r="I3" s="6">
        <v>232.46666666666701</v>
      </c>
      <c r="J3" s="6">
        <v>228.03225806451599</v>
      </c>
      <c r="K3" s="6">
        <v>228.129032258065</v>
      </c>
      <c r="L3" s="29"/>
      <c r="M3" s="23"/>
      <c r="N3" s="23"/>
      <c r="O3" s="21"/>
    </row>
    <row r="4" spans="1:15" x14ac:dyDescent="0.3">
      <c r="A4" s="2" t="s">
        <v>59</v>
      </c>
      <c r="B4" s="5" t="s">
        <v>56</v>
      </c>
      <c r="C4" s="2" t="s">
        <v>60</v>
      </c>
      <c r="D4" s="3">
        <v>175.83870967741899</v>
      </c>
      <c r="E4" s="3">
        <v>175.42857142857099</v>
      </c>
      <c r="F4" s="3">
        <v>173.09677419354799</v>
      </c>
      <c r="G4" s="18">
        <v>170.73333333333301</v>
      </c>
      <c r="H4" s="3">
        <v>170.35483870967701</v>
      </c>
      <c r="I4" s="3">
        <v>172.53333333333299</v>
      </c>
      <c r="J4" s="3">
        <v>173.90322580645201</v>
      </c>
      <c r="K4" s="3">
        <v>175.61290322580601</v>
      </c>
      <c r="L4" s="29"/>
      <c r="M4" s="12"/>
      <c r="N4" s="12"/>
      <c r="O4" s="14"/>
    </row>
    <row r="5" spans="1:15" x14ac:dyDescent="0.3">
      <c r="A5" s="2" t="s">
        <v>64</v>
      </c>
      <c r="B5" s="5" t="s">
        <v>56</v>
      </c>
      <c r="C5" s="2" t="s">
        <v>65</v>
      </c>
      <c r="D5" s="3">
        <v>119.774193548387</v>
      </c>
      <c r="E5" s="3">
        <v>118.96428571428601</v>
      </c>
      <c r="F5" s="3">
        <v>117.967741935484</v>
      </c>
      <c r="G5" s="18">
        <v>119.533333333333</v>
      </c>
      <c r="H5" s="3">
        <v>122.129032258065</v>
      </c>
      <c r="I5" s="3">
        <v>121.666666666667</v>
      </c>
      <c r="J5" s="3">
        <v>119.903225806452</v>
      </c>
      <c r="K5" s="3">
        <v>119</v>
      </c>
      <c r="L5" s="29"/>
      <c r="M5" s="12"/>
      <c r="N5" s="12"/>
      <c r="O5" s="14"/>
    </row>
    <row r="6" spans="1:15" x14ac:dyDescent="0.3">
      <c r="A6" s="2" t="s">
        <v>67</v>
      </c>
      <c r="B6" s="5" t="s">
        <v>56</v>
      </c>
      <c r="C6" s="2" t="s">
        <v>68</v>
      </c>
      <c r="D6" s="3">
        <v>48</v>
      </c>
      <c r="E6" s="3">
        <v>48.928571428571402</v>
      </c>
      <c r="F6" s="3">
        <v>47</v>
      </c>
      <c r="G6" s="18">
        <v>47.933333333333302</v>
      </c>
      <c r="H6" s="3">
        <v>47.290322580645203</v>
      </c>
      <c r="I6" s="3">
        <v>47.633333333333297</v>
      </c>
      <c r="J6" s="3">
        <v>50.4838709677419</v>
      </c>
      <c r="K6" s="3">
        <v>50.258064516128997</v>
      </c>
      <c r="L6" s="29"/>
      <c r="M6" s="12"/>
      <c r="N6" s="12"/>
      <c r="O6" s="14"/>
    </row>
    <row r="7" spans="1:15" x14ac:dyDescent="0.3">
      <c r="A7" s="2" t="s">
        <v>70</v>
      </c>
      <c r="B7" s="5" t="s">
        <v>56</v>
      </c>
      <c r="C7" s="2" t="s">
        <v>71</v>
      </c>
      <c r="D7" s="3">
        <v>217.064516129032</v>
      </c>
      <c r="E7" s="3">
        <v>210.75</v>
      </c>
      <c r="F7" s="3">
        <v>209.61290322580601</v>
      </c>
      <c r="G7" s="18">
        <v>210.26666666666699</v>
      </c>
      <c r="H7" s="3">
        <v>209.77419354838699</v>
      </c>
      <c r="I7" s="3">
        <v>210.433333333333</v>
      </c>
      <c r="J7" s="3">
        <v>211.54838709677401</v>
      </c>
      <c r="K7" s="3">
        <v>214.16129032258101</v>
      </c>
      <c r="L7" s="29"/>
      <c r="M7" s="12"/>
      <c r="N7" s="12"/>
      <c r="O7" s="14"/>
    </row>
    <row r="8" spans="1:15" x14ac:dyDescent="0.3">
      <c r="A8" s="2" t="s">
        <v>73</v>
      </c>
      <c r="B8" s="5" t="s">
        <v>56</v>
      </c>
      <c r="C8" s="2" t="s">
        <v>74</v>
      </c>
      <c r="D8" s="3">
        <v>121.129032258065</v>
      </c>
      <c r="E8" s="3">
        <v>119.821428571429</v>
      </c>
      <c r="F8" s="3">
        <v>122.161290322581</v>
      </c>
      <c r="G8" s="18">
        <v>122.73333333333299</v>
      </c>
      <c r="H8" s="3">
        <v>122.354838709677</v>
      </c>
      <c r="I8" s="3">
        <v>125.73333333333299</v>
      </c>
      <c r="J8" s="3">
        <v>123.806451612903</v>
      </c>
      <c r="K8" s="3">
        <v>121</v>
      </c>
      <c r="L8" s="29"/>
      <c r="M8" s="12"/>
      <c r="N8" s="12"/>
      <c r="O8" s="14"/>
    </row>
    <row r="9" spans="1:15" x14ac:dyDescent="0.3">
      <c r="A9" s="2" t="s">
        <v>76</v>
      </c>
      <c r="B9" s="5" t="s">
        <v>56</v>
      </c>
      <c r="C9" s="2" t="s">
        <v>77</v>
      </c>
      <c r="D9" s="3">
        <v>304.25806451612902</v>
      </c>
      <c r="E9" s="3">
        <v>303.28571428571399</v>
      </c>
      <c r="F9" s="3">
        <v>303.806451612903</v>
      </c>
      <c r="G9" s="18">
        <v>303.066666666667</v>
      </c>
      <c r="H9" s="3">
        <v>303.61290322580601</v>
      </c>
      <c r="I9" s="3">
        <v>299.7</v>
      </c>
      <c r="J9" s="3">
        <v>297.29032258064501</v>
      </c>
      <c r="K9" s="3">
        <v>299</v>
      </c>
      <c r="L9" s="29"/>
      <c r="M9" s="12"/>
      <c r="N9" s="12"/>
      <c r="O9" s="14"/>
    </row>
    <row r="10" spans="1:15" x14ac:dyDescent="0.3">
      <c r="A10" s="2" t="s">
        <v>78</v>
      </c>
      <c r="B10" s="5" t="s">
        <v>56</v>
      </c>
      <c r="C10" s="2" t="s">
        <v>79</v>
      </c>
      <c r="D10" s="3">
        <v>204.03225806451599</v>
      </c>
      <c r="E10" s="3">
        <v>202.78571428571399</v>
      </c>
      <c r="F10" s="3">
        <v>207.322580645161</v>
      </c>
      <c r="G10" s="18">
        <v>207.3</v>
      </c>
      <c r="H10" s="3">
        <v>209.51612903225799</v>
      </c>
      <c r="I10" s="3">
        <v>208.433333333333</v>
      </c>
      <c r="J10" s="3">
        <v>209.129032258065</v>
      </c>
      <c r="K10" s="3">
        <v>202.03225806451599</v>
      </c>
      <c r="L10" s="29"/>
      <c r="M10" s="12"/>
      <c r="N10" s="12"/>
      <c r="O10" s="14"/>
    </row>
    <row r="11" spans="1:15" x14ac:dyDescent="0.3">
      <c r="A11" s="2" t="s">
        <v>81</v>
      </c>
      <c r="B11" s="5" t="s">
        <v>56</v>
      </c>
      <c r="C11" s="2" t="s">
        <v>82</v>
      </c>
      <c r="D11" s="3">
        <v>153.41935483871001</v>
      </c>
      <c r="E11" s="3">
        <v>157.53571428571399</v>
      </c>
      <c r="F11" s="3">
        <v>160.258064516129</v>
      </c>
      <c r="G11" s="18">
        <v>159.30000000000001</v>
      </c>
      <c r="H11" s="3">
        <v>161.870967741935</v>
      </c>
      <c r="I11" s="3">
        <v>162.5</v>
      </c>
      <c r="J11" s="3">
        <v>166.677419354839</v>
      </c>
      <c r="K11" s="3">
        <v>169.806451612903</v>
      </c>
      <c r="L11" s="29"/>
      <c r="M11" s="12"/>
      <c r="N11" s="12"/>
      <c r="O11" s="14"/>
    </row>
    <row r="12" spans="1:15" x14ac:dyDescent="0.3">
      <c r="A12" s="2" t="s">
        <v>83</v>
      </c>
      <c r="B12" s="5" t="s">
        <v>56</v>
      </c>
      <c r="C12" s="2" t="s">
        <v>84</v>
      </c>
      <c r="D12" s="3">
        <v>131</v>
      </c>
      <c r="E12" s="3">
        <v>127.21428571428601</v>
      </c>
      <c r="F12" s="3">
        <v>129.29032258064501</v>
      </c>
      <c r="G12" s="18">
        <v>136.933333333333</v>
      </c>
      <c r="H12" s="3">
        <v>133.61290322580601</v>
      </c>
      <c r="I12" s="3">
        <v>137.19999999999999</v>
      </c>
      <c r="J12" s="3">
        <v>144</v>
      </c>
      <c r="K12" s="3">
        <v>146.38709677419399</v>
      </c>
      <c r="L12" s="29"/>
      <c r="M12" s="12"/>
      <c r="N12" s="12"/>
      <c r="O12" s="14"/>
    </row>
    <row r="13" spans="1:15" x14ac:dyDescent="0.3">
      <c r="A13" s="2" t="s">
        <v>85</v>
      </c>
      <c r="B13" s="5" t="s">
        <v>56</v>
      </c>
      <c r="C13" s="2" t="s">
        <v>86</v>
      </c>
      <c r="D13" s="3">
        <v>278.193548387097</v>
      </c>
      <c r="E13" s="3">
        <v>279.5</v>
      </c>
      <c r="F13" s="3">
        <v>276</v>
      </c>
      <c r="G13" s="18">
        <v>275.8</v>
      </c>
      <c r="H13" s="3">
        <v>267.58064516129002</v>
      </c>
      <c r="I13" s="3">
        <v>263.16666666666703</v>
      </c>
      <c r="J13" s="3">
        <v>269.38709677419399</v>
      </c>
      <c r="K13" s="3">
        <v>268</v>
      </c>
      <c r="L13" s="29"/>
      <c r="M13" s="12"/>
      <c r="N13" s="12"/>
      <c r="O13" s="14"/>
    </row>
    <row r="14" spans="1:15" x14ac:dyDescent="0.3">
      <c r="A14" s="2" t="s">
        <v>88</v>
      </c>
      <c r="B14" s="5" t="s">
        <v>56</v>
      </c>
      <c r="C14" s="2" t="s">
        <v>89</v>
      </c>
      <c r="D14" s="3">
        <v>512.12903225806497</v>
      </c>
      <c r="E14" s="3">
        <v>508.92857142857099</v>
      </c>
      <c r="F14" s="3">
        <v>512.58064516129002</v>
      </c>
      <c r="G14" s="18">
        <v>514.96666666666704</v>
      </c>
      <c r="H14" s="3">
        <v>516.64516129032302</v>
      </c>
      <c r="I14" s="3">
        <v>524.76666666666699</v>
      </c>
      <c r="J14" s="3">
        <v>517.29032258064501</v>
      </c>
      <c r="K14" s="3">
        <v>513.06451612903197</v>
      </c>
      <c r="L14" s="29"/>
      <c r="M14" s="12"/>
      <c r="N14" s="12"/>
      <c r="O14" s="14"/>
    </row>
    <row r="15" spans="1:15" x14ac:dyDescent="0.3">
      <c r="A15" s="2" t="s">
        <v>93</v>
      </c>
      <c r="B15" s="5" t="s">
        <v>94</v>
      </c>
      <c r="C15" s="2" t="s">
        <v>95</v>
      </c>
      <c r="D15" s="3">
        <v>0</v>
      </c>
      <c r="E15" s="3">
        <v>87.928571428571402</v>
      </c>
      <c r="F15" s="3">
        <v>85.903225806451601</v>
      </c>
      <c r="G15" s="18">
        <v>85.133333333333297</v>
      </c>
      <c r="H15" s="3">
        <v>89.387096774193594</v>
      </c>
      <c r="I15" s="3">
        <v>90.6666666666667</v>
      </c>
      <c r="J15" s="3">
        <v>89.064516129032299</v>
      </c>
      <c r="K15" s="3">
        <v>93.612903225806406</v>
      </c>
      <c r="L15" s="29"/>
      <c r="M15" s="12"/>
      <c r="N15" s="12"/>
      <c r="O15" s="14"/>
    </row>
    <row r="16" spans="1:15" x14ac:dyDescent="0.3">
      <c r="A16" s="2" t="s">
        <v>97</v>
      </c>
      <c r="B16" s="5" t="s">
        <v>94</v>
      </c>
      <c r="C16" s="2" t="s">
        <v>98</v>
      </c>
      <c r="D16" s="3">
        <v>45.9677419354839</v>
      </c>
      <c r="E16" s="3">
        <v>44.928571428571402</v>
      </c>
      <c r="F16" s="3">
        <v>45.677419354838698</v>
      </c>
      <c r="G16" s="18">
        <v>44.233333333333299</v>
      </c>
      <c r="H16" s="3">
        <v>44.806451612903203</v>
      </c>
      <c r="I16" s="3">
        <v>46.5</v>
      </c>
      <c r="J16" s="3">
        <v>47.709677419354797</v>
      </c>
      <c r="K16" s="3">
        <v>49</v>
      </c>
      <c r="L16" s="29"/>
      <c r="M16" s="12"/>
      <c r="N16" s="12"/>
      <c r="O16" s="14"/>
    </row>
    <row r="17" spans="1:15" x14ac:dyDescent="0.3">
      <c r="A17" s="2" t="s">
        <v>101</v>
      </c>
      <c r="B17" s="5" t="s">
        <v>94</v>
      </c>
      <c r="C17" s="2" t="s">
        <v>102</v>
      </c>
      <c r="D17" s="3">
        <v>193.258064516129</v>
      </c>
      <c r="E17" s="3">
        <v>193.78571428571399</v>
      </c>
      <c r="F17" s="3">
        <v>195.41935483871001</v>
      </c>
      <c r="G17" s="18">
        <v>197.933333333333</v>
      </c>
      <c r="H17" s="3">
        <v>200.45161290322599</v>
      </c>
      <c r="I17" s="3">
        <v>201.7</v>
      </c>
      <c r="J17" s="3">
        <v>198.51612903225799</v>
      </c>
      <c r="K17" s="3">
        <v>198.83870967741899</v>
      </c>
      <c r="L17" s="29"/>
      <c r="M17" s="12"/>
      <c r="N17" s="12"/>
      <c r="O17" s="14"/>
    </row>
    <row r="18" spans="1:15" x14ac:dyDescent="0.3">
      <c r="A18" s="2" t="s">
        <v>104</v>
      </c>
      <c r="B18" s="5" t="s">
        <v>94</v>
      </c>
      <c r="C18" s="2" t="s">
        <v>105</v>
      </c>
      <c r="D18" s="3">
        <v>61.741935483871003</v>
      </c>
      <c r="E18" s="3">
        <v>61.464285714285701</v>
      </c>
      <c r="F18" s="3">
        <v>61</v>
      </c>
      <c r="G18" s="18">
        <v>60.433333333333302</v>
      </c>
      <c r="H18" s="3">
        <v>61.9677419354839</v>
      </c>
      <c r="I18" s="3">
        <v>62.866666666666703</v>
      </c>
      <c r="J18" s="3">
        <v>58.9677419354839</v>
      </c>
      <c r="K18" s="3">
        <v>60.580645161290299</v>
      </c>
      <c r="L18" s="29"/>
      <c r="M18" s="12"/>
      <c r="N18" s="12"/>
      <c r="O18" s="14"/>
    </row>
    <row r="19" spans="1:15" x14ac:dyDescent="0.3">
      <c r="A19" s="2" t="s">
        <v>106</v>
      </c>
      <c r="B19" s="5" t="s">
        <v>94</v>
      </c>
      <c r="C19" s="2" t="s">
        <v>107</v>
      </c>
      <c r="D19" s="3">
        <v>0</v>
      </c>
      <c r="E19" s="3">
        <v>0</v>
      </c>
      <c r="F19" s="3">
        <v>0</v>
      </c>
      <c r="G19" s="18">
        <v>92.966666666666697</v>
      </c>
      <c r="H19" s="3">
        <v>93.677419354838705</v>
      </c>
      <c r="I19" s="3">
        <v>96.1666666666667</v>
      </c>
      <c r="J19" s="3">
        <v>95.709677419354804</v>
      </c>
      <c r="K19" s="3">
        <v>93.548387096774206</v>
      </c>
      <c r="L19" s="29"/>
      <c r="M19" s="12"/>
      <c r="N19" s="12"/>
      <c r="O19" s="14"/>
    </row>
    <row r="20" spans="1:15" x14ac:dyDescent="0.3">
      <c r="A20" s="2" t="s">
        <v>109</v>
      </c>
      <c r="B20" s="5" t="s">
        <v>94</v>
      </c>
      <c r="C20" s="2" t="s">
        <v>110</v>
      </c>
      <c r="D20" s="3">
        <v>77.258064516128997</v>
      </c>
      <c r="E20" s="3">
        <v>77.857142857142904</v>
      </c>
      <c r="F20" s="3">
        <v>75.419354838709694</v>
      </c>
      <c r="G20" s="18">
        <v>73.866666666666703</v>
      </c>
      <c r="H20" s="3">
        <v>70.451612903225794</v>
      </c>
      <c r="I20" s="3">
        <v>65.8333333333333</v>
      </c>
      <c r="J20" s="3">
        <v>69.0322580645161</v>
      </c>
      <c r="K20" s="3">
        <v>74.129032258064498</v>
      </c>
      <c r="L20" s="29"/>
      <c r="M20" s="12"/>
      <c r="N20" s="12"/>
      <c r="O20" s="14"/>
    </row>
    <row r="21" spans="1:15" x14ac:dyDescent="0.3">
      <c r="A21" s="2" t="s">
        <v>112</v>
      </c>
      <c r="B21" s="5" t="s">
        <v>94</v>
      </c>
      <c r="C21" s="2" t="s">
        <v>113</v>
      </c>
      <c r="D21" s="3">
        <v>213.70967741935499</v>
      </c>
      <c r="E21" s="3">
        <v>218.892857142857</v>
      </c>
      <c r="F21" s="3">
        <v>218.77419354838699</v>
      </c>
      <c r="G21" s="18">
        <v>224.2</v>
      </c>
      <c r="H21" s="3">
        <v>226.54838709677401</v>
      </c>
      <c r="I21" s="3">
        <v>228.13333333333301</v>
      </c>
      <c r="J21" s="3">
        <v>231.41935483871001</v>
      </c>
      <c r="K21" s="3">
        <v>236.16129032258101</v>
      </c>
      <c r="L21" s="29"/>
      <c r="M21" s="12"/>
      <c r="N21" s="12"/>
      <c r="O21" s="14"/>
    </row>
    <row r="22" spans="1:15" x14ac:dyDescent="0.3">
      <c r="A22" s="2" t="s">
        <v>115</v>
      </c>
      <c r="B22" s="5" t="s">
        <v>94</v>
      </c>
      <c r="C22" s="2" t="s">
        <v>116</v>
      </c>
      <c r="D22" s="3">
        <v>221.322580645161</v>
      </c>
      <c r="E22" s="3">
        <v>220.392857142857</v>
      </c>
      <c r="F22" s="3">
        <v>227</v>
      </c>
      <c r="G22" s="18">
        <v>229.76666666666699</v>
      </c>
      <c r="H22" s="3">
        <v>228.16129032258101</v>
      </c>
      <c r="I22" s="3">
        <v>225.666666666667</v>
      </c>
      <c r="J22" s="3">
        <v>227.935483870968</v>
      </c>
      <c r="K22" s="3">
        <v>228.193548387097</v>
      </c>
      <c r="L22" s="29"/>
      <c r="M22" s="12"/>
      <c r="N22" s="12"/>
      <c r="O22" s="14"/>
    </row>
    <row r="23" spans="1:15" x14ac:dyDescent="0.3">
      <c r="A23" s="2" t="s">
        <v>119</v>
      </c>
      <c r="B23" s="5" t="s">
        <v>94</v>
      </c>
      <c r="C23" s="2" t="s">
        <v>120</v>
      </c>
      <c r="D23" s="3">
        <v>175.45161290322599</v>
      </c>
      <c r="E23" s="3">
        <v>174.28571428571399</v>
      </c>
      <c r="F23" s="3">
        <v>170.61290322580601</v>
      </c>
      <c r="G23" s="18">
        <v>175.23333333333301</v>
      </c>
      <c r="H23" s="3">
        <v>176.03225806451599</v>
      </c>
      <c r="I23" s="3">
        <v>181.333333333333</v>
      </c>
      <c r="J23" s="3">
        <v>176.29032258064501</v>
      </c>
      <c r="K23" s="3">
        <v>179.51612903225799</v>
      </c>
      <c r="L23" s="29"/>
      <c r="M23" s="12"/>
      <c r="N23" s="12"/>
      <c r="O23" s="14"/>
    </row>
    <row r="24" spans="1:15" x14ac:dyDescent="0.3">
      <c r="A24" s="2" t="s">
        <v>122</v>
      </c>
      <c r="B24" s="5" t="s">
        <v>94</v>
      </c>
      <c r="C24" s="2" t="s">
        <v>123</v>
      </c>
      <c r="D24" s="3">
        <v>397.12903225806502</v>
      </c>
      <c r="E24" s="3">
        <v>397.57142857142901</v>
      </c>
      <c r="F24" s="3">
        <v>400.58064516129002</v>
      </c>
      <c r="G24" s="18">
        <v>402.6</v>
      </c>
      <c r="H24" s="3">
        <v>403.25806451612902</v>
      </c>
      <c r="I24" s="3">
        <v>407.433333333333</v>
      </c>
      <c r="J24" s="3">
        <v>409.806451612903</v>
      </c>
      <c r="K24" s="3">
        <v>411.25806451612902</v>
      </c>
      <c r="L24" s="29"/>
      <c r="M24" s="12"/>
      <c r="N24" s="12"/>
      <c r="O24" s="14"/>
    </row>
    <row r="25" spans="1:15" x14ac:dyDescent="0.3">
      <c r="A25" s="2" t="s">
        <v>127</v>
      </c>
      <c r="B25" s="5" t="s">
        <v>128</v>
      </c>
      <c r="C25" s="2" t="s">
        <v>129</v>
      </c>
      <c r="D25" s="3">
        <v>261.09677419354801</v>
      </c>
      <c r="E25" s="3">
        <v>259.357142857143</v>
      </c>
      <c r="F25" s="3">
        <v>260.22580645161298</v>
      </c>
      <c r="G25" s="18">
        <v>273.83333333333297</v>
      </c>
      <c r="H25" s="3">
        <v>285.83870967741899</v>
      </c>
      <c r="I25" s="3">
        <v>279.73333333333301</v>
      </c>
      <c r="J25" s="3">
        <v>283.96774193548401</v>
      </c>
      <c r="K25" s="3">
        <v>296.35483870967698</v>
      </c>
      <c r="L25" s="29"/>
      <c r="M25" s="12"/>
      <c r="N25" s="12"/>
      <c r="O25" s="14"/>
    </row>
    <row r="26" spans="1:15" x14ac:dyDescent="0.3">
      <c r="A26" s="2" t="s">
        <v>134</v>
      </c>
      <c r="B26" s="5" t="s">
        <v>128</v>
      </c>
      <c r="C26" s="2" t="s">
        <v>135</v>
      </c>
      <c r="D26" s="3">
        <v>286.87096774193498</v>
      </c>
      <c r="E26" s="3">
        <v>285.57142857142901</v>
      </c>
      <c r="F26" s="3">
        <v>282.93548387096803</v>
      </c>
      <c r="G26" s="18">
        <v>282.2</v>
      </c>
      <c r="H26" s="3">
        <v>281.322580645161</v>
      </c>
      <c r="I26" s="3">
        <v>280.36666666666702</v>
      </c>
      <c r="J26" s="3">
        <v>277.74193548387098</v>
      </c>
      <c r="K26" s="3">
        <v>273.93548387096803</v>
      </c>
      <c r="L26" s="29"/>
      <c r="M26" s="12"/>
      <c r="N26" s="12"/>
      <c r="O26" s="14"/>
    </row>
    <row r="27" spans="1:15" x14ac:dyDescent="0.3">
      <c r="A27" s="2" t="s">
        <v>138</v>
      </c>
      <c r="B27" s="5" t="s">
        <v>128</v>
      </c>
      <c r="C27" s="2" t="s">
        <v>139</v>
      </c>
      <c r="D27" s="3">
        <v>266.09677419354801</v>
      </c>
      <c r="E27" s="3">
        <v>263.03571428571399</v>
      </c>
      <c r="F27" s="3">
        <v>262.77419354838702</v>
      </c>
      <c r="G27" s="18">
        <v>257.86666666666702</v>
      </c>
      <c r="H27" s="3">
        <v>259.677419354839</v>
      </c>
      <c r="I27" s="3">
        <v>262.46666666666698</v>
      </c>
      <c r="J27" s="3">
        <v>262.48387096774201</v>
      </c>
      <c r="K27" s="3">
        <v>263.87096774193498</v>
      </c>
      <c r="L27" s="29"/>
      <c r="M27" s="12"/>
      <c r="N27" s="12"/>
      <c r="O27" s="14"/>
    </row>
    <row r="28" spans="1:15" x14ac:dyDescent="0.3">
      <c r="A28" s="2" t="s">
        <v>141</v>
      </c>
      <c r="B28" s="5" t="s">
        <v>128</v>
      </c>
      <c r="C28" s="2" t="s">
        <v>142</v>
      </c>
      <c r="D28" s="3">
        <v>406.83870967741899</v>
      </c>
      <c r="E28" s="3">
        <v>409.28571428571399</v>
      </c>
      <c r="F28" s="3">
        <v>405.70967741935499</v>
      </c>
      <c r="G28" s="18">
        <v>407</v>
      </c>
      <c r="H28" s="3">
        <v>411.06451612903197</v>
      </c>
      <c r="I28" s="3">
        <v>409.9</v>
      </c>
      <c r="J28" s="3">
        <v>406.12903225806502</v>
      </c>
      <c r="K28" s="3">
        <v>405.83870967741899</v>
      </c>
      <c r="L28" s="29"/>
      <c r="M28" s="12"/>
      <c r="N28" s="12"/>
      <c r="O28" s="14"/>
    </row>
    <row r="29" spans="1:15" x14ac:dyDescent="0.3">
      <c r="A29" s="2" t="s">
        <v>146</v>
      </c>
      <c r="B29" s="5" t="s">
        <v>128</v>
      </c>
      <c r="C29" s="2" t="s">
        <v>147</v>
      </c>
      <c r="D29" s="3">
        <v>103</v>
      </c>
      <c r="E29" s="3">
        <v>103</v>
      </c>
      <c r="F29" s="3">
        <v>103</v>
      </c>
      <c r="G29" s="18">
        <v>104.533333333333</v>
      </c>
      <c r="H29" s="3">
        <v>104.935483870968</v>
      </c>
      <c r="I29" s="3">
        <v>103.966666666667</v>
      </c>
      <c r="J29" s="3">
        <v>102.225806451613</v>
      </c>
      <c r="K29" s="3">
        <v>100</v>
      </c>
      <c r="L29" s="29"/>
      <c r="M29" s="12"/>
      <c r="N29" s="12"/>
      <c r="O29" s="14"/>
    </row>
    <row r="30" spans="1:15" x14ac:dyDescent="0.3">
      <c r="A30" s="2" t="s">
        <v>150</v>
      </c>
      <c r="B30" s="5" t="s">
        <v>128</v>
      </c>
      <c r="C30" s="2" t="s">
        <v>151</v>
      </c>
      <c r="D30" s="3">
        <v>290.322580645161</v>
      </c>
      <c r="E30" s="3">
        <v>287.57142857142901</v>
      </c>
      <c r="F30" s="3">
        <v>288.03225806451599</v>
      </c>
      <c r="G30" s="18">
        <v>286.63333333333298</v>
      </c>
      <c r="H30" s="3">
        <v>286.61290322580601</v>
      </c>
      <c r="I30" s="3">
        <v>284.2</v>
      </c>
      <c r="J30" s="3">
        <v>281.12903225806502</v>
      </c>
      <c r="K30" s="3">
        <v>282.16129032258101</v>
      </c>
      <c r="L30" s="29"/>
      <c r="M30" s="12"/>
      <c r="N30" s="12"/>
      <c r="O30" s="14"/>
    </row>
    <row r="31" spans="1:15" x14ac:dyDescent="0.3">
      <c r="A31" s="2" t="s">
        <v>154</v>
      </c>
      <c r="B31" s="5" t="s">
        <v>128</v>
      </c>
      <c r="C31" s="2" t="s">
        <v>155</v>
      </c>
      <c r="D31" s="3">
        <v>146.35483870967701</v>
      </c>
      <c r="E31" s="3">
        <v>145.96428571428601</v>
      </c>
      <c r="F31" s="3">
        <v>145.54838709677401</v>
      </c>
      <c r="G31" s="18">
        <v>148.833333333333</v>
      </c>
      <c r="H31" s="3">
        <v>149.935483870968</v>
      </c>
      <c r="I31" s="3">
        <v>149.6</v>
      </c>
      <c r="J31" s="3">
        <v>150</v>
      </c>
      <c r="K31" s="3">
        <v>149.96774193548401</v>
      </c>
      <c r="L31" s="29"/>
      <c r="M31" s="12"/>
      <c r="N31" s="12"/>
      <c r="O31" s="14"/>
    </row>
    <row r="32" spans="1:15" x14ac:dyDescent="0.3">
      <c r="A32" s="2" t="s">
        <v>159</v>
      </c>
      <c r="B32" s="5" t="s">
        <v>128</v>
      </c>
      <c r="C32" s="2" t="s">
        <v>160</v>
      </c>
      <c r="D32" s="3">
        <v>263.90322580645199</v>
      </c>
      <c r="E32" s="3">
        <v>261.71428571428601</v>
      </c>
      <c r="F32" s="3">
        <v>260.90322580645199</v>
      </c>
      <c r="G32" s="18">
        <v>263.96666666666698</v>
      </c>
      <c r="H32" s="3">
        <v>266.22580645161298</v>
      </c>
      <c r="I32" s="3">
        <v>264</v>
      </c>
      <c r="J32" s="3">
        <v>263.87096774193498</v>
      </c>
      <c r="K32" s="3">
        <v>265.74193548387098</v>
      </c>
      <c r="L32" s="29"/>
      <c r="M32" s="12"/>
      <c r="N32" s="12"/>
      <c r="O32" s="14"/>
    </row>
    <row r="33" spans="1:15" x14ac:dyDescent="0.3">
      <c r="A33" s="2" t="s">
        <v>164</v>
      </c>
      <c r="B33" s="5" t="s">
        <v>128</v>
      </c>
      <c r="C33" s="2" t="s">
        <v>165</v>
      </c>
      <c r="D33" s="3">
        <v>274.806451612903</v>
      </c>
      <c r="E33" s="3">
        <v>272.892857142857</v>
      </c>
      <c r="F33" s="3">
        <v>271.25806451612902</v>
      </c>
      <c r="G33" s="18">
        <v>269.933333333333</v>
      </c>
      <c r="H33" s="3">
        <v>268.45161290322602</v>
      </c>
      <c r="I33" s="3">
        <v>269.433333333333</v>
      </c>
      <c r="J33" s="3">
        <v>266.74193548387098</v>
      </c>
      <c r="K33" s="3">
        <v>260.93548387096803</v>
      </c>
      <c r="L33" s="29"/>
      <c r="M33" s="12"/>
      <c r="N33" s="12"/>
      <c r="O33" s="14"/>
    </row>
    <row r="34" spans="1:15" x14ac:dyDescent="0.3">
      <c r="A34" s="2" t="s">
        <v>169</v>
      </c>
      <c r="B34" s="5" t="s">
        <v>128</v>
      </c>
      <c r="C34" s="2" t="s">
        <v>170</v>
      </c>
      <c r="D34" s="3">
        <v>272.96774193548401</v>
      </c>
      <c r="E34" s="3">
        <v>272.92857142857099</v>
      </c>
      <c r="F34" s="3">
        <v>273.06451612903197</v>
      </c>
      <c r="G34" s="18">
        <v>271.66666666666703</v>
      </c>
      <c r="H34" s="3">
        <v>270.806451612903</v>
      </c>
      <c r="I34" s="3">
        <v>273.39999999999998</v>
      </c>
      <c r="J34" s="3">
        <v>275.70967741935499</v>
      </c>
      <c r="K34" s="3">
        <v>277.74193548387098</v>
      </c>
      <c r="L34" s="29"/>
      <c r="M34" s="12"/>
      <c r="N34" s="12"/>
      <c r="O34" s="14"/>
    </row>
    <row r="35" spans="1:15" x14ac:dyDescent="0.3">
      <c r="A35" s="2" t="s">
        <v>172</v>
      </c>
      <c r="B35" s="5" t="s">
        <v>128</v>
      </c>
      <c r="C35" s="2" t="s">
        <v>173</v>
      </c>
      <c r="D35" s="3">
        <v>351.322580645161</v>
      </c>
      <c r="E35" s="3">
        <v>352.857142857143</v>
      </c>
      <c r="F35" s="3">
        <v>348.90322580645199</v>
      </c>
      <c r="G35" s="18">
        <v>345.933333333333</v>
      </c>
      <c r="H35" s="3">
        <v>345.29032258064501</v>
      </c>
      <c r="I35" s="3">
        <v>344.73333333333301</v>
      </c>
      <c r="J35" s="3">
        <v>338.87096774193498</v>
      </c>
      <c r="K35" s="3">
        <v>336.03225806451599</v>
      </c>
      <c r="L35" s="29"/>
      <c r="M35" s="12"/>
      <c r="N35" s="12"/>
      <c r="O35" s="14"/>
    </row>
    <row r="36" spans="1:15" x14ac:dyDescent="0.3">
      <c r="A36" s="2" t="s">
        <v>175</v>
      </c>
      <c r="B36" s="5" t="s">
        <v>128</v>
      </c>
      <c r="C36" s="2" t="s">
        <v>176</v>
      </c>
      <c r="D36" s="3">
        <v>128.935483870968</v>
      </c>
      <c r="E36" s="3">
        <v>127.71428571428601</v>
      </c>
      <c r="F36" s="3">
        <v>129.38709677419399</v>
      </c>
      <c r="G36" s="18">
        <v>129.566666666667</v>
      </c>
      <c r="H36" s="3">
        <v>127.967741935484</v>
      </c>
      <c r="I36" s="3">
        <v>128.933333333333</v>
      </c>
      <c r="J36" s="3">
        <v>128.83870967741899</v>
      </c>
      <c r="K36" s="3">
        <v>125.645161290323</v>
      </c>
      <c r="L36" s="29"/>
      <c r="M36" s="12"/>
      <c r="N36" s="12"/>
      <c r="O36" s="14"/>
    </row>
    <row r="37" spans="1:15" x14ac:dyDescent="0.3">
      <c r="A37" s="2" t="s">
        <v>179</v>
      </c>
      <c r="B37" s="5" t="s">
        <v>128</v>
      </c>
      <c r="C37" s="2" t="s">
        <v>180</v>
      </c>
      <c r="D37" s="3">
        <v>107.935483870968</v>
      </c>
      <c r="E37" s="3">
        <v>106.928571428571</v>
      </c>
      <c r="F37" s="3">
        <v>105.54838709677399</v>
      </c>
      <c r="G37" s="18">
        <v>104.133333333333</v>
      </c>
      <c r="H37" s="3">
        <v>103.870967741935</v>
      </c>
      <c r="I37" s="3">
        <v>101.9</v>
      </c>
      <c r="J37" s="3">
        <v>101.709677419355</v>
      </c>
      <c r="K37" s="3">
        <v>101.161290322581</v>
      </c>
      <c r="L37" s="29"/>
      <c r="M37" s="12"/>
      <c r="N37" s="12"/>
      <c r="O37" s="14"/>
    </row>
    <row r="38" spans="1:15" x14ac:dyDescent="0.3">
      <c r="A38" s="2" t="s">
        <v>182</v>
      </c>
      <c r="B38" s="5" t="s">
        <v>128</v>
      </c>
      <c r="C38" s="2" t="s">
        <v>183</v>
      </c>
      <c r="D38" s="3">
        <v>186.258064516129</v>
      </c>
      <c r="E38" s="3">
        <v>186.46428571428601</v>
      </c>
      <c r="F38" s="3">
        <v>185.90322580645201</v>
      </c>
      <c r="G38" s="18">
        <v>186.73333333333301</v>
      </c>
      <c r="H38" s="3">
        <v>187.064516129032</v>
      </c>
      <c r="I38" s="3">
        <v>189.46666666666701</v>
      </c>
      <c r="J38" s="3">
        <v>185.129032258065</v>
      </c>
      <c r="K38" s="3">
        <v>186.35483870967701</v>
      </c>
      <c r="L38" s="29"/>
      <c r="M38" s="12"/>
      <c r="N38" s="12"/>
      <c r="O38" s="14"/>
    </row>
    <row r="39" spans="1:15" x14ac:dyDescent="0.3">
      <c r="A39" s="2" t="s">
        <v>185</v>
      </c>
      <c r="B39" s="5" t="s">
        <v>128</v>
      </c>
      <c r="C39" s="2" t="s">
        <v>186</v>
      </c>
      <c r="D39" s="3">
        <v>160.96774193548401</v>
      </c>
      <c r="E39" s="3">
        <v>160.17857142857099</v>
      </c>
      <c r="F39" s="3">
        <v>163.03225806451599</v>
      </c>
      <c r="G39" s="18">
        <v>163.26666666666699</v>
      </c>
      <c r="H39" s="3">
        <v>163.35483870967701</v>
      </c>
      <c r="I39" s="3">
        <v>164.3</v>
      </c>
      <c r="J39" s="3">
        <v>163.935483870968</v>
      </c>
      <c r="K39" s="3">
        <v>163.129032258065</v>
      </c>
      <c r="L39" s="29"/>
      <c r="M39" s="12"/>
      <c r="N39" s="12"/>
      <c r="O39" s="14"/>
    </row>
    <row r="40" spans="1:15" x14ac:dyDescent="0.3">
      <c r="A40" s="2" t="s">
        <v>190</v>
      </c>
      <c r="B40" s="5" t="s">
        <v>128</v>
      </c>
      <c r="C40" s="2" t="s">
        <v>191</v>
      </c>
      <c r="D40" s="3">
        <v>177.322580645161</v>
      </c>
      <c r="E40" s="3">
        <v>183.92857142857099</v>
      </c>
      <c r="F40" s="3">
        <v>190.064516129032</v>
      </c>
      <c r="G40" s="18">
        <v>188.36666666666699</v>
      </c>
      <c r="H40" s="3">
        <v>186.48387096774201</v>
      </c>
      <c r="I40" s="3">
        <v>191.9</v>
      </c>
      <c r="J40" s="3">
        <v>195.29032258064501</v>
      </c>
      <c r="K40" s="3">
        <v>199.193548387097</v>
      </c>
      <c r="L40" s="29"/>
      <c r="M40" s="12"/>
      <c r="N40" s="12"/>
      <c r="O40" s="14"/>
    </row>
    <row r="41" spans="1:15" x14ac:dyDescent="0.3">
      <c r="A41" s="2" t="s">
        <v>194</v>
      </c>
      <c r="B41" s="5" t="s">
        <v>128</v>
      </c>
      <c r="C41" s="2" t="s">
        <v>195</v>
      </c>
      <c r="D41" s="3">
        <v>280.61290322580601</v>
      </c>
      <c r="E41" s="3">
        <v>276</v>
      </c>
      <c r="F41" s="3">
        <v>275.25806451612902</v>
      </c>
      <c r="G41" s="18">
        <v>276.066666666667</v>
      </c>
      <c r="H41" s="3">
        <v>275.45161290322602</v>
      </c>
      <c r="I41" s="3">
        <v>275.066666666667</v>
      </c>
      <c r="J41" s="3">
        <v>270.51612903225799</v>
      </c>
      <c r="K41" s="3">
        <v>273.22580645161298</v>
      </c>
      <c r="L41" s="29"/>
      <c r="M41" s="12"/>
      <c r="N41" s="12"/>
      <c r="O41" s="14"/>
    </row>
    <row r="42" spans="1:15" x14ac:dyDescent="0.3">
      <c r="A42" s="2" t="s">
        <v>198</v>
      </c>
      <c r="B42" s="5" t="s">
        <v>128</v>
      </c>
      <c r="C42" s="2" t="s">
        <v>199</v>
      </c>
      <c r="D42" s="3">
        <v>224.03225806451599</v>
      </c>
      <c r="E42" s="3">
        <v>222.71428571428601</v>
      </c>
      <c r="F42" s="3">
        <v>220.129032258065</v>
      </c>
      <c r="G42" s="18">
        <v>226.7</v>
      </c>
      <c r="H42" s="3">
        <v>227.935483870968</v>
      </c>
      <c r="I42" s="3">
        <v>229.4</v>
      </c>
      <c r="J42" s="3">
        <v>230.29032258064501</v>
      </c>
      <c r="K42" s="3">
        <v>236.61290322580601</v>
      </c>
      <c r="L42" s="29"/>
      <c r="M42" s="12"/>
      <c r="N42" s="12"/>
      <c r="O42" s="14"/>
    </row>
    <row r="43" spans="1:15" ht="15" thickBot="1" x14ac:dyDescent="0.35">
      <c r="A43" s="2" t="s">
        <v>202</v>
      </c>
      <c r="B43" s="5" t="s">
        <v>128</v>
      </c>
      <c r="C43" s="2" t="s">
        <v>216</v>
      </c>
      <c r="D43" s="3">
        <v>555.12903225806497</v>
      </c>
      <c r="E43" s="3">
        <v>550.25</v>
      </c>
      <c r="F43" s="3">
        <v>542.29032258064501</v>
      </c>
      <c r="G43" s="18">
        <v>537.03333333333296</v>
      </c>
      <c r="H43" s="3">
        <v>529.35483870967698</v>
      </c>
      <c r="I43" s="3">
        <v>526.03333333333296</v>
      </c>
      <c r="J43" s="3">
        <v>532</v>
      </c>
      <c r="K43" s="3">
        <v>536.61290322580601</v>
      </c>
      <c r="L43" s="30"/>
      <c r="M43" s="12"/>
      <c r="N43" s="12"/>
      <c r="O43" s="14"/>
    </row>
    <row r="44" spans="1:15" ht="15" thickBot="1" x14ac:dyDescent="0.35">
      <c r="A44" s="9" t="s">
        <v>211</v>
      </c>
      <c r="B44" s="33" t="s">
        <v>128</v>
      </c>
      <c r="C44" s="9" t="s">
        <v>212</v>
      </c>
      <c r="D44" s="10">
        <v>447.96774193548401</v>
      </c>
      <c r="E44" s="10">
        <v>440.96428571428601</v>
      </c>
      <c r="F44" s="10">
        <v>437.83870967741899</v>
      </c>
      <c r="G44" s="19">
        <v>435.36666666666702</v>
      </c>
      <c r="H44" s="10">
        <v>439.22580645161298</v>
      </c>
      <c r="I44" s="10">
        <v>436.33333333333297</v>
      </c>
      <c r="J44" s="10">
        <v>442.29032258064501</v>
      </c>
      <c r="K44" s="10">
        <v>465.22580645161298</v>
      </c>
      <c r="M44" s="16"/>
      <c r="N44" s="16"/>
      <c r="O44" s="17"/>
    </row>
    <row r="48" spans="1:15" ht="15" thickBot="1" x14ac:dyDescent="0.35"/>
    <row r="49" spans="1:27" ht="15" thickBot="1" x14ac:dyDescent="0.35">
      <c r="A49" s="4"/>
      <c r="B49" s="4"/>
      <c r="C49" s="4"/>
      <c r="D49" s="366" t="s">
        <v>2</v>
      </c>
      <c r="E49" s="367"/>
      <c r="F49" s="368"/>
      <c r="G49" s="366" t="s">
        <v>3</v>
      </c>
      <c r="H49" s="367"/>
      <c r="I49" s="368"/>
      <c r="J49" s="366" t="s">
        <v>4</v>
      </c>
      <c r="K49" s="367"/>
      <c r="L49" s="368"/>
      <c r="M49" s="369" t="s">
        <v>5</v>
      </c>
      <c r="N49" s="367"/>
      <c r="O49" s="370"/>
      <c r="P49" s="366" t="s">
        <v>6</v>
      </c>
      <c r="Q49" s="367"/>
      <c r="R49" s="368"/>
      <c r="S49" s="366" t="s">
        <v>7</v>
      </c>
      <c r="T49" s="367"/>
      <c r="U49" s="368"/>
      <c r="V49" s="366" t="s">
        <v>8</v>
      </c>
      <c r="W49" s="367"/>
      <c r="X49" s="368"/>
      <c r="Y49" s="366" t="s">
        <v>9</v>
      </c>
      <c r="Z49" s="367"/>
      <c r="AA49" s="368"/>
    </row>
    <row r="50" spans="1:27" ht="29.4" thickBot="1" x14ac:dyDescent="0.35">
      <c r="A50" s="32" t="s">
        <v>24</v>
      </c>
      <c r="B50" s="32" t="s">
        <v>25</v>
      </c>
      <c r="C50" s="7" t="s">
        <v>26</v>
      </c>
      <c r="D50" s="24" t="s">
        <v>28</v>
      </c>
      <c r="E50" s="24" t="s">
        <v>28</v>
      </c>
      <c r="F50" s="24" t="s">
        <v>28</v>
      </c>
      <c r="G50" s="24" t="s">
        <v>28</v>
      </c>
      <c r="H50" s="24" t="s">
        <v>28</v>
      </c>
      <c r="I50" s="24" t="s">
        <v>28</v>
      </c>
      <c r="J50" s="24" t="s">
        <v>28</v>
      </c>
      <c r="K50" s="24" t="s">
        <v>28</v>
      </c>
    </row>
    <row r="51" spans="1:27" x14ac:dyDescent="0.3">
      <c r="A51" s="5" t="s">
        <v>55</v>
      </c>
      <c r="B51" s="5" t="s">
        <v>56</v>
      </c>
      <c r="C51" s="5" t="s">
        <v>57</v>
      </c>
      <c r="D51" s="20">
        <v>7365.96</v>
      </c>
      <c r="E51" s="20">
        <v>7422</v>
      </c>
      <c r="F51" s="20">
        <v>7522</v>
      </c>
      <c r="G51" s="20">
        <v>7601</v>
      </c>
      <c r="H51" s="20">
        <v>7641</v>
      </c>
      <c r="I51" s="20">
        <v>8066</v>
      </c>
      <c r="J51" s="20">
        <v>8396</v>
      </c>
      <c r="K51" s="20">
        <v>8311</v>
      </c>
    </row>
    <row r="52" spans="1:27" x14ac:dyDescent="0.3">
      <c r="A52" s="2" t="s">
        <v>59</v>
      </c>
      <c r="B52" s="5" t="s">
        <v>56</v>
      </c>
      <c r="C52" s="2" t="s">
        <v>60</v>
      </c>
      <c r="D52" s="13">
        <v>10367</v>
      </c>
      <c r="E52" s="13">
        <v>10107</v>
      </c>
      <c r="F52" s="13">
        <v>9662</v>
      </c>
      <c r="G52" s="13">
        <v>9651.67</v>
      </c>
      <c r="H52" s="13">
        <v>9398.7199999999993</v>
      </c>
      <c r="I52" s="13">
        <v>9656</v>
      </c>
      <c r="J52" s="13">
        <v>9805.2000000000007</v>
      </c>
      <c r="K52" s="13">
        <v>9904.3799999999992</v>
      </c>
    </row>
    <row r="53" spans="1:27" x14ac:dyDescent="0.3">
      <c r="A53" s="2" t="s">
        <v>64</v>
      </c>
      <c r="B53" s="5" t="s">
        <v>56</v>
      </c>
      <c r="C53" s="2" t="s">
        <v>65</v>
      </c>
      <c r="D53" s="13">
        <v>2361</v>
      </c>
      <c r="E53" s="13">
        <v>2281</v>
      </c>
      <c r="F53" s="13">
        <v>2311</v>
      </c>
      <c r="G53" s="13">
        <v>2271</v>
      </c>
      <c r="H53" s="13">
        <v>2271</v>
      </c>
      <c r="I53" s="13">
        <v>2311</v>
      </c>
      <c r="J53" s="13">
        <v>2271</v>
      </c>
      <c r="K53" s="13">
        <v>2191</v>
      </c>
    </row>
    <row r="54" spans="1:27" x14ac:dyDescent="0.3">
      <c r="A54" s="2" t="s">
        <v>67</v>
      </c>
      <c r="B54" s="5" t="s">
        <v>56</v>
      </c>
      <c r="C54" s="2" t="s">
        <v>68</v>
      </c>
      <c r="D54" s="13">
        <v>3655.85</v>
      </c>
      <c r="E54" s="13">
        <v>3645</v>
      </c>
      <c r="F54" s="13">
        <v>3510</v>
      </c>
      <c r="G54" s="13">
        <v>3325</v>
      </c>
      <c r="H54" s="13">
        <v>3325</v>
      </c>
      <c r="I54" s="13">
        <v>3230.84</v>
      </c>
      <c r="J54" s="13">
        <v>4035.89</v>
      </c>
      <c r="K54" s="13">
        <v>3924.16</v>
      </c>
    </row>
    <row r="55" spans="1:27" x14ac:dyDescent="0.3">
      <c r="A55" s="2" t="s">
        <v>70</v>
      </c>
      <c r="B55" s="5" t="s">
        <v>56</v>
      </c>
      <c r="C55" s="2" t="s">
        <v>71</v>
      </c>
      <c r="D55" s="13">
        <v>22118.66</v>
      </c>
      <c r="E55" s="13">
        <v>21110.58</v>
      </c>
      <c r="F55" s="13">
        <v>20812.7</v>
      </c>
      <c r="G55" s="13">
        <v>20788.21</v>
      </c>
      <c r="H55" s="13">
        <v>21871.53</v>
      </c>
      <c r="I55" s="13">
        <v>20365.68</v>
      </c>
      <c r="J55" s="13">
        <v>22793.34</v>
      </c>
      <c r="K55" s="13">
        <v>21563.19</v>
      </c>
    </row>
    <row r="56" spans="1:27" x14ac:dyDescent="0.3">
      <c r="A56" s="2" t="s">
        <v>73</v>
      </c>
      <c r="B56" s="5" t="s">
        <v>56</v>
      </c>
      <c r="C56" s="2" t="s">
        <v>74</v>
      </c>
      <c r="D56" s="13">
        <v>12370.21</v>
      </c>
      <c r="E56" s="13">
        <v>11813.59</v>
      </c>
      <c r="F56" s="13">
        <v>11710</v>
      </c>
      <c r="G56" s="13">
        <v>11627.47</v>
      </c>
      <c r="H56" s="13">
        <v>12748.3</v>
      </c>
      <c r="I56" s="13">
        <v>12075.18</v>
      </c>
      <c r="J56" s="13">
        <v>11585</v>
      </c>
      <c r="K56" s="13">
        <v>11335</v>
      </c>
    </row>
    <row r="57" spans="1:27" x14ac:dyDescent="0.3">
      <c r="A57" s="2" t="s">
        <v>76</v>
      </c>
      <c r="B57" s="5" t="s">
        <v>56</v>
      </c>
      <c r="C57" s="2" t="s">
        <v>77</v>
      </c>
      <c r="D57" s="13">
        <v>15656.67</v>
      </c>
      <c r="E57" s="13">
        <v>15262.45</v>
      </c>
      <c r="F57" s="13">
        <v>15310.25</v>
      </c>
      <c r="G57" s="13">
        <v>15021.25</v>
      </c>
      <c r="H57" s="13">
        <v>15541.25</v>
      </c>
      <c r="I57" s="13">
        <v>15206.25</v>
      </c>
      <c r="J57" s="13">
        <v>15056.24</v>
      </c>
      <c r="K57" s="13">
        <v>14817.74</v>
      </c>
    </row>
    <row r="58" spans="1:27" x14ac:dyDescent="0.3">
      <c r="A58" s="2" t="s">
        <v>78</v>
      </c>
      <c r="B58" s="5" t="s">
        <v>56</v>
      </c>
      <c r="C58" s="2" t="s">
        <v>79</v>
      </c>
      <c r="D58" s="13">
        <v>16153.8</v>
      </c>
      <c r="E58" s="13">
        <v>16019</v>
      </c>
      <c r="F58" s="13">
        <v>15958.36</v>
      </c>
      <c r="G58" s="13">
        <v>15798.14</v>
      </c>
      <c r="H58" s="13">
        <v>16368.79</v>
      </c>
      <c r="I58" s="13">
        <v>16130.56</v>
      </c>
      <c r="J58" s="13">
        <v>16338.38</v>
      </c>
      <c r="K58" s="13">
        <v>15052.61</v>
      </c>
    </row>
    <row r="59" spans="1:27" x14ac:dyDescent="0.3">
      <c r="A59" s="2" t="s">
        <v>81</v>
      </c>
      <c r="B59" s="5" t="s">
        <v>56</v>
      </c>
      <c r="C59" s="2" t="s">
        <v>82</v>
      </c>
      <c r="D59" s="13">
        <v>12850</v>
      </c>
      <c r="E59" s="13">
        <v>12987</v>
      </c>
      <c r="F59" s="13">
        <v>13970</v>
      </c>
      <c r="G59" s="13">
        <v>13525</v>
      </c>
      <c r="H59" s="13">
        <v>12930</v>
      </c>
      <c r="I59" s="13">
        <v>14135</v>
      </c>
      <c r="J59" s="13">
        <v>15397.44</v>
      </c>
      <c r="K59" s="13">
        <v>14674.19</v>
      </c>
    </row>
    <row r="60" spans="1:27" x14ac:dyDescent="0.3">
      <c r="A60" s="2" t="s">
        <v>83</v>
      </c>
      <c r="B60" s="5" t="s">
        <v>56</v>
      </c>
      <c r="C60" s="2" t="s">
        <v>84</v>
      </c>
      <c r="D60" s="13">
        <v>8951.44</v>
      </c>
      <c r="E60" s="13">
        <v>10995.8</v>
      </c>
      <c r="F60" s="13">
        <v>9051.4699999999993</v>
      </c>
      <c r="G60" s="13">
        <v>8871.49</v>
      </c>
      <c r="H60" s="13">
        <v>9169.42</v>
      </c>
      <c r="I60" s="13">
        <v>10028.02</v>
      </c>
      <c r="J60" s="13">
        <v>10082.879999999999</v>
      </c>
      <c r="K60" s="13">
        <v>9367</v>
      </c>
    </row>
    <row r="61" spans="1:27" x14ac:dyDescent="0.3">
      <c r="A61" s="2" t="s">
        <v>85</v>
      </c>
      <c r="B61" s="5" t="s">
        <v>56</v>
      </c>
      <c r="C61" s="2" t="s">
        <v>86</v>
      </c>
      <c r="D61" s="13">
        <v>44867.58</v>
      </c>
      <c r="E61" s="13">
        <v>45852.95</v>
      </c>
      <c r="F61" s="13">
        <v>51693.81</v>
      </c>
      <c r="G61" s="13">
        <v>57463.48</v>
      </c>
      <c r="H61" s="13">
        <v>54888.94</v>
      </c>
      <c r="I61" s="13">
        <v>53882.95</v>
      </c>
      <c r="J61" s="13">
        <v>72192.259999999995</v>
      </c>
      <c r="K61" s="13">
        <v>106153.96</v>
      </c>
    </row>
    <row r="62" spans="1:27" x14ac:dyDescent="0.3">
      <c r="A62" s="2" t="s">
        <v>88</v>
      </c>
      <c r="B62" s="5" t="s">
        <v>56</v>
      </c>
      <c r="C62" s="2" t="s">
        <v>89</v>
      </c>
      <c r="D62" s="13">
        <v>46316.83</v>
      </c>
      <c r="E62" s="13">
        <v>54710.22</v>
      </c>
      <c r="F62" s="13">
        <v>42200.480000000003</v>
      </c>
      <c r="G62" s="13">
        <v>43829.75</v>
      </c>
      <c r="H62" s="13">
        <v>44229.919999999998</v>
      </c>
      <c r="I62" s="13">
        <v>34804.6</v>
      </c>
      <c r="J62" s="13">
        <v>43745.32</v>
      </c>
      <c r="K62" s="13">
        <v>39472.26</v>
      </c>
    </row>
    <row r="63" spans="1:27" x14ac:dyDescent="0.3">
      <c r="A63" s="2" t="s">
        <v>93</v>
      </c>
      <c r="B63" s="5" t="s">
        <v>94</v>
      </c>
      <c r="C63" s="2" t="s">
        <v>95</v>
      </c>
      <c r="D63" s="13">
        <v>0</v>
      </c>
      <c r="E63" s="13">
        <v>0</v>
      </c>
      <c r="F63" s="13">
        <v>2500</v>
      </c>
      <c r="G63" s="13">
        <v>2392</v>
      </c>
      <c r="H63" s="13">
        <v>2260</v>
      </c>
      <c r="I63" s="13">
        <v>2260</v>
      </c>
      <c r="J63" s="13">
        <v>2477.7800000000002</v>
      </c>
      <c r="K63" s="13">
        <v>2108.79</v>
      </c>
    </row>
    <row r="64" spans="1:27" x14ac:dyDescent="0.3">
      <c r="A64" s="2" t="s">
        <v>97</v>
      </c>
      <c r="B64" s="5" t="s">
        <v>94</v>
      </c>
      <c r="C64" s="2" t="s">
        <v>98</v>
      </c>
      <c r="D64" s="13">
        <v>1185</v>
      </c>
      <c r="E64" s="13">
        <v>1185</v>
      </c>
      <c r="F64" s="13">
        <v>1232.5</v>
      </c>
      <c r="G64" s="13">
        <v>1152.5</v>
      </c>
      <c r="H64" s="13">
        <v>1185.49</v>
      </c>
      <c r="I64" s="13">
        <v>1275</v>
      </c>
      <c r="J64" s="13">
        <v>1403.23</v>
      </c>
      <c r="K64" s="13">
        <v>1425</v>
      </c>
    </row>
    <row r="65" spans="1:11" x14ac:dyDescent="0.3">
      <c r="A65" s="2" t="s">
        <v>101</v>
      </c>
      <c r="B65" s="5" t="s">
        <v>94</v>
      </c>
      <c r="C65" s="2" t="s">
        <v>102</v>
      </c>
      <c r="D65" s="13">
        <v>7370</v>
      </c>
      <c r="E65" s="13">
        <v>7190</v>
      </c>
      <c r="F65" s="13">
        <v>7313.92</v>
      </c>
      <c r="G65" s="13">
        <v>7820</v>
      </c>
      <c r="H65" s="13">
        <v>8120</v>
      </c>
      <c r="I65" s="13">
        <v>8360</v>
      </c>
      <c r="J65" s="13">
        <v>8130.25</v>
      </c>
      <c r="K65" s="13">
        <v>7940</v>
      </c>
    </row>
    <row r="66" spans="1:11" x14ac:dyDescent="0.3">
      <c r="A66" s="2" t="s">
        <v>104</v>
      </c>
      <c r="B66" s="5" t="s">
        <v>94</v>
      </c>
      <c r="C66" s="2" t="s">
        <v>105</v>
      </c>
      <c r="D66" s="13">
        <v>1680</v>
      </c>
      <c r="E66" s="13">
        <v>2147.5</v>
      </c>
      <c r="F66" s="13">
        <v>2190</v>
      </c>
      <c r="G66" s="13">
        <v>2147.5</v>
      </c>
      <c r="H66" s="13">
        <v>2360</v>
      </c>
      <c r="I66" s="13">
        <v>2445</v>
      </c>
      <c r="J66" s="13">
        <v>2190</v>
      </c>
      <c r="K66" s="13">
        <v>2351.77</v>
      </c>
    </row>
    <row r="67" spans="1:11" x14ac:dyDescent="0.3">
      <c r="A67" s="2" t="s">
        <v>106</v>
      </c>
      <c r="B67" s="5" t="s">
        <v>94</v>
      </c>
      <c r="C67" s="2" t="s">
        <v>107</v>
      </c>
      <c r="D67" s="13">
        <v>0</v>
      </c>
      <c r="E67" s="13">
        <v>0</v>
      </c>
      <c r="F67" s="13">
        <v>843.55</v>
      </c>
      <c r="G67" s="13">
        <v>2900.72</v>
      </c>
      <c r="H67" s="13">
        <v>2900.72</v>
      </c>
      <c r="I67" s="13">
        <v>2900.72</v>
      </c>
      <c r="J67" s="13">
        <v>3400.72</v>
      </c>
      <c r="K67" s="13">
        <v>3177.4</v>
      </c>
    </row>
    <row r="68" spans="1:11" x14ac:dyDescent="0.3">
      <c r="A68" s="2" t="s">
        <v>109</v>
      </c>
      <c r="B68" s="5" t="s">
        <v>94</v>
      </c>
      <c r="C68" s="2" t="s">
        <v>110</v>
      </c>
      <c r="D68" s="13">
        <v>6210</v>
      </c>
      <c r="E68" s="13">
        <v>6320</v>
      </c>
      <c r="F68" s="13">
        <v>6310</v>
      </c>
      <c r="G68" s="13">
        <v>6100</v>
      </c>
      <c r="H68" s="13">
        <v>5730.97</v>
      </c>
      <c r="I68" s="13">
        <v>5060</v>
      </c>
      <c r="J68" s="13">
        <v>5223.22</v>
      </c>
      <c r="K68" s="13">
        <v>5500</v>
      </c>
    </row>
    <row r="69" spans="1:11" x14ac:dyDescent="0.3">
      <c r="A69" s="2" t="s">
        <v>112</v>
      </c>
      <c r="B69" s="5" t="s">
        <v>94</v>
      </c>
      <c r="C69" s="2" t="s">
        <v>113</v>
      </c>
      <c r="D69" s="13">
        <v>2989.33</v>
      </c>
      <c r="E69" s="13">
        <v>3039.33</v>
      </c>
      <c r="F69" s="13">
        <v>2989.33</v>
      </c>
      <c r="G69" s="13">
        <v>3239.33</v>
      </c>
      <c r="H69" s="13">
        <v>3389.33</v>
      </c>
      <c r="I69" s="13">
        <v>3500</v>
      </c>
      <c r="J69" s="13">
        <v>3500</v>
      </c>
      <c r="K69" s="13">
        <v>2800</v>
      </c>
    </row>
    <row r="70" spans="1:11" x14ac:dyDescent="0.3">
      <c r="A70" s="2" t="s">
        <v>115</v>
      </c>
      <c r="B70" s="5" t="s">
        <v>94</v>
      </c>
      <c r="C70" s="2" t="s">
        <v>116</v>
      </c>
      <c r="D70" s="13">
        <v>14587.24</v>
      </c>
      <c r="E70" s="13">
        <v>14641.31</v>
      </c>
      <c r="F70" s="13">
        <v>13807.98</v>
      </c>
      <c r="G70" s="13">
        <v>16492.240000000002</v>
      </c>
      <c r="H70" s="13">
        <v>13870</v>
      </c>
      <c r="I70" s="13">
        <v>15631</v>
      </c>
      <c r="J70" s="13">
        <v>14507.96</v>
      </c>
      <c r="K70" s="13">
        <v>17428.759999999998</v>
      </c>
    </row>
    <row r="71" spans="1:11" x14ac:dyDescent="0.3">
      <c r="A71" s="2" t="s">
        <v>119</v>
      </c>
      <c r="B71" s="5" t="s">
        <v>94</v>
      </c>
      <c r="C71" s="2" t="s">
        <v>120</v>
      </c>
      <c r="D71" s="13">
        <v>10458.26</v>
      </c>
      <c r="E71" s="13">
        <v>10025.61</v>
      </c>
      <c r="F71" s="13">
        <v>10007.17</v>
      </c>
      <c r="G71" s="13">
        <v>9629.82</v>
      </c>
      <c r="H71" s="13">
        <v>9639.0400000000009</v>
      </c>
      <c r="I71" s="13">
        <v>9722.17</v>
      </c>
      <c r="J71" s="13">
        <v>9817.9699999999993</v>
      </c>
      <c r="K71" s="13">
        <v>9646.5400000000009</v>
      </c>
    </row>
    <row r="72" spans="1:11" x14ac:dyDescent="0.3">
      <c r="A72" s="2" t="s">
        <v>122</v>
      </c>
      <c r="B72" s="5" t="s">
        <v>94</v>
      </c>
      <c r="C72" s="2" t="s">
        <v>123</v>
      </c>
      <c r="D72" s="13">
        <v>45359</v>
      </c>
      <c r="E72" s="13">
        <v>45089</v>
      </c>
      <c r="F72" s="13">
        <v>44954</v>
      </c>
      <c r="G72" s="13">
        <v>43604</v>
      </c>
      <c r="H72" s="13">
        <v>44639</v>
      </c>
      <c r="I72" s="13">
        <v>44225</v>
      </c>
      <c r="J72" s="13">
        <v>44391.5</v>
      </c>
      <c r="K72" s="13">
        <v>44324</v>
      </c>
    </row>
    <row r="73" spans="1:11" x14ac:dyDescent="0.3">
      <c r="A73" s="2" t="s">
        <v>127</v>
      </c>
      <c r="B73" s="5" t="s">
        <v>128</v>
      </c>
      <c r="C73" s="2" t="s">
        <v>129</v>
      </c>
      <c r="D73" s="13">
        <v>27634.46</v>
      </c>
      <c r="E73" s="13">
        <v>26385.79</v>
      </c>
      <c r="F73" s="13">
        <v>25927.74</v>
      </c>
      <c r="G73" s="13">
        <v>27805.33</v>
      </c>
      <c r="H73" s="13">
        <v>28516.22</v>
      </c>
      <c r="I73" s="13">
        <v>29490.22</v>
      </c>
      <c r="J73" s="13">
        <v>31068.83</v>
      </c>
      <c r="K73" s="13">
        <v>31974.97</v>
      </c>
    </row>
    <row r="74" spans="1:11" x14ac:dyDescent="0.3">
      <c r="A74" s="2" t="s">
        <v>134</v>
      </c>
      <c r="B74" s="5" t="s">
        <v>128</v>
      </c>
      <c r="C74" s="2" t="s">
        <v>135</v>
      </c>
      <c r="D74" s="13">
        <v>22040.12</v>
      </c>
      <c r="E74" s="13">
        <v>22241.31</v>
      </c>
      <c r="F74" s="13">
        <v>22001.96</v>
      </c>
      <c r="G74" s="13">
        <v>21839.79</v>
      </c>
      <c r="H74" s="13">
        <v>23359.8</v>
      </c>
      <c r="I74" s="13">
        <v>21626.53</v>
      </c>
      <c r="J74" s="13">
        <v>21738.3</v>
      </c>
      <c r="K74" s="13">
        <v>21612.43</v>
      </c>
    </row>
    <row r="75" spans="1:11" x14ac:dyDescent="0.3">
      <c r="A75" s="2" t="s">
        <v>138</v>
      </c>
      <c r="B75" s="5" t="s">
        <v>128</v>
      </c>
      <c r="C75" s="2" t="s">
        <v>139</v>
      </c>
      <c r="D75" s="13">
        <v>15975.1</v>
      </c>
      <c r="E75" s="13">
        <v>16067.52</v>
      </c>
      <c r="F75" s="13">
        <v>16226.41</v>
      </c>
      <c r="G75" s="13">
        <v>15524</v>
      </c>
      <c r="H75" s="13">
        <v>15768.79</v>
      </c>
      <c r="I75" s="13">
        <v>15819.75</v>
      </c>
      <c r="J75" s="13">
        <v>15788.32</v>
      </c>
      <c r="K75" s="13">
        <v>15767.06</v>
      </c>
    </row>
    <row r="76" spans="1:11" x14ac:dyDescent="0.3">
      <c r="A76" s="2" t="s">
        <v>141</v>
      </c>
      <c r="B76" s="5" t="s">
        <v>128</v>
      </c>
      <c r="C76" s="2" t="s">
        <v>142</v>
      </c>
      <c r="D76" s="13">
        <v>37817.06</v>
      </c>
      <c r="E76" s="13">
        <v>37131.230000000003</v>
      </c>
      <c r="F76" s="13">
        <v>36500.379999999997</v>
      </c>
      <c r="G76" s="13">
        <v>36726.089999999997</v>
      </c>
      <c r="H76" s="13">
        <v>37079.300000000003</v>
      </c>
      <c r="I76" s="13">
        <v>37357.440000000002</v>
      </c>
      <c r="J76" s="13">
        <v>37386.160000000003</v>
      </c>
      <c r="K76" s="13">
        <v>38657.43</v>
      </c>
    </row>
    <row r="77" spans="1:11" x14ac:dyDescent="0.3">
      <c r="A77" s="2" t="s">
        <v>146</v>
      </c>
      <c r="B77" s="5" t="s">
        <v>128</v>
      </c>
      <c r="C77" s="2" t="s">
        <v>147</v>
      </c>
      <c r="D77" s="13">
        <v>8462.2800000000007</v>
      </c>
      <c r="E77" s="13">
        <v>8291.3799999999992</v>
      </c>
      <c r="F77" s="13">
        <v>8291.3799999999992</v>
      </c>
      <c r="G77" s="13">
        <v>8381.3799999999992</v>
      </c>
      <c r="H77" s="13">
        <v>8561.3799999999992</v>
      </c>
      <c r="I77" s="13">
        <v>8539.19</v>
      </c>
      <c r="J77" s="13">
        <v>8628.91</v>
      </c>
      <c r="K77" s="13">
        <v>7775.55</v>
      </c>
    </row>
    <row r="78" spans="1:11" x14ac:dyDescent="0.3">
      <c r="A78" s="2" t="s">
        <v>150</v>
      </c>
      <c r="B78" s="5" t="s">
        <v>128</v>
      </c>
      <c r="C78" s="2" t="s">
        <v>151</v>
      </c>
      <c r="D78" s="13">
        <v>20454.82</v>
      </c>
      <c r="E78" s="13">
        <v>19788.169999999998</v>
      </c>
      <c r="F78" s="13">
        <v>21109.16</v>
      </c>
      <c r="G78" s="13">
        <v>20016.62</v>
      </c>
      <c r="H78" s="13">
        <v>20564.97</v>
      </c>
      <c r="I78" s="13">
        <v>19835.87</v>
      </c>
      <c r="J78" s="13">
        <v>19244.86</v>
      </c>
      <c r="K78" s="13">
        <v>19509.79</v>
      </c>
    </row>
    <row r="79" spans="1:11" x14ac:dyDescent="0.3">
      <c r="A79" s="2" t="s">
        <v>154</v>
      </c>
      <c r="B79" s="5" t="s">
        <v>128</v>
      </c>
      <c r="C79" s="2" t="s">
        <v>155</v>
      </c>
      <c r="D79" s="13">
        <v>8294.0300000000007</v>
      </c>
      <c r="E79" s="13">
        <v>8331.8799999999992</v>
      </c>
      <c r="F79" s="13">
        <v>8639.09</v>
      </c>
      <c r="G79" s="13">
        <v>8631.34</v>
      </c>
      <c r="H79" s="13">
        <v>8723.67</v>
      </c>
      <c r="I79" s="13">
        <v>8679.24</v>
      </c>
      <c r="J79" s="13">
        <v>8695.44</v>
      </c>
      <c r="K79" s="13">
        <v>8695.44</v>
      </c>
    </row>
    <row r="80" spans="1:11" x14ac:dyDescent="0.3">
      <c r="A80" s="2" t="s">
        <v>159</v>
      </c>
      <c r="B80" s="5" t="s">
        <v>128</v>
      </c>
      <c r="C80" s="2" t="s">
        <v>160</v>
      </c>
      <c r="D80" s="13">
        <v>27173.61</v>
      </c>
      <c r="E80" s="13">
        <v>26998.58</v>
      </c>
      <c r="F80" s="13">
        <v>26903.31</v>
      </c>
      <c r="G80" s="13">
        <v>27167.03</v>
      </c>
      <c r="H80" s="13">
        <v>26487.4</v>
      </c>
      <c r="I80" s="13">
        <v>26745.22</v>
      </c>
      <c r="J80" s="13">
        <v>25853.54</v>
      </c>
      <c r="K80" s="13">
        <v>24209.360000000001</v>
      </c>
    </row>
    <row r="81" spans="1:11" x14ac:dyDescent="0.3">
      <c r="A81" s="2" t="s">
        <v>164</v>
      </c>
      <c r="B81" s="5" t="s">
        <v>128</v>
      </c>
      <c r="C81" s="2" t="s">
        <v>165</v>
      </c>
      <c r="D81" s="13">
        <v>17022.37</v>
      </c>
      <c r="E81" s="13">
        <v>17014.29</v>
      </c>
      <c r="F81" s="13">
        <v>16851.97</v>
      </c>
      <c r="G81" s="13">
        <v>16718.96</v>
      </c>
      <c r="H81" s="13">
        <v>16866.86</v>
      </c>
      <c r="I81" s="13">
        <v>16990.689999999999</v>
      </c>
      <c r="J81" s="13">
        <v>17127.82</v>
      </c>
      <c r="K81" s="13">
        <v>16817.32</v>
      </c>
    </row>
    <row r="82" spans="1:11" x14ac:dyDescent="0.3">
      <c r="A82" s="2" t="s">
        <v>169</v>
      </c>
      <c r="B82" s="5" t="s">
        <v>128</v>
      </c>
      <c r="C82" s="2" t="s">
        <v>170</v>
      </c>
      <c r="D82" s="13">
        <v>21071.37</v>
      </c>
      <c r="E82" s="13">
        <v>20841.490000000002</v>
      </c>
      <c r="F82" s="13">
        <v>20797.55</v>
      </c>
      <c r="G82" s="13">
        <v>20308.7</v>
      </c>
      <c r="H82" s="13">
        <v>19967.25</v>
      </c>
      <c r="I82" s="13">
        <v>20380.88</v>
      </c>
      <c r="J82" s="13">
        <v>20857.349999999999</v>
      </c>
      <c r="K82" s="13">
        <v>20875.38</v>
      </c>
    </row>
    <row r="83" spans="1:11" x14ac:dyDescent="0.3">
      <c r="A83" s="2" t="s">
        <v>172</v>
      </c>
      <c r="B83" s="5" t="s">
        <v>128</v>
      </c>
      <c r="C83" s="2" t="s">
        <v>173</v>
      </c>
      <c r="D83" s="13">
        <v>27046.26</v>
      </c>
      <c r="E83" s="13">
        <v>27172.71</v>
      </c>
      <c r="F83" s="13">
        <v>27261.26</v>
      </c>
      <c r="G83" s="13">
        <v>26963.64</v>
      </c>
      <c r="H83" s="13">
        <v>26897.84</v>
      </c>
      <c r="I83" s="13">
        <v>27051.59</v>
      </c>
      <c r="J83" s="13">
        <v>26559.96</v>
      </c>
      <c r="K83" s="13">
        <v>26326.29</v>
      </c>
    </row>
    <row r="84" spans="1:11" x14ac:dyDescent="0.3">
      <c r="A84" s="2" t="s">
        <v>175</v>
      </c>
      <c r="B84" s="5" t="s">
        <v>128</v>
      </c>
      <c r="C84" s="2" t="s">
        <v>176</v>
      </c>
      <c r="D84" s="13">
        <v>9849.44</v>
      </c>
      <c r="E84" s="13">
        <v>9318.65</v>
      </c>
      <c r="F84" s="13">
        <v>9507.9699999999993</v>
      </c>
      <c r="G84" s="13">
        <v>9784.26</v>
      </c>
      <c r="H84" s="13">
        <v>9821.94</v>
      </c>
      <c r="I84" s="13">
        <v>9623.1</v>
      </c>
      <c r="J84" s="13">
        <v>10093.06</v>
      </c>
      <c r="K84" s="13">
        <v>9865.8700000000008</v>
      </c>
    </row>
    <row r="85" spans="1:11" x14ac:dyDescent="0.3">
      <c r="A85" s="2" t="s">
        <v>179</v>
      </c>
      <c r="B85" s="5" t="s">
        <v>128</v>
      </c>
      <c r="C85" s="2" t="s">
        <v>180</v>
      </c>
      <c r="D85" s="13">
        <v>7611.05</v>
      </c>
      <c r="E85" s="13">
        <v>7417.88</v>
      </c>
      <c r="F85" s="13">
        <v>7137.41</v>
      </c>
      <c r="G85" s="13">
        <v>6883.08</v>
      </c>
      <c r="H85" s="13">
        <v>6866.43</v>
      </c>
      <c r="I85" s="13">
        <v>6640.07</v>
      </c>
      <c r="J85" s="13">
        <v>6514.75</v>
      </c>
      <c r="K85" s="13">
        <v>6361.53</v>
      </c>
    </row>
    <row r="86" spans="1:11" x14ac:dyDescent="0.3">
      <c r="A86" s="2" t="s">
        <v>182</v>
      </c>
      <c r="B86" s="5" t="s">
        <v>128</v>
      </c>
      <c r="C86" s="2" t="s">
        <v>183</v>
      </c>
      <c r="D86" s="13">
        <v>16240.76</v>
      </c>
      <c r="E86" s="13">
        <v>15992.62</v>
      </c>
      <c r="F86" s="13">
        <v>16050.31</v>
      </c>
      <c r="G86" s="13">
        <v>15860.06</v>
      </c>
      <c r="H86" s="13">
        <v>15213.88</v>
      </c>
      <c r="I86" s="13">
        <v>15227.56</v>
      </c>
      <c r="J86" s="13">
        <v>15148.55</v>
      </c>
      <c r="K86" s="13">
        <v>15836.11</v>
      </c>
    </row>
    <row r="87" spans="1:11" x14ac:dyDescent="0.3">
      <c r="A87" s="2" t="s">
        <v>185</v>
      </c>
      <c r="B87" s="5" t="s">
        <v>128</v>
      </c>
      <c r="C87" s="2" t="s">
        <v>186</v>
      </c>
      <c r="D87" s="13">
        <v>10619.96</v>
      </c>
      <c r="E87" s="13">
        <v>10634.76</v>
      </c>
      <c r="F87" s="13">
        <v>10621.2</v>
      </c>
      <c r="G87" s="13">
        <v>8553.89</v>
      </c>
      <c r="H87" s="13">
        <v>8276.2000000000007</v>
      </c>
      <c r="I87" s="13">
        <v>7176.78</v>
      </c>
      <c r="J87" s="13">
        <v>7859.06</v>
      </c>
      <c r="K87" s="13">
        <v>8896.09</v>
      </c>
    </row>
    <row r="88" spans="1:11" x14ac:dyDescent="0.3">
      <c r="A88" s="2" t="s">
        <v>190</v>
      </c>
      <c r="B88" s="5" t="s">
        <v>128</v>
      </c>
      <c r="C88" s="2" t="s">
        <v>191</v>
      </c>
      <c r="D88" s="13">
        <v>24531.43</v>
      </c>
      <c r="E88" s="13">
        <v>18290.64</v>
      </c>
      <c r="F88" s="13">
        <v>20847.61</v>
      </c>
      <c r="G88" s="13">
        <v>21341.55</v>
      </c>
      <c r="H88" s="13">
        <v>19759.23</v>
      </c>
      <c r="I88" s="13">
        <v>20626.650000000001</v>
      </c>
      <c r="J88" s="13">
        <v>25564.99</v>
      </c>
      <c r="K88" s="13">
        <v>21074.74</v>
      </c>
    </row>
    <row r="89" spans="1:11" x14ac:dyDescent="0.3">
      <c r="A89" s="2" t="s">
        <v>194</v>
      </c>
      <c r="B89" s="5" t="s">
        <v>128</v>
      </c>
      <c r="C89" s="2" t="s">
        <v>195</v>
      </c>
      <c r="D89" s="13">
        <v>29117.37</v>
      </c>
      <c r="E89" s="13">
        <v>27676.74</v>
      </c>
      <c r="F89" s="13">
        <v>27450.07</v>
      </c>
      <c r="G89" s="13">
        <v>27468.23</v>
      </c>
      <c r="H89" s="13">
        <v>27316.46</v>
      </c>
      <c r="I89" s="13">
        <v>27421.93</v>
      </c>
      <c r="J89" s="13">
        <v>26590.95</v>
      </c>
      <c r="K89" s="13">
        <v>27247.06</v>
      </c>
    </row>
    <row r="90" spans="1:11" x14ac:dyDescent="0.3">
      <c r="A90" s="2" t="s">
        <v>198</v>
      </c>
      <c r="B90" s="5" t="s">
        <v>128</v>
      </c>
      <c r="C90" s="2" t="s">
        <v>199</v>
      </c>
      <c r="D90" s="13">
        <v>9323.57</v>
      </c>
      <c r="E90" s="13">
        <v>7414.21</v>
      </c>
      <c r="F90" s="13">
        <v>7224.42</v>
      </c>
      <c r="G90" s="13">
        <v>12233</v>
      </c>
      <c r="H90" s="13">
        <v>4375.22</v>
      </c>
      <c r="I90" s="13">
        <v>-273.45999999999998</v>
      </c>
      <c r="J90" s="13">
        <v>12699.2</v>
      </c>
      <c r="K90" s="13">
        <v>7562.5</v>
      </c>
    </row>
    <row r="91" spans="1:11" x14ac:dyDescent="0.3">
      <c r="A91" s="2" t="s">
        <v>202</v>
      </c>
      <c r="B91" s="5" t="s">
        <v>128</v>
      </c>
      <c r="C91" s="2" t="s">
        <v>216</v>
      </c>
      <c r="D91" s="13">
        <v>34754.699999999997</v>
      </c>
      <c r="E91" s="13">
        <v>33432.42</v>
      </c>
      <c r="F91" s="13">
        <v>32726.9</v>
      </c>
      <c r="G91" s="13">
        <v>31277.71</v>
      </c>
      <c r="H91" s="13">
        <v>30339.23</v>
      </c>
      <c r="I91" s="13">
        <v>29920.87</v>
      </c>
      <c r="J91" s="13">
        <v>30168.21</v>
      </c>
      <c r="K91" s="13">
        <v>30023.279999999999</v>
      </c>
    </row>
    <row r="92" spans="1:11" ht="15" thickBot="1" x14ac:dyDescent="0.35">
      <c r="A92" s="9" t="s">
        <v>211</v>
      </c>
      <c r="B92" s="33" t="s">
        <v>128</v>
      </c>
      <c r="C92" s="9" t="s">
        <v>212</v>
      </c>
      <c r="D92" s="15">
        <v>17935.419999999998</v>
      </c>
      <c r="E92" s="15">
        <v>17325.810000000001</v>
      </c>
      <c r="F92" s="15">
        <v>16123.7</v>
      </c>
      <c r="G92" s="15">
        <v>15815.5</v>
      </c>
      <c r="H92" s="15">
        <v>15187.07</v>
      </c>
      <c r="I92" s="15">
        <v>15251.65</v>
      </c>
      <c r="J92" s="15">
        <v>15770.09</v>
      </c>
      <c r="K92" s="15">
        <v>15946.5</v>
      </c>
    </row>
  </sheetData>
  <mergeCells count="8">
    <mergeCell ref="P49:R49"/>
    <mergeCell ref="S49:U49"/>
    <mergeCell ref="V49:X49"/>
    <mergeCell ref="Y49:AA49"/>
    <mergeCell ref="D49:F49"/>
    <mergeCell ref="G49:I49"/>
    <mergeCell ref="J49:L49"/>
    <mergeCell ref="M49:O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7CF5-41C8-4C9E-8668-7DC3040B1151}">
  <dimension ref="A1:BU45"/>
  <sheetViews>
    <sheetView tabSelected="1" zoomScale="70" zoomScaleNormal="70" workbookViewId="0">
      <pane xSplit="3" ySplit="2" topLeftCell="BE3" activePane="bottomRight" state="frozen"/>
      <selection pane="topRight" activeCell="C1" sqref="C1"/>
      <selection pane="bottomLeft" activeCell="A3" sqref="A3"/>
      <selection pane="bottomRight" activeCell="BL2" sqref="BL2"/>
    </sheetView>
  </sheetViews>
  <sheetFormatPr defaultRowHeight="14.4" x14ac:dyDescent="0.3"/>
  <cols>
    <col min="1" max="2" width="13" customWidth="1"/>
    <col min="3" max="3" width="24.59765625" hidden="1" customWidth="1"/>
    <col min="4" max="21" width="8.69921875" hidden="1" customWidth="1"/>
    <col min="22" max="22" width="9.296875" hidden="1" customWidth="1"/>
    <col min="23" max="24" width="8.69921875" hidden="1" customWidth="1"/>
    <col min="25" max="25" width="10.59765625" hidden="1" customWidth="1"/>
    <col min="26" max="27" width="8.69921875" hidden="1" customWidth="1"/>
    <col min="28" max="28" width="10.09765625" hidden="1" customWidth="1"/>
    <col min="29" max="29" width="12.09765625" hidden="1" customWidth="1"/>
    <col min="30" max="30" width="9.69921875" style="76" hidden="1" customWidth="1"/>
    <col min="31" max="31" width="10.59765625" style="75" hidden="1" customWidth="1"/>
    <col min="32" max="38" width="8.69921875" style="75" customWidth="1"/>
    <col min="39" max="39" width="56.3984375" style="75" customWidth="1"/>
    <col min="40" max="49" width="8.69921875" style="75" customWidth="1"/>
    <col min="50" max="51" width="10.59765625" customWidth="1"/>
    <col min="52" max="52" width="10.8984375" customWidth="1"/>
    <col min="53" max="53" width="10.09765625" customWidth="1"/>
    <col min="54" max="54" width="11.09765625" customWidth="1"/>
    <col min="55" max="55" width="10.59765625" customWidth="1"/>
    <col min="56" max="56" width="10.8984375" customWidth="1"/>
    <col min="57" max="57" width="76.3984375" bestFit="1" customWidth="1"/>
    <col min="58" max="58" width="3.3984375" customWidth="1"/>
    <col min="64" max="64" width="12.3984375" customWidth="1"/>
    <col min="65" max="65" width="8.69921875" customWidth="1"/>
    <col min="66" max="66" width="49.3984375" customWidth="1"/>
  </cols>
  <sheetData>
    <row r="1" spans="1:73" ht="18.45" thickBot="1" x14ac:dyDescent="0.4">
      <c r="A1" s="39"/>
      <c r="B1" s="40"/>
      <c r="C1" s="46"/>
      <c r="D1" s="377" t="s">
        <v>2</v>
      </c>
      <c r="E1" s="378"/>
      <c r="F1" s="380"/>
      <c r="G1" s="377" t="s">
        <v>3</v>
      </c>
      <c r="H1" s="378"/>
      <c r="I1" s="380"/>
      <c r="J1" s="377" t="s">
        <v>4</v>
      </c>
      <c r="K1" s="378"/>
      <c r="L1" s="380"/>
      <c r="M1" s="377" t="s">
        <v>5</v>
      </c>
      <c r="N1" s="378"/>
      <c r="O1" s="380"/>
      <c r="P1" s="377" t="s">
        <v>6</v>
      </c>
      <c r="Q1" s="378"/>
      <c r="R1" s="380"/>
      <c r="S1" s="377" t="s">
        <v>7</v>
      </c>
      <c r="T1" s="378"/>
      <c r="U1" s="380"/>
      <c r="V1" s="377" t="s">
        <v>8</v>
      </c>
      <c r="W1" s="378"/>
      <c r="X1" s="379"/>
      <c r="Y1" s="377" t="s">
        <v>9</v>
      </c>
      <c r="Z1" s="378"/>
      <c r="AA1" s="380"/>
      <c r="AB1" s="40"/>
      <c r="AC1" s="40"/>
      <c r="AD1" s="87"/>
      <c r="AE1" s="88"/>
      <c r="AF1" s="89"/>
      <c r="AG1" s="89"/>
      <c r="AH1" s="89"/>
      <c r="AI1" s="89"/>
      <c r="AJ1" s="89"/>
      <c r="AK1" s="90"/>
      <c r="AL1" s="90"/>
      <c r="AM1" s="88"/>
      <c r="AN1" s="91" t="s">
        <v>4</v>
      </c>
      <c r="AO1" s="91" t="s">
        <v>11</v>
      </c>
      <c r="AP1" s="91" t="s">
        <v>6</v>
      </c>
      <c r="AQ1" s="91" t="s">
        <v>217</v>
      </c>
      <c r="AR1" s="91" t="s">
        <v>13</v>
      </c>
      <c r="AS1" s="92" t="s">
        <v>9</v>
      </c>
      <c r="AT1" s="92" t="s">
        <v>14</v>
      </c>
      <c r="AU1" s="92" t="s">
        <v>15</v>
      </c>
      <c r="AV1" s="92" t="s">
        <v>16</v>
      </c>
      <c r="AW1" s="92" t="s">
        <v>17</v>
      </c>
      <c r="AX1" s="371" t="s">
        <v>218</v>
      </c>
      <c r="AY1" s="372"/>
      <c r="AZ1" s="372"/>
      <c r="BA1" s="372"/>
      <c r="BB1" s="372"/>
      <c r="BC1" s="372"/>
      <c r="BD1" s="372"/>
      <c r="BE1" s="373"/>
      <c r="BF1" s="74"/>
      <c r="BG1" s="374" t="s">
        <v>1</v>
      </c>
      <c r="BH1" s="375"/>
      <c r="BI1" s="375"/>
      <c r="BJ1" s="375"/>
      <c r="BK1" s="375"/>
      <c r="BL1" s="375"/>
      <c r="BM1" s="375"/>
      <c r="BN1" s="376"/>
      <c r="BO1" s="92" t="s">
        <v>2</v>
      </c>
      <c r="BP1" s="92" t="s">
        <v>3</v>
      </c>
      <c r="BQ1" s="92" t="s">
        <v>4</v>
      </c>
      <c r="BR1" s="70"/>
      <c r="BS1" s="70"/>
      <c r="BT1" s="70"/>
      <c r="BU1" s="71"/>
    </row>
    <row r="2" spans="1:73" ht="72.599999999999994" thickBot="1" x14ac:dyDescent="0.35">
      <c r="A2" s="267" t="s">
        <v>24</v>
      </c>
      <c r="B2" s="268" t="s">
        <v>25</v>
      </c>
      <c r="C2" s="269" t="s">
        <v>26</v>
      </c>
      <c r="D2" s="37" t="s">
        <v>27</v>
      </c>
      <c r="E2" s="38" t="s">
        <v>219</v>
      </c>
      <c r="F2" s="72" t="s">
        <v>220</v>
      </c>
      <c r="G2" s="37" t="s">
        <v>27</v>
      </c>
      <c r="H2" s="38" t="s">
        <v>219</v>
      </c>
      <c r="I2" s="72" t="s">
        <v>220</v>
      </c>
      <c r="J2" s="37" t="s">
        <v>27</v>
      </c>
      <c r="K2" s="38" t="s">
        <v>219</v>
      </c>
      <c r="L2" s="72" t="s">
        <v>220</v>
      </c>
      <c r="M2" s="37" t="s">
        <v>27</v>
      </c>
      <c r="N2" s="38" t="s">
        <v>219</v>
      </c>
      <c r="O2" s="72" t="s">
        <v>220</v>
      </c>
      <c r="P2" s="37" t="s">
        <v>27</v>
      </c>
      <c r="Q2" s="38" t="s">
        <v>219</v>
      </c>
      <c r="R2" s="72" t="s">
        <v>220</v>
      </c>
      <c r="S2" s="37" t="s">
        <v>27</v>
      </c>
      <c r="T2" s="38" t="s">
        <v>219</v>
      </c>
      <c r="U2" s="72" t="s">
        <v>220</v>
      </c>
      <c r="V2" s="37" t="s">
        <v>27</v>
      </c>
      <c r="W2" s="38" t="s">
        <v>219</v>
      </c>
      <c r="X2" s="73" t="s">
        <v>220</v>
      </c>
      <c r="Y2" s="37" t="s">
        <v>27</v>
      </c>
      <c r="Z2" s="38" t="s">
        <v>219</v>
      </c>
      <c r="AA2" s="72" t="s">
        <v>220</v>
      </c>
      <c r="AB2" s="41" t="s">
        <v>221</v>
      </c>
      <c r="AC2" s="41" t="s">
        <v>27</v>
      </c>
      <c r="AD2" s="93" t="s">
        <v>30</v>
      </c>
      <c r="AE2" s="94" t="s">
        <v>222</v>
      </c>
      <c r="AF2" s="78" t="s">
        <v>223</v>
      </c>
      <c r="AG2" s="78" t="s">
        <v>224</v>
      </c>
      <c r="AH2" s="78" t="s">
        <v>225</v>
      </c>
      <c r="AI2" s="78" t="s">
        <v>226</v>
      </c>
      <c r="AJ2" s="78" t="s">
        <v>227</v>
      </c>
      <c r="AK2" s="77" t="s">
        <v>278</v>
      </c>
      <c r="AL2" s="77" t="s">
        <v>229</v>
      </c>
      <c r="AM2" s="94" t="s">
        <v>50</v>
      </c>
      <c r="AN2" s="78" t="s">
        <v>27</v>
      </c>
      <c r="AO2" s="78" t="s">
        <v>27</v>
      </c>
      <c r="AP2" s="78" t="s">
        <v>27</v>
      </c>
      <c r="AQ2" s="78" t="s">
        <v>27</v>
      </c>
      <c r="AR2" s="78" t="s">
        <v>27</v>
      </c>
      <c r="AS2" s="78" t="s">
        <v>27</v>
      </c>
      <c r="AT2" s="78" t="s">
        <v>27</v>
      </c>
      <c r="AU2" s="78" t="s">
        <v>27</v>
      </c>
      <c r="AV2" s="78"/>
      <c r="AW2" s="78" t="s">
        <v>27</v>
      </c>
      <c r="AX2" s="65" t="s">
        <v>223</v>
      </c>
      <c r="AY2" s="41" t="s">
        <v>224</v>
      </c>
      <c r="AZ2" s="41" t="s">
        <v>225</v>
      </c>
      <c r="BA2" s="41" t="s">
        <v>226</v>
      </c>
      <c r="BB2" s="41" t="s">
        <v>227</v>
      </c>
      <c r="BC2" s="69" t="s">
        <v>228</v>
      </c>
      <c r="BD2" s="69" t="s">
        <v>229</v>
      </c>
      <c r="BE2" s="65" t="s">
        <v>50</v>
      </c>
      <c r="BF2" s="65"/>
      <c r="BG2" s="41" t="s">
        <v>223</v>
      </c>
      <c r="BH2" s="41" t="s">
        <v>224</v>
      </c>
      <c r="BI2" s="41" t="s">
        <v>225</v>
      </c>
      <c r="BJ2" s="41" t="s">
        <v>226</v>
      </c>
      <c r="BK2" s="41" t="s">
        <v>227</v>
      </c>
      <c r="BL2" s="69" t="s">
        <v>278</v>
      </c>
      <c r="BM2" s="69" t="s">
        <v>229</v>
      </c>
      <c r="BN2" s="65" t="s">
        <v>50</v>
      </c>
      <c r="BO2" s="78" t="s">
        <v>27</v>
      </c>
      <c r="BP2" s="78" t="s">
        <v>27</v>
      </c>
      <c r="BQ2" s="78" t="s">
        <v>27</v>
      </c>
    </row>
    <row r="3" spans="1:73" x14ac:dyDescent="0.3">
      <c r="A3" s="270" t="s">
        <v>59</v>
      </c>
      <c r="B3" s="271" t="s">
        <v>56</v>
      </c>
      <c r="C3" s="271" t="s">
        <v>60</v>
      </c>
      <c r="D3" s="58"/>
      <c r="E3" s="58"/>
      <c r="F3" s="59"/>
      <c r="G3" s="58"/>
      <c r="H3" s="58"/>
      <c r="I3" s="59"/>
      <c r="J3" s="58"/>
      <c r="K3" s="58"/>
      <c r="L3" s="59"/>
      <c r="M3" s="58"/>
      <c r="N3" s="58"/>
      <c r="O3" s="59"/>
      <c r="P3" s="58"/>
      <c r="Q3" s="58"/>
      <c r="R3" s="59"/>
      <c r="S3" s="58"/>
      <c r="T3" s="58"/>
      <c r="U3" s="59"/>
      <c r="V3" s="58"/>
      <c r="W3" s="58"/>
      <c r="X3" s="60"/>
      <c r="Y3" s="61"/>
      <c r="Z3" s="58"/>
      <c r="AA3" s="62"/>
      <c r="AB3" s="63">
        <v>0</v>
      </c>
      <c r="AC3" s="63"/>
      <c r="AD3" s="79">
        <f t="shared" ref="AD3:AD5" si="0">IFERROR(AC3/AB3,0)</f>
        <v>0</v>
      </c>
      <c r="AE3" s="95"/>
      <c r="AF3" s="96"/>
      <c r="AG3" s="96"/>
      <c r="AH3" s="96"/>
      <c r="AI3" s="96"/>
      <c r="AJ3" s="96"/>
      <c r="AK3" s="97">
        <f>IFERROR(AVERAGE(AG3:AJ3),0)</f>
        <v>0</v>
      </c>
      <c r="AL3" s="97">
        <f>IFERROR(AF3-AK3,0)</f>
        <v>0</v>
      </c>
      <c r="AM3" s="98"/>
      <c r="AN3" s="99"/>
      <c r="AO3" s="99"/>
      <c r="AP3" s="99"/>
      <c r="AQ3" s="99"/>
      <c r="AR3" s="99"/>
      <c r="AS3" s="100"/>
      <c r="AT3" s="100"/>
      <c r="AU3" s="100"/>
      <c r="AV3" s="100"/>
      <c r="AW3" s="100"/>
      <c r="AX3" s="64"/>
      <c r="AY3" s="63"/>
      <c r="AZ3" s="63"/>
      <c r="BA3" s="63"/>
      <c r="BB3" s="63"/>
      <c r="BC3" s="66">
        <f>IFERROR(AVERAGE(AY3:BB3),0)</f>
        <v>0</v>
      </c>
      <c r="BD3" s="66">
        <f>IFERROR(AX3-BC3,0)</f>
        <v>0</v>
      </c>
      <c r="BE3" s="64"/>
      <c r="BF3" s="114"/>
      <c r="BG3" s="115">
        <v>0</v>
      </c>
      <c r="BH3" s="115"/>
      <c r="BI3" s="115"/>
      <c r="BJ3" s="115"/>
      <c r="BK3" s="115"/>
      <c r="BL3" s="115">
        <f>IFERROR(AVERAGE(BH3:BK3),0)</f>
        <v>0</v>
      </c>
      <c r="BM3" s="115"/>
      <c r="BN3" s="114" t="s">
        <v>230</v>
      </c>
      <c r="BO3" s="100"/>
      <c r="BP3" s="100"/>
      <c r="BQ3" s="100"/>
    </row>
    <row r="4" spans="1:73" x14ac:dyDescent="0.3">
      <c r="A4" s="272" t="s">
        <v>64</v>
      </c>
      <c r="B4" s="273" t="s">
        <v>56</v>
      </c>
      <c r="C4" s="273" t="s">
        <v>65</v>
      </c>
      <c r="D4" s="47"/>
      <c r="E4" s="47"/>
      <c r="F4" s="48"/>
      <c r="G4" s="47"/>
      <c r="H4" s="47"/>
      <c r="I4" s="48"/>
      <c r="J4" s="47"/>
      <c r="K4" s="47"/>
      <c r="L4" s="48"/>
      <c r="M4" s="47"/>
      <c r="N4" s="47"/>
      <c r="O4" s="48"/>
      <c r="P4" s="47"/>
      <c r="Q4" s="47"/>
      <c r="R4" s="48"/>
      <c r="S4" s="47"/>
      <c r="T4" s="47"/>
      <c r="U4" s="48"/>
      <c r="V4" s="47"/>
      <c r="W4" s="47"/>
      <c r="X4" s="49"/>
      <c r="Y4" s="50"/>
      <c r="Z4" s="47"/>
      <c r="AA4" s="51"/>
      <c r="AB4" s="52">
        <v>0</v>
      </c>
      <c r="AC4" s="52"/>
      <c r="AD4" s="82">
        <f t="shared" si="0"/>
        <v>0</v>
      </c>
      <c r="AE4" s="101"/>
      <c r="AF4" s="102"/>
      <c r="AG4" s="102"/>
      <c r="AH4" s="102"/>
      <c r="AI4" s="102"/>
      <c r="AJ4" s="102"/>
      <c r="AK4" s="97">
        <f t="shared" ref="AK4:AK45" si="1">IFERROR(AVERAGE(AG4:AJ4),0)</f>
        <v>0</v>
      </c>
      <c r="AL4" s="97">
        <f t="shared" ref="AL4:AL45" si="2">IFERROR(AF4-AK4,0)</f>
        <v>0</v>
      </c>
      <c r="AM4" s="103"/>
      <c r="AN4" s="104"/>
      <c r="AO4" s="104"/>
      <c r="AP4" s="104"/>
      <c r="AQ4" s="104"/>
      <c r="AR4" s="104"/>
      <c r="AS4" s="105"/>
      <c r="AT4" s="105"/>
      <c r="AU4" s="105"/>
      <c r="AV4" s="105"/>
      <c r="AW4" s="105"/>
      <c r="AX4" s="53"/>
      <c r="AY4" s="52"/>
      <c r="AZ4" s="52"/>
      <c r="BA4" s="52"/>
      <c r="BB4" s="52"/>
      <c r="BC4" s="66">
        <f t="shared" ref="BC4:BC45" si="3">IFERROR(AVERAGE(AY4:BB4),0)</f>
        <v>0</v>
      </c>
      <c r="BD4" s="66">
        <f t="shared" ref="BD4:BD45" si="4">IFERROR(AX4-BC4,0)</f>
        <v>0</v>
      </c>
      <c r="BE4" s="53"/>
      <c r="BF4" s="116"/>
      <c r="BG4" s="279">
        <v>0</v>
      </c>
      <c r="BH4" s="279">
        <v>50</v>
      </c>
      <c r="BI4" s="279"/>
      <c r="BJ4" s="279"/>
      <c r="BK4" s="279"/>
      <c r="BL4" s="115">
        <f t="shared" ref="BL4:BL45" si="5">IFERROR(AVERAGE(BH4:BK4),0)</f>
        <v>50</v>
      </c>
      <c r="BM4" s="115"/>
      <c r="BN4" s="116" t="s">
        <v>231</v>
      </c>
      <c r="BO4" s="105"/>
      <c r="BP4" s="105"/>
      <c r="BQ4" s="105"/>
    </row>
    <row r="5" spans="1:73" x14ac:dyDescent="0.3">
      <c r="A5" s="272" t="s">
        <v>78</v>
      </c>
      <c r="B5" s="273" t="s">
        <v>56</v>
      </c>
      <c r="C5" s="273" t="s">
        <v>79</v>
      </c>
      <c r="D5" s="47"/>
      <c r="E5" s="47"/>
      <c r="F5" s="48"/>
      <c r="G5" s="47"/>
      <c r="H5" s="47"/>
      <c r="I5" s="48"/>
      <c r="J5" s="47"/>
      <c r="K5" s="47"/>
      <c r="L5" s="48"/>
      <c r="M5" s="47"/>
      <c r="N5" s="47"/>
      <c r="O5" s="48"/>
      <c r="P5" s="47"/>
      <c r="Q5" s="47"/>
      <c r="R5" s="48"/>
      <c r="S5" s="47"/>
      <c r="T5" s="47"/>
      <c r="U5" s="48"/>
      <c r="V5" s="47"/>
      <c r="W5" s="47"/>
      <c r="X5" s="49"/>
      <c r="Y5" s="50"/>
      <c r="Z5" s="47"/>
      <c r="AA5" s="51"/>
      <c r="AB5" s="52">
        <v>0</v>
      </c>
      <c r="AC5" s="52"/>
      <c r="AD5" s="82">
        <f t="shared" si="0"/>
        <v>0</v>
      </c>
      <c r="AE5" s="101"/>
      <c r="AF5" s="102"/>
      <c r="AG5" s="102"/>
      <c r="AH5" s="102"/>
      <c r="AI5" s="102"/>
      <c r="AJ5" s="102"/>
      <c r="AK5" s="97">
        <f t="shared" si="1"/>
        <v>0</v>
      </c>
      <c r="AL5" s="97">
        <f t="shared" si="2"/>
        <v>0</v>
      </c>
      <c r="AM5" s="103"/>
      <c r="AN5" s="104"/>
      <c r="AO5" s="104"/>
      <c r="AP5" s="104"/>
      <c r="AQ5" s="104"/>
      <c r="AR5" s="104"/>
      <c r="AS5" s="105"/>
      <c r="AT5" s="105"/>
      <c r="AU5" s="105"/>
      <c r="AV5" s="105"/>
      <c r="AW5" s="105"/>
      <c r="AX5" s="53"/>
      <c r="AY5" s="52"/>
      <c r="AZ5" s="52"/>
      <c r="BA5" s="52"/>
      <c r="BB5" s="52"/>
      <c r="BC5" s="66">
        <f t="shared" si="3"/>
        <v>0</v>
      </c>
      <c r="BD5" s="66">
        <f t="shared" si="4"/>
        <v>0</v>
      </c>
      <c r="BE5" s="53"/>
      <c r="BF5" s="116"/>
      <c r="BG5" s="279">
        <v>0</v>
      </c>
      <c r="BH5" s="279"/>
      <c r="BI5" s="279"/>
      <c r="BJ5" s="279"/>
      <c r="BK5" s="279"/>
      <c r="BL5" s="115">
        <f t="shared" si="5"/>
        <v>0</v>
      </c>
      <c r="BM5" s="115"/>
      <c r="BN5" s="116" t="s">
        <v>230</v>
      </c>
      <c r="BO5" s="105"/>
      <c r="BP5" s="105"/>
      <c r="BQ5" s="105"/>
    </row>
    <row r="6" spans="1:73" x14ac:dyDescent="0.3">
      <c r="A6" s="192" t="s">
        <v>73</v>
      </c>
      <c r="B6" s="215" t="str">
        <f>VLOOKUP(A6,'Parking Rev'!$A$4:$B$46,2,FALSE)</f>
        <v>AB</v>
      </c>
      <c r="C6" s="215" t="s">
        <v>74</v>
      </c>
      <c r="D6" s="13">
        <v>121.129032258065</v>
      </c>
      <c r="E6" s="13">
        <v>475</v>
      </c>
      <c r="F6" s="13">
        <f t="shared" ref="F6:F17" si="6">E6/D6</f>
        <v>3.9214380825565756</v>
      </c>
      <c r="G6" s="13">
        <v>119.821428571429</v>
      </c>
      <c r="H6" s="13">
        <v>475</v>
      </c>
      <c r="I6" s="13">
        <f t="shared" ref="I6:I45" si="7">IFERROR(H6/G6,0)</f>
        <v>3.9642324888226388</v>
      </c>
      <c r="J6" s="13">
        <v>122.161290322581</v>
      </c>
      <c r="K6" s="13">
        <v>450</v>
      </c>
      <c r="L6" s="13">
        <f t="shared" ref="L6:L45" si="8">IFERROR(K6/J6,0)</f>
        <v>3.6836546078690149</v>
      </c>
      <c r="M6" s="13">
        <v>122.73333333333299</v>
      </c>
      <c r="N6" s="13">
        <v>475</v>
      </c>
      <c r="O6" s="13">
        <f t="shared" ref="O6:O45" si="9">IFERROR(N6/M6,0)</f>
        <v>3.8701792504073982</v>
      </c>
      <c r="P6" s="13">
        <v>122.354838709677</v>
      </c>
      <c r="Q6" s="13">
        <v>425</v>
      </c>
      <c r="R6" s="13">
        <f t="shared" ref="R6:R45" si="10">IFERROR(Q6/P6,0)</f>
        <v>3.4735038228315438</v>
      </c>
      <c r="S6" s="13">
        <v>125.73333333333299</v>
      </c>
      <c r="T6" s="13">
        <v>425</v>
      </c>
      <c r="U6" s="13">
        <f t="shared" ref="U6:U45" si="11">IFERROR(T6/S6,0)</f>
        <v>3.3801696712619393</v>
      </c>
      <c r="V6" s="13">
        <v>123.806451612903</v>
      </c>
      <c r="W6" s="13">
        <v>425</v>
      </c>
      <c r="X6" s="43">
        <f t="shared" ref="X6:X45" si="12">IFERROR(W6/V6,0)</f>
        <v>3.4327774882751494</v>
      </c>
      <c r="Y6" s="3">
        <v>121</v>
      </c>
      <c r="Z6" s="13">
        <v>425</v>
      </c>
      <c r="AA6" s="42">
        <f t="shared" ref="AA6:AA45" si="13">IFERROR(Z6/Y6,0)</f>
        <v>3.5123966942148761</v>
      </c>
      <c r="AB6" s="44"/>
      <c r="AC6" s="44"/>
      <c r="AD6" s="82">
        <f>IFERROR(AC6/AB6,0)</f>
        <v>0</v>
      </c>
      <c r="AE6" s="80"/>
      <c r="AF6" s="81"/>
      <c r="AG6" s="81"/>
      <c r="AH6" s="81"/>
      <c r="AI6" s="81"/>
      <c r="AJ6" s="81"/>
      <c r="AK6" s="97">
        <f t="shared" si="1"/>
        <v>0</v>
      </c>
      <c r="AL6" s="97">
        <f t="shared" si="2"/>
        <v>0</v>
      </c>
      <c r="AM6" s="106"/>
      <c r="AN6" s="104"/>
      <c r="AO6" s="104"/>
      <c r="AP6" s="104"/>
      <c r="AQ6" s="104"/>
      <c r="AR6" s="104"/>
      <c r="AS6" s="105"/>
      <c r="AT6" s="105"/>
      <c r="AU6" s="105"/>
      <c r="AV6" s="105"/>
      <c r="AW6" s="105"/>
      <c r="AX6" s="54"/>
      <c r="AY6" s="44"/>
      <c r="AZ6" s="44"/>
      <c r="BA6" s="44"/>
      <c r="BB6" s="44"/>
      <c r="BC6" s="66">
        <f t="shared" si="3"/>
        <v>0</v>
      </c>
      <c r="BD6" s="66">
        <f t="shared" si="4"/>
        <v>0</v>
      </c>
      <c r="BE6" s="54"/>
      <c r="BF6" s="112"/>
      <c r="BG6" s="124">
        <v>25</v>
      </c>
      <c r="BH6" s="124">
        <v>20</v>
      </c>
      <c r="BI6" s="124"/>
      <c r="BJ6" s="124"/>
      <c r="BK6" s="124"/>
      <c r="BL6" s="115">
        <f t="shared" si="5"/>
        <v>20</v>
      </c>
      <c r="BM6" s="115"/>
      <c r="BN6" s="112" t="s">
        <v>232</v>
      </c>
      <c r="BO6" s="105"/>
      <c r="BP6" s="105"/>
      <c r="BQ6" s="105"/>
    </row>
    <row r="7" spans="1:73" x14ac:dyDescent="0.3">
      <c r="A7" s="192" t="s">
        <v>55</v>
      </c>
      <c r="B7" s="215" t="str">
        <f>VLOOKUP(A7,'Parking Rev'!$A$4:$B$46,2,FALSE)</f>
        <v>AB</v>
      </c>
      <c r="C7" s="215" t="s">
        <v>57</v>
      </c>
      <c r="D7" s="13">
        <v>233.38709677419399</v>
      </c>
      <c r="E7" s="13">
        <v>245</v>
      </c>
      <c r="F7" s="13">
        <f t="shared" si="6"/>
        <v>1.0497581202487887</v>
      </c>
      <c r="G7" s="13">
        <v>234</v>
      </c>
      <c r="H7" s="13">
        <v>245</v>
      </c>
      <c r="I7" s="13">
        <f t="shared" si="7"/>
        <v>1.0470085470085471</v>
      </c>
      <c r="J7" s="13">
        <v>231.16129032258101</v>
      </c>
      <c r="K7" s="13">
        <v>260</v>
      </c>
      <c r="L7" s="13">
        <f t="shared" si="8"/>
        <v>1.1247557912363924</v>
      </c>
      <c r="M7" s="13">
        <v>229.1</v>
      </c>
      <c r="N7" s="13">
        <v>245</v>
      </c>
      <c r="O7" s="13">
        <f t="shared" si="9"/>
        <v>1.0694020078568311</v>
      </c>
      <c r="P7" s="13">
        <v>233.64516129032299</v>
      </c>
      <c r="Q7" s="13">
        <v>245</v>
      </c>
      <c r="R7" s="13">
        <f t="shared" si="10"/>
        <v>1.0485986469694859</v>
      </c>
      <c r="S7" s="13">
        <v>232.46666666666701</v>
      </c>
      <c r="T7" s="13">
        <v>225</v>
      </c>
      <c r="U7" s="13">
        <f t="shared" si="11"/>
        <v>0.96788069974189705</v>
      </c>
      <c r="V7" s="13">
        <v>228.03225806451599</v>
      </c>
      <c r="W7" s="13">
        <v>225</v>
      </c>
      <c r="X7" s="43">
        <f t="shared" si="12"/>
        <v>0.98670250389022551</v>
      </c>
      <c r="Y7" s="3">
        <v>228.129032258065</v>
      </c>
      <c r="Z7" s="13">
        <v>225</v>
      </c>
      <c r="AA7" s="42">
        <f t="shared" si="13"/>
        <v>0.98628393665158165</v>
      </c>
      <c r="AB7" s="44">
        <v>169</v>
      </c>
      <c r="AC7" s="44">
        <v>45</v>
      </c>
      <c r="AD7" s="82">
        <f t="shared" ref="AD7:AD45" si="14">IFERROR(AC7/AB7,0)</f>
        <v>0.26627218934911245</v>
      </c>
      <c r="AE7" s="80"/>
      <c r="AF7" s="81">
        <v>20</v>
      </c>
      <c r="AG7" s="81">
        <v>15</v>
      </c>
      <c r="AH7" s="81"/>
      <c r="AI7" s="81"/>
      <c r="AJ7" s="81"/>
      <c r="AK7" s="97">
        <f t="shared" si="1"/>
        <v>15</v>
      </c>
      <c r="AL7" s="97">
        <f t="shared" si="2"/>
        <v>5</v>
      </c>
      <c r="AM7" s="106" t="s">
        <v>233</v>
      </c>
      <c r="AN7" s="104"/>
      <c r="AO7" s="104">
        <v>51</v>
      </c>
      <c r="AP7" s="104"/>
      <c r="AQ7" s="104">
        <v>49</v>
      </c>
      <c r="AR7" s="104">
        <v>49</v>
      </c>
      <c r="AS7" s="105">
        <v>45</v>
      </c>
      <c r="AT7" s="105">
        <v>45</v>
      </c>
      <c r="AU7" s="105">
        <v>45</v>
      </c>
      <c r="AV7" s="105">
        <v>46</v>
      </c>
      <c r="AW7" s="105">
        <v>47</v>
      </c>
      <c r="AX7" s="54">
        <v>20</v>
      </c>
      <c r="AY7" s="44">
        <v>15</v>
      </c>
      <c r="AZ7" s="44"/>
      <c r="BA7" s="44"/>
      <c r="BB7" s="44"/>
      <c r="BC7" s="66">
        <f t="shared" si="3"/>
        <v>15</v>
      </c>
      <c r="BD7" s="66">
        <f t="shared" si="4"/>
        <v>5</v>
      </c>
      <c r="BE7" s="54" t="s">
        <v>233</v>
      </c>
      <c r="BF7" s="112"/>
      <c r="BG7" s="124">
        <v>20</v>
      </c>
      <c r="BH7" s="124">
        <v>15</v>
      </c>
      <c r="BI7" s="124">
        <v>15</v>
      </c>
      <c r="BJ7" s="124">
        <v>0</v>
      </c>
      <c r="BK7" s="124">
        <v>0</v>
      </c>
      <c r="BL7" s="115">
        <f t="shared" si="5"/>
        <v>7.5</v>
      </c>
      <c r="BM7" s="115"/>
      <c r="BN7" s="112"/>
      <c r="BO7" s="105">
        <v>47</v>
      </c>
      <c r="BP7" s="105">
        <v>45</v>
      </c>
      <c r="BQ7" s="105">
        <v>44</v>
      </c>
    </row>
    <row r="8" spans="1:73" x14ac:dyDescent="0.3">
      <c r="A8" s="192" t="s">
        <v>76</v>
      </c>
      <c r="B8" s="215" t="str">
        <f>VLOOKUP(A8,'Parking Rev'!$A$4:$B$46,2,FALSE)</f>
        <v>AB</v>
      </c>
      <c r="C8" s="215" t="s">
        <v>77</v>
      </c>
      <c r="D8" s="13">
        <v>304.25806451612902</v>
      </c>
      <c r="E8" s="13">
        <v>952.87</v>
      </c>
      <c r="F8" s="13">
        <f t="shared" si="6"/>
        <v>3.1317822307039864</v>
      </c>
      <c r="G8" s="13">
        <v>303.28571428571399</v>
      </c>
      <c r="H8" s="13">
        <v>970</v>
      </c>
      <c r="I8" s="13">
        <f t="shared" si="7"/>
        <v>3.1983042863871911</v>
      </c>
      <c r="J8" s="13">
        <v>303.806451612903</v>
      </c>
      <c r="K8" s="13">
        <v>907.5</v>
      </c>
      <c r="L8" s="13">
        <f t="shared" si="8"/>
        <v>2.9870991717986857</v>
      </c>
      <c r="M8" s="13">
        <v>303.066666666667</v>
      </c>
      <c r="N8" s="13">
        <v>1016.67</v>
      </c>
      <c r="O8" s="13">
        <f t="shared" si="9"/>
        <v>3.354608446986358</v>
      </c>
      <c r="P8" s="13">
        <v>303.61290322580601</v>
      </c>
      <c r="Q8" s="13">
        <v>720</v>
      </c>
      <c r="R8" s="13">
        <f t="shared" si="10"/>
        <v>2.3714407139821541</v>
      </c>
      <c r="S8" s="13">
        <v>299.7</v>
      </c>
      <c r="T8" s="13">
        <v>945</v>
      </c>
      <c r="U8" s="13">
        <f t="shared" si="11"/>
        <v>3.1531531531531534</v>
      </c>
      <c r="V8" s="13">
        <v>297.29032258064501</v>
      </c>
      <c r="W8" s="13">
        <v>895</v>
      </c>
      <c r="X8" s="43">
        <f t="shared" si="12"/>
        <v>3.0105251736111125</v>
      </c>
      <c r="Y8" s="3">
        <v>299</v>
      </c>
      <c r="Z8" s="13">
        <v>895</v>
      </c>
      <c r="AA8" s="42">
        <f t="shared" si="13"/>
        <v>2.9933110367892977</v>
      </c>
      <c r="AB8" s="44"/>
      <c r="AC8" s="44"/>
      <c r="AD8" s="82">
        <f t="shared" si="14"/>
        <v>0</v>
      </c>
      <c r="AE8" s="80"/>
      <c r="AF8" s="81"/>
      <c r="AG8" s="81"/>
      <c r="AH8" s="81"/>
      <c r="AI8" s="81"/>
      <c r="AJ8" s="81"/>
      <c r="AK8" s="97">
        <f t="shared" si="1"/>
        <v>0</v>
      </c>
      <c r="AL8" s="97">
        <f t="shared" si="2"/>
        <v>0</v>
      </c>
      <c r="AM8" s="106"/>
      <c r="AN8" s="104"/>
      <c r="AO8" s="104"/>
      <c r="AP8" s="104"/>
      <c r="AQ8" s="104"/>
      <c r="AR8" s="104"/>
      <c r="AS8" s="105"/>
      <c r="AT8" s="105"/>
      <c r="AU8" s="105"/>
      <c r="AV8" s="105"/>
      <c r="AW8" s="105"/>
      <c r="AX8" s="54"/>
      <c r="AY8" s="44"/>
      <c r="AZ8" s="44"/>
      <c r="BA8" s="44"/>
      <c r="BB8" s="44"/>
      <c r="BC8" s="66">
        <f t="shared" si="3"/>
        <v>0</v>
      </c>
      <c r="BD8" s="66">
        <f t="shared" si="4"/>
        <v>0</v>
      </c>
      <c r="BE8" s="54"/>
      <c r="BF8" s="112"/>
      <c r="BG8" s="124">
        <v>25</v>
      </c>
      <c r="BH8" s="124"/>
      <c r="BI8" s="124"/>
      <c r="BJ8" s="124"/>
      <c r="BK8" s="124"/>
      <c r="BL8" s="115">
        <f t="shared" si="5"/>
        <v>0</v>
      </c>
      <c r="BM8" s="115"/>
      <c r="BN8" s="112"/>
      <c r="BO8" s="105"/>
      <c r="BP8" s="105"/>
      <c r="BQ8" s="105"/>
    </row>
    <row r="9" spans="1:73" x14ac:dyDescent="0.3">
      <c r="A9" s="192" t="s">
        <v>70</v>
      </c>
      <c r="B9" s="215" t="str">
        <f>VLOOKUP(A9,'Parking Rev'!$A$4:$B$46,2,FALSE)</f>
        <v>AB</v>
      </c>
      <c r="C9" s="215" t="s">
        <v>71</v>
      </c>
      <c r="D9" s="13">
        <v>217.064516129032</v>
      </c>
      <c r="E9" s="13">
        <v>1616.59</v>
      </c>
      <c r="F9" s="13">
        <f t="shared" si="6"/>
        <v>7.4475092881557519</v>
      </c>
      <c r="G9" s="13">
        <v>210.75</v>
      </c>
      <c r="H9" s="13">
        <v>1534.1</v>
      </c>
      <c r="I9" s="13">
        <f t="shared" si="7"/>
        <v>7.2792408066429415</v>
      </c>
      <c r="J9" s="13">
        <v>209.61290322580601</v>
      </c>
      <c r="K9" s="13">
        <v>1609.54</v>
      </c>
      <c r="L9" s="13">
        <f t="shared" si="8"/>
        <v>7.6786303477993387</v>
      </c>
      <c r="M9" s="13">
        <v>210.26666666666699</v>
      </c>
      <c r="N9" s="13">
        <v>1532.52</v>
      </c>
      <c r="O9" s="13">
        <f t="shared" si="9"/>
        <v>7.2884590995561078</v>
      </c>
      <c r="P9" s="13">
        <v>209.77419354838699</v>
      </c>
      <c r="Q9" s="13">
        <v>1565</v>
      </c>
      <c r="R9" s="13">
        <f t="shared" si="10"/>
        <v>7.460402890973401</v>
      </c>
      <c r="S9" s="13">
        <v>210.433333333333</v>
      </c>
      <c r="T9" s="13">
        <v>1565</v>
      </c>
      <c r="U9" s="13">
        <f t="shared" si="11"/>
        <v>7.4370346903215703</v>
      </c>
      <c r="V9" s="13">
        <v>211.54838709677401</v>
      </c>
      <c r="W9" s="13">
        <v>1530</v>
      </c>
      <c r="X9" s="43">
        <f t="shared" si="12"/>
        <v>7.2323879231473072</v>
      </c>
      <c r="Y9" s="3">
        <v>214.16129032258101</v>
      </c>
      <c r="Z9" s="13">
        <v>1530</v>
      </c>
      <c r="AA9" s="42">
        <f t="shared" si="13"/>
        <v>7.1441482150926223</v>
      </c>
      <c r="AB9" s="44">
        <v>48</v>
      </c>
      <c r="AC9" s="44">
        <v>45</v>
      </c>
      <c r="AD9" s="82">
        <f t="shared" si="14"/>
        <v>0.9375</v>
      </c>
      <c r="AE9" s="80"/>
      <c r="AF9" s="81">
        <v>35</v>
      </c>
      <c r="AG9" s="81">
        <v>25</v>
      </c>
      <c r="AH9" s="81">
        <v>35</v>
      </c>
      <c r="AI9" s="81">
        <v>40</v>
      </c>
      <c r="AJ9" s="81"/>
      <c r="AK9" s="97">
        <f t="shared" si="1"/>
        <v>33.333333333333336</v>
      </c>
      <c r="AL9" s="97">
        <f t="shared" si="2"/>
        <v>1.6666666666666643</v>
      </c>
      <c r="AM9" s="106"/>
      <c r="AN9" s="104"/>
      <c r="AO9" s="104">
        <v>46</v>
      </c>
      <c r="AP9" s="104"/>
      <c r="AQ9" s="104">
        <v>44</v>
      </c>
      <c r="AR9" s="104">
        <v>47</v>
      </c>
      <c r="AS9" s="105">
        <v>45</v>
      </c>
      <c r="AT9" s="105">
        <v>45</v>
      </c>
      <c r="AU9" s="105">
        <v>45</v>
      </c>
      <c r="AV9" s="105">
        <v>46</v>
      </c>
      <c r="AW9" s="105">
        <v>48</v>
      </c>
      <c r="AX9" s="54">
        <v>35</v>
      </c>
      <c r="AY9" s="44">
        <v>25</v>
      </c>
      <c r="AZ9" s="44">
        <v>35</v>
      </c>
      <c r="BA9" s="44">
        <v>40</v>
      </c>
      <c r="BB9" s="44"/>
      <c r="BC9" s="66">
        <f t="shared" si="3"/>
        <v>33.333333333333336</v>
      </c>
      <c r="BD9" s="66">
        <f t="shared" si="4"/>
        <v>1.6666666666666643</v>
      </c>
      <c r="BE9" s="54"/>
      <c r="BF9" s="112"/>
      <c r="BG9" s="124"/>
      <c r="BH9" s="124">
        <v>50</v>
      </c>
      <c r="BI9" s="124">
        <v>40</v>
      </c>
      <c r="BJ9" s="124">
        <v>0</v>
      </c>
      <c r="BK9" s="124">
        <v>60</v>
      </c>
      <c r="BL9" s="115">
        <f t="shared" si="5"/>
        <v>37.5</v>
      </c>
      <c r="BM9" s="115"/>
      <c r="BN9" s="112"/>
      <c r="BO9" s="105">
        <v>48</v>
      </c>
      <c r="BP9" s="105">
        <v>48</v>
      </c>
      <c r="BQ9" s="105">
        <v>47</v>
      </c>
    </row>
    <row r="10" spans="1:73" x14ac:dyDescent="0.3">
      <c r="A10" s="192" t="s">
        <v>67</v>
      </c>
      <c r="B10" s="215" t="str">
        <f>VLOOKUP(A10,'Parking Rev'!$A$4:$B$46,2,FALSE)</f>
        <v>AB</v>
      </c>
      <c r="C10" s="215" t="s">
        <v>68</v>
      </c>
      <c r="D10" s="13">
        <v>48</v>
      </c>
      <c r="E10" s="13">
        <v>525</v>
      </c>
      <c r="F10" s="13">
        <f t="shared" si="6"/>
        <v>10.9375</v>
      </c>
      <c r="G10" s="13">
        <v>48.928571428571402</v>
      </c>
      <c r="H10" s="13">
        <v>525</v>
      </c>
      <c r="I10" s="13">
        <f t="shared" si="7"/>
        <v>10.729927007299276</v>
      </c>
      <c r="J10" s="13">
        <v>47</v>
      </c>
      <c r="K10" s="13">
        <v>455</v>
      </c>
      <c r="L10" s="13">
        <f t="shared" si="8"/>
        <v>9.6808510638297864</v>
      </c>
      <c r="M10" s="13">
        <v>47.933333333333302</v>
      </c>
      <c r="N10" s="13">
        <v>455</v>
      </c>
      <c r="O10" s="13">
        <f t="shared" si="9"/>
        <v>9.4923504867872115</v>
      </c>
      <c r="P10" s="13">
        <v>47.290322580645203</v>
      </c>
      <c r="Q10" s="13">
        <v>420</v>
      </c>
      <c r="R10" s="13">
        <f t="shared" si="10"/>
        <v>8.8813096862210017</v>
      </c>
      <c r="S10" s="13">
        <v>47.633333333333297</v>
      </c>
      <c r="T10" s="13">
        <v>414.35</v>
      </c>
      <c r="U10" s="13">
        <f t="shared" si="11"/>
        <v>8.6987403778866419</v>
      </c>
      <c r="V10" s="13">
        <v>50.4838709677419</v>
      </c>
      <c r="W10" s="13">
        <v>525</v>
      </c>
      <c r="X10" s="43">
        <f t="shared" si="12"/>
        <v>10.399361022364225</v>
      </c>
      <c r="Y10" s="3">
        <v>50.258064516128997</v>
      </c>
      <c r="Z10" s="13">
        <v>525</v>
      </c>
      <c r="AA10" s="42">
        <f t="shared" si="13"/>
        <v>10.446084724005143</v>
      </c>
      <c r="AB10" s="44">
        <v>51</v>
      </c>
      <c r="AC10" s="44">
        <v>46</v>
      </c>
      <c r="AD10" s="82">
        <f t="shared" si="14"/>
        <v>0.90196078431372551</v>
      </c>
      <c r="AE10" s="80"/>
      <c r="AF10" s="81">
        <v>35</v>
      </c>
      <c r="AG10" s="81">
        <v>25</v>
      </c>
      <c r="AH10" s="81">
        <v>35</v>
      </c>
      <c r="AI10" s="81">
        <v>40</v>
      </c>
      <c r="AJ10" s="81"/>
      <c r="AK10" s="97">
        <f t="shared" si="1"/>
        <v>33.333333333333336</v>
      </c>
      <c r="AL10" s="97">
        <f t="shared" si="2"/>
        <v>1.6666666666666643</v>
      </c>
      <c r="AM10" s="106"/>
      <c r="AN10" s="104"/>
      <c r="AO10" s="104">
        <v>21</v>
      </c>
      <c r="AP10" s="104"/>
      <c r="AQ10" s="104">
        <v>21</v>
      </c>
      <c r="AR10" s="104">
        <v>23</v>
      </c>
      <c r="AS10" s="105">
        <v>23</v>
      </c>
      <c r="AT10" s="105">
        <v>23</v>
      </c>
      <c r="AU10" s="105">
        <v>24</v>
      </c>
      <c r="AV10" s="105">
        <v>23</v>
      </c>
      <c r="AW10" s="105">
        <v>23</v>
      </c>
      <c r="AX10" s="54">
        <v>35</v>
      </c>
      <c r="AY10" s="44">
        <v>25</v>
      </c>
      <c r="AZ10" s="44">
        <v>35</v>
      </c>
      <c r="BA10" s="44">
        <v>40</v>
      </c>
      <c r="BB10" s="44"/>
      <c r="BC10" s="66">
        <f t="shared" si="3"/>
        <v>33.333333333333336</v>
      </c>
      <c r="BD10" s="66">
        <f t="shared" si="4"/>
        <v>1.6666666666666643</v>
      </c>
      <c r="BE10" s="54"/>
      <c r="BF10" s="112"/>
      <c r="BG10" s="124">
        <v>35</v>
      </c>
      <c r="BH10" s="124">
        <v>25</v>
      </c>
      <c r="BI10" s="124" t="s">
        <v>234</v>
      </c>
      <c r="BJ10" s="124">
        <v>0</v>
      </c>
      <c r="BK10" s="124">
        <v>0</v>
      </c>
      <c r="BL10" s="115">
        <f t="shared" si="5"/>
        <v>8.3333333333333339</v>
      </c>
      <c r="BM10" s="115"/>
      <c r="BN10" s="112"/>
      <c r="BO10" s="105">
        <v>23</v>
      </c>
      <c r="BP10" s="105">
        <v>23</v>
      </c>
      <c r="BQ10" s="105">
        <v>19</v>
      </c>
    </row>
    <row r="11" spans="1:73" x14ac:dyDescent="0.3">
      <c r="A11" s="192" t="s">
        <v>88</v>
      </c>
      <c r="B11" s="215" t="str">
        <f>VLOOKUP(A11,'Parking Rev'!$A$4:$B$46,2,FALSE)</f>
        <v>AB</v>
      </c>
      <c r="C11" s="215" t="s">
        <v>89</v>
      </c>
      <c r="D11" s="13">
        <v>512.12903225806497</v>
      </c>
      <c r="E11" s="13">
        <v>55.6</v>
      </c>
      <c r="F11" s="13">
        <f t="shared" si="6"/>
        <v>0.10856638951877037</v>
      </c>
      <c r="G11" s="13">
        <v>508.92857142857099</v>
      </c>
      <c r="H11" s="13">
        <v>150</v>
      </c>
      <c r="I11" s="13">
        <f t="shared" si="7"/>
        <v>0.29473684210526341</v>
      </c>
      <c r="J11" s="13">
        <v>512.58064516129002</v>
      </c>
      <c r="K11" s="13">
        <v>160</v>
      </c>
      <c r="L11" s="13">
        <f t="shared" si="8"/>
        <v>0.31214600377595991</v>
      </c>
      <c r="M11" s="13">
        <v>514.96666666666704</v>
      </c>
      <c r="N11" s="13">
        <v>195</v>
      </c>
      <c r="O11" s="13">
        <f t="shared" si="9"/>
        <v>0.37866528577901454</v>
      </c>
      <c r="P11" s="13">
        <v>516.64516129032302</v>
      </c>
      <c r="Q11" s="13">
        <v>210</v>
      </c>
      <c r="R11" s="13">
        <f t="shared" si="10"/>
        <v>0.40646853146853112</v>
      </c>
      <c r="S11" s="13">
        <v>524.76666666666699</v>
      </c>
      <c r="T11" s="13">
        <v>210</v>
      </c>
      <c r="U11" s="13">
        <f t="shared" si="11"/>
        <v>0.40017785682525542</v>
      </c>
      <c r="V11" s="13">
        <v>517.29032258064501</v>
      </c>
      <c r="W11" s="13">
        <v>180</v>
      </c>
      <c r="X11" s="43">
        <f t="shared" si="12"/>
        <v>0.34796707408331262</v>
      </c>
      <c r="Y11" s="3">
        <v>513.06451612903197</v>
      </c>
      <c r="Z11" s="13">
        <v>180</v>
      </c>
      <c r="AA11" s="42">
        <f t="shared" si="13"/>
        <v>0.35083307136120734</v>
      </c>
      <c r="AB11" s="44">
        <v>293</v>
      </c>
      <c r="AC11" s="44"/>
      <c r="AD11" s="82">
        <f t="shared" si="14"/>
        <v>0</v>
      </c>
      <c r="AE11" s="80"/>
      <c r="AF11" s="81">
        <v>35</v>
      </c>
      <c r="AG11" s="81"/>
      <c r="AH11" s="81"/>
      <c r="AI11" s="81"/>
      <c r="AJ11" s="81"/>
      <c r="AK11" s="97">
        <f t="shared" si="1"/>
        <v>0</v>
      </c>
      <c r="AL11" s="97">
        <f t="shared" si="2"/>
        <v>35</v>
      </c>
      <c r="AM11" s="106" t="s">
        <v>235</v>
      </c>
      <c r="AN11" s="104"/>
      <c r="AO11" s="104">
        <v>7</v>
      </c>
      <c r="AP11" s="104"/>
      <c r="AQ11" s="104">
        <v>6</v>
      </c>
      <c r="AR11" s="104">
        <v>6</v>
      </c>
      <c r="AS11" s="105">
        <v>7</v>
      </c>
      <c r="AT11" s="105">
        <v>7</v>
      </c>
      <c r="AU11" s="105">
        <v>7</v>
      </c>
      <c r="AV11" s="105">
        <v>7</v>
      </c>
      <c r="AW11" s="105">
        <v>7</v>
      </c>
      <c r="AX11" s="54">
        <v>35</v>
      </c>
      <c r="AY11" s="44"/>
      <c r="AZ11" s="44"/>
      <c r="BA11" s="44"/>
      <c r="BB11" s="44"/>
      <c r="BC11" s="66">
        <f t="shared" si="3"/>
        <v>0</v>
      </c>
      <c r="BD11" s="66">
        <f t="shared" si="4"/>
        <v>35</v>
      </c>
      <c r="BE11" s="54" t="s">
        <v>235</v>
      </c>
      <c r="BF11" s="112"/>
      <c r="BG11" s="124"/>
      <c r="BH11" s="124"/>
      <c r="BI11" s="124"/>
      <c r="BJ11" s="124"/>
      <c r="BK11" s="124"/>
      <c r="BL11" s="115">
        <f t="shared" si="5"/>
        <v>0</v>
      </c>
      <c r="BM11" s="115"/>
      <c r="BN11" s="112" t="s">
        <v>236</v>
      </c>
      <c r="BO11" s="105">
        <v>7</v>
      </c>
      <c r="BP11" s="105">
        <v>7</v>
      </c>
      <c r="BQ11" s="105">
        <v>7</v>
      </c>
    </row>
    <row r="12" spans="1:73" x14ac:dyDescent="0.3">
      <c r="A12" s="192" t="s">
        <v>85</v>
      </c>
      <c r="B12" s="215" t="str">
        <f>VLOOKUP(A12,'Parking Rev'!$A$4:$B$46,2,FALSE)</f>
        <v>AB</v>
      </c>
      <c r="C12" s="215" t="s">
        <v>86</v>
      </c>
      <c r="D12" s="13">
        <v>278.193548387097</v>
      </c>
      <c r="E12" s="13">
        <v>1325</v>
      </c>
      <c r="F12" s="13">
        <f t="shared" si="6"/>
        <v>4.7628710575139106</v>
      </c>
      <c r="G12" s="13">
        <v>279.5</v>
      </c>
      <c r="H12" s="13">
        <v>1368.08</v>
      </c>
      <c r="I12" s="13">
        <f t="shared" si="7"/>
        <v>4.8947406082289797</v>
      </c>
      <c r="J12" s="13">
        <v>276</v>
      </c>
      <c r="K12" s="13">
        <v>1225</v>
      </c>
      <c r="L12" s="13">
        <f t="shared" si="8"/>
        <v>4.4384057971014492</v>
      </c>
      <c r="M12" s="13">
        <v>275.8</v>
      </c>
      <c r="N12" s="13">
        <v>1138.97</v>
      </c>
      <c r="O12" s="13">
        <f t="shared" si="9"/>
        <v>4.1296954314720811</v>
      </c>
      <c r="P12" s="13">
        <v>267.58064516129002</v>
      </c>
      <c r="Q12" s="13">
        <v>1091.1199999999999</v>
      </c>
      <c r="R12" s="13">
        <f t="shared" si="10"/>
        <v>4.0777239300783643</v>
      </c>
      <c r="S12" s="13">
        <v>263.16666666666703</v>
      </c>
      <c r="T12" s="13">
        <v>1101.49</v>
      </c>
      <c r="U12" s="13">
        <f t="shared" si="11"/>
        <v>4.1855224825839086</v>
      </c>
      <c r="V12" s="13">
        <v>269.38709677419399</v>
      </c>
      <c r="W12" s="13">
        <v>998.31</v>
      </c>
      <c r="X12" s="43">
        <f t="shared" si="12"/>
        <v>3.7058567836187222</v>
      </c>
      <c r="Y12" s="3">
        <v>268</v>
      </c>
      <c r="Z12" s="13">
        <v>998.31</v>
      </c>
      <c r="AA12" s="42">
        <f t="shared" si="13"/>
        <v>3.7250373134328356</v>
      </c>
      <c r="AB12" s="44">
        <v>191</v>
      </c>
      <c r="AC12" s="44"/>
      <c r="AD12" s="82">
        <f t="shared" si="14"/>
        <v>0</v>
      </c>
      <c r="AE12" s="80"/>
      <c r="AF12" s="81"/>
      <c r="AG12" s="81"/>
      <c r="AH12" s="81"/>
      <c r="AI12" s="81"/>
      <c r="AJ12" s="81"/>
      <c r="AK12" s="97">
        <f t="shared" si="1"/>
        <v>0</v>
      </c>
      <c r="AL12" s="97">
        <f t="shared" si="2"/>
        <v>0</v>
      </c>
      <c r="AM12" s="106"/>
      <c r="AN12" s="104"/>
      <c r="AO12" s="104">
        <v>28</v>
      </c>
      <c r="AP12" s="104"/>
      <c r="AQ12" s="104">
        <v>26</v>
      </c>
      <c r="AR12" s="104">
        <v>36</v>
      </c>
      <c r="AS12" s="105">
        <v>39</v>
      </c>
      <c r="AT12" s="105">
        <v>39</v>
      </c>
      <c r="AU12" s="105">
        <v>41</v>
      </c>
      <c r="AV12" s="105">
        <v>42</v>
      </c>
      <c r="AW12" s="105">
        <v>43</v>
      </c>
      <c r="AX12" s="54"/>
      <c r="AY12" s="44"/>
      <c r="AZ12" s="44"/>
      <c r="BA12" s="44"/>
      <c r="BB12" s="44"/>
      <c r="BC12" s="66">
        <f t="shared" si="3"/>
        <v>0</v>
      </c>
      <c r="BD12" s="66">
        <f t="shared" si="4"/>
        <v>0</v>
      </c>
      <c r="BE12" s="54"/>
      <c r="BF12" s="112"/>
      <c r="BG12" s="124">
        <v>25</v>
      </c>
      <c r="BH12" s="124">
        <v>75</v>
      </c>
      <c r="BI12" s="124">
        <v>0</v>
      </c>
      <c r="BJ12" s="124">
        <v>0</v>
      </c>
      <c r="BK12" s="124">
        <v>50</v>
      </c>
      <c r="BL12" s="115">
        <f t="shared" si="5"/>
        <v>31.25</v>
      </c>
      <c r="BM12" s="115"/>
      <c r="BN12" s="112" t="s">
        <v>237</v>
      </c>
      <c r="BO12" s="105">
        <v>43</v>
      </c>
      <c r="BP12" s="105">
        <v>43</v>
      </c>
      <c r="BQ12" s="105">
        <v>52</v>
      </c>
    </row>
    <row r="13" spans="1:73" x14ac:dyDescent="0.3">
      <c r="A13" s="192" t="s">
        <v>83</v>
      </c>
      <c r="B13" s="215" t="str">
        <f>VLOOKUP(A13,'Parking Rev'!$A$4:$B$46,2,FALSE)</f>
        <v>AB</v>
      </c>
      <c r="C13" s="215" t="s">
        <v>84</v>
      </c>
      <c r="D13" s="13">
        <v>131</v>
      </c>
      <c r="E13" s="13">
        <v>301</v>
      </c>
      <c r="F13" s="13">
        <f t="shared" si="6"/>
        <v>2.2977099236641223</v>
      </c>
      <c r="G13" s="13">
        <v>127.21428571428601</v>
      </c>
      <c r="H13" s="13">
        <v>200</v>
      </c>
      <c r="I13" s="13">
        <f t="shared" si="7"/>
        <v>1.5721504772599626</v>
      </c>
      <c r="J13" s="13">
        <v>129.29032258064501</v>
      </c>
      <c r="K13" s="13">
        <v>200</v>
      </c>
      <c r="L13" s="13">
        <f t="shared" si="8"/>
        <v>1.5469061876247523</v>
      </c>
      <c r="M13" s="13">
        <v>136.933333333333</v>
      </c>
      <c r="N13" s="13">
        <v>200</v>
      </c>
      <c r="O13" s="13">
        <f t="shared" si="9"/>
        <v>1.4605647517039959</v>
      </c>
      <c r="P13" s="13">
        <v>133.61290322580601</v>
      </c>
      <c r="Q13" s="13">
        <v>200</v>
      </c>
      <c r="R13" s="13">
        <f t="shared" si="10"/>
        <v>1.496861419604061</v>
      </c>
      <c r="S13" s="13">
        <v>137.19999999999999</v>
      </c>
      <c r="T13" s="13">
        <v>200</v>
      </c>
      <c r="U13" s="13">
        <f t="shared" si="11"/>
        <v>1.457725947521866</v>
      </c>
      <c r="V13" s="13">
        <v>144</v>
      </c>
      <c r="W13" s="13">
        <v>175</v>
      </c>
      <c r="X13" s="43">
        <f t="shared" si="12"/>
        <v>1.2152777777777777</v>
      </c>
      <c r="Y13" s="3">
        <v>146.38709677419399</v>
      </c>
      <c r="Z13" s="13">
        <v>175</v>
      </c>
      <c r="AA13" s="42">
        <f t="shared" si="13"/>
        <v>1.1954605553107058</v>
      </c>
      <c r="AB13" s="44"/>
      <c r="AC13" s="44"/>
      <c r="AD13" s="82">
        <f t="shared" si="14"/>
        <v>0</v>
      </c>
      <c r="AE13" s="80"/>
      <c r="AF13" s="81"/>
      <c r="AG13" s="81"/>
      <c r="AH13" s="81"/>
      <c r="AI13" s="81"/>
      <c r="AJ13" s="81"/>
      <c r="AK13" s="97">
        <f t="shared" si="1"/>
        <v>0</v>
      </c>
      <c r="AL13" s="97">
        <f t="shared" si="2"/>
        <v>0</v>
      </c>
      <c r="AM13" s="106"/>
      <c r="AN13" s="104"/>
      <c r="AO13" s="104"/>
      <c r="AP13" s="104"/>
      <c r="AQ13" s="104"/>
      <c r="AR13" s="104"/>
      <c r="AS13" s="105"/>
      <c r="AT13" s="105"/>
      <c r="AU13" s="105"/>
      <c r="AV13" s="105"/>
      <c r="AW13" s="105"/>
      <c r="AX13" s="54"/>
      <c r="AY13" s="44"/>
      <c r="AZ13" s="44"/>
      <c r="BA13" s="44"/>
      <c r="BB13" s="44"/>
      <c r="BC13" s="66">
        <f t="shared" si="3"/>
        <v>0</v>
      </c>
      <c r="BD13" s="66">
        <f t="shared" si="4"/>
        <v>0</v>
      </c>
      <c r="BE13" s="54"/>
      <c r="BF13" s="112"/>
      <c r="BG13" s="124"/>
      <c r="BH13" s="124"/>
      <c r="BI13" s="124"/>
      <c r="BJ13" s="124"/>
      <c r="BK13" s="124"/>
      <c r="BL13" s="115">
        <f t="shared" si="5"/>
        <v>0</v>
      </c>
      <c r="BM13" s="115"/>
      <c r="BN13" s="112"/>
      <c r="BO13" s="105"/>
      <c r="BP13" s="105"/>
      <c r="BQ13" s="105"/>
    </row>
    <row r="14" spans="1:73" ht="28.8" x14ac:dyDescent="0.3">
      <c r="A14" s="192" t="s">
        <v>81</v>
      </c>
      <c r="B14" s="215" t="str">
        <f>VLOOKUP(A14,'Parking Rev'!$A$4:$B$46,2,FALSE)</f>
        <v>AB</v>
      </c>
      <c r="C14" s="215" t="s">
        <v>82</v>
      </c>
      <c r="D14" s="13">
        <v>153.41935483871001</v>
      </c>
      <c r="E14" s="13">
        <v>1056.23</v>
      </c>
      <c r="F14" s="13">
        <f t="shared" si="6"/>
        <v>6.8845941968040227</v>
      </c>
      <c r="G14" s="13">
        <v>157.53571428571399</v>
      </c>
      <c r="H14" s="13">
        <v>1125</v>
      </c>
      <c r="I14" s="13">
        <f t="shared" si="7"/>
        <v>7.1412378145545361</v>
      </c>
      <c r="J14" s="13">
        <v>160.258064516129</v>
      </c>
      <c r="K14" s="13">
        <v>1125</v>
      </c>
      <c r="L14" s="13">
        <f t="shared" si="8"/>
        <v>7.0199275362318856</v>
      </c>
      <c r="M14" s="13">
        <v>159.30000000000001</v>
      </c>
      <c r="N14" s="13">
        <v>1025</v>
      </c>
      <c r="O14" s="13">
        <f t="shared" si="9"/>
        <v>6.4344005021971116</v>
      </c>
      <c r="P14" s="13">
        <v>161.870967741935</v>
      </c>
      <c r="Q14" s="13">
        <v>1075</v>
      </c>
      <c r="R14" s="13">
        <f t="shared" si="10"/>
        <v>6.6410920685532284</v>
      </c>
      <c r="S14" s="13">
        <v>162.5</v>
      </c>
      <c r="T14" s="13">
        <v>1050</v>
      </c>
      <c r="U14" s="13">
        <f t="shared" si="11"/>
        <v>6.4615384615384617</v>
      </c>
      <c r="V14" s="13">
        <v>166.677419354839</v>
      </c>
      <c r="W14" s="13">
        <v>975</v>
      </c>
      <c r="X14" s="43">
        <f t="shared" si="12"/>
        <v>5.8496226049932156</v>
      </c>
      <c r="Y14" s="3">
        <v>169.806451612903</v>
      </c>
      <c r="Z14" s="13">
        <v>975</v>
      </c>
      <c r="AA14" s="42">
        <f t="shared" si="13"/>
        <v>5.7418313069908891</v>
      </c>
      <c r="AB14" s="44">
        <v>60</v>
      </c>
      <c r="AC14" s="44">
        <v>30</v>
      </c>
      <c r="AD14" s="82">
        <f t="shared" si="14"/>
        <v>0.5</v>
      </c>
      <c r="AE14" s="80"/>
      <c r="AF14" s="81">
        <v>50</v>
      </c>
      <c r="AG14" s="81">
        <v>50</v>
      </c>
      <c r="AH14" s="81"/>
      <c r="AI14" s="81"/>
      <c r="AJ14" s="81"/>
      <c r="AK14" s="97">
        <f t="shared" si="1"/>
        <v>50</v>
      </c>
      <c r="AL14" s="97">
        <f t="shared" si="2"/>
        <v>0</v>
      </c>
      <c r="AM14" s="106"/>
      <c r="AN14" s="104"/>
      <c r="AO14" s="104">
        <v>30</v>
      </c>
      <c r="AP14" s="104"/>
      <c r="AQ14" s="104">
        <v>30</v>
      </c>
      <c r="AR14" s="104"/>
      <c r="AS14" s="105">
        <v>28</v>
      </c>
      <c r="AT14" s="105">
        <v>26</v>
      </c>
      <c r="AU14" s="105">
        <v>26</v>
      </c>
      <c r="AV14" s="105">
        <v>26</v>
      </c>
      <c r="AW14" s="105"/>
      <c r="AX14" s="54">
        <v>50</v>
      </c>
      <c r="AY14" s="44">
        <v>50</v>
      </c>
      <c r="AZ14" s="44"/>
      <c r="BA14" s="44"/>
      <c r="BB14" s="44"/>
      <c r="BC14" s="66">
        <f t="shared" si="3"/>
        <v>50</v>
      </c>
      <c r="BD14" s="66">
        <f t="shared" si="4"/>
        <v>0</v>
      </c>
      <c r="BE14" s="54"/>
      <c r="BF14" s="112"/>
      <c r="BG14" s="124">
        <v>50</v>
      </c>
      <c r="BH14" s="124">
        <v>0</v>
      </c>
      <c r="BI14" s="124">
        <v>0</v>
      </c>
      <c r="BJ14" s="124">
        <v>0</v>
      </c>
      <c r="BK14" s="124">
        <v>0</v>
      </c>
      <c r="BL14" s="115">
        <f t="shared" si="5"/>
        <v>0</v>
      </c>
      <c r="BM14" s="115"/>
      <c r="BN14" s="276" t="s">
        <v>238</v>
      </c>
      <c r="BO14" s="105"/>
      <c r="BP14" s="105"/>
      <c r="BQ14" s="105">
        <v>27</v>
      </c>
    </row>
    <row r="15" spans="1:73" x14ac:dyDescent="0.3">
      <c r="A15" s="192" t="s">
        <v>109</v>
      </c>
      <c r="B15" s="215" t="str">
        <f>VLOOKUP(A15,'Parking Rev'!$A$4:$B$46,2,FALSE)</f>
        <v>BC</v>
      </c>
      <c r="C15" s="215" t="s">
        <v>110</v>
      </c>
      <c r="D15" s="13">
        <v>77.258064516128997</v>
      </c>
      <c r="E15" s="13">
        <v>1400</v>
      </c>
      <c r="F15" s="13">
        <f t="shared" si="6"/>
        <v>18.12108559498957</v>
      </c>
      <c r="G15" s="13">
        <v>77.857142857142904</v>
      </c>
      <c r="H15" s="13">
        <v>1450</v>
      </c>
      <c r="I15" s="13">
        <f t="shared" si="7"/>
        <v>18.623853211009163</v>
      </c>
      <c r="J15" s="13">
        <v>75.419354838709694</v>
      </c>
      <c r="K15" s="13">
        <v>1550</v>
      </c>
      <c r="L15" s="13">
        <f t="shared" si="8"/>
        <v>20.551753635585968</v>
      </c>
      <c r="M15" s="13">
        <v>73.866666666666703</v>
      </c>
      <c r="N15" s="13">
        <v>1604.08</v>
      </c>
      <c r="O15" s="13">
        <f t="shared" si="9"/>
        <v>21.715884476534285</v>
      </c>
      <c r="P15" s="13">
        <v>70.451612903225794</v>
      </c>
      <c r="Q15" s="13">
        <v>1364.52</v>
      </c>
      <c r="R15" s="13">
        <f t="shared" si="10"/>
        <v>19.368186813186817</v>
      </c>
      <c r="S15" s="13">
        <v>65.8333333333333</v>
      </c>
      <c r="T15" s="13">
        <v>1150</v>
      </c>
      <c r="U15" s="13">
        <f t="shared" si="11"/>
        <v>17.468354430379755</v>
      </c>
      <c r="V15" s="13">
        <v>69.0322580645161</v>
      </c>
      <c r="W15" s="13">
        <v>1350</v>
      </c>
      <c r="X15" s="43">
        <f t="shared" si="12"/>
        <v>19.556074766355149</v>
      </c>
      <c r="Y15" s="3">
        <v>74.129032258064498</v>
      </c>
      <c r="Z15" s="13">
        <v>1350</v>
      </c>
      <c r="AA15" s="42">
        <f t="shared" si="13"/>
        <v>18.211488250652746</v>
      </c>
      <c r="AB15" s="44">
        <v>70</v>
      </c>
      <c r="AC15" s="44">
        <v>59</v>
      </c>
      <c r="AD15" s="82">
        <f t="shared" si="14"/>
        <v>0.84285714285714286</v>
      </c>
      <c r="AE15" s="80"/>
      <c r="AF15" s="81">
        <v>50</v>
      </c>
      <c r="AG15" s="81">
        <v>20</v>
      </c>
      <c r="AH15" s="81">
        <v>20</v>
      </c>
      <c r="AI15" s="81">
        <v>60</v>
      </c>
      <c r="AJ15" s="81">
        <v>50</v>
      </c>
      <c r="AK15" s="97">
        <f t="shared" si="1"/>
        <v>37.5</v>
      </c>
      <c r="AL15" s="97">
        <f t="shared" si="2"/>
        <v>12.5</v>
      </c>
      <c r="AM15" s="106" t="s">
        <v>239</v>
      </c>
      <c r="AN15" s="104">
        <v>62</v>
      </c>
      <c r="AO15" s="104">
        <v>58</v>
      </c>
      <c r="AP15" s="104"/>
      <c r="AQ15" s="104">
        <v>58</v>
      </c>
      <c r="AR15" s="104">
        <v>58</v>
      </c>
      <c r="AS15" s="105">
        <v>51</v>
      </c>
      <c r="AT15" s="105">
        <v>51</v>
      </c>
      <c r="AU15" s="105">
        <v>56</v>
      </c>
      <c r="AV15" s="105">
        <v>55</v>
      </c>
      <c r="AW15" s="105">
        <v>55</v>
      </c>
      <c r="AX15" s="54">
        <v>50</v>
      </c>
      <c r="AY15" s="44">
        <v>20</v>
      </c>
      <c r="AZ15" s="44">
        <v>20</v>
      </c>
      <c r="BA15" s="44">
        <v>60</v>
      </c>
      <c r="BB15" s="44">
        <v>50</v>
      </c>
      <c r="BC15" s="66">
        <f t="shared" si="3"/>
        <v>37.5</v>
      </c>
      <c r="BD15" s="66">
        <f t="shared" si="4"/>
        <v>12.5</v>
      </c>
      <c r="BE15" s="54" t="s">
        <v>239</v>
      </c>
      <c r="BF15" s="112"/>
      <c r="BG15" s="124">
        <v>50</v>
      </c>
      <c r="BH15" s="124" t="s">
        <v>240</v>
      </c>
      <c r="BI15" s="124">
        <v>50</v>
      </c>
      <c r="BJ15" s="124">
        <v>40</v>
      </c>
      <c r="BK15" s="124">
        <v>60</v>
      </c>
      <c r="BL15" s="115">
        <f t="shared" si="5"/>
        <v>50</v>
      </c>
      <c r="BM15" s="115"/>
      <c r="BN15" s="112"/>
      <c r="BO15" s="105">
        <v>55</v>
      </c>
      <c r="BP15" s="105">
        <v>55</v>
      </c>
      <c r="BQ15" s="105">
        <v>53</v>
      </c>
    </row>
    <row r="16" spans="1:73" x14ac:dyDescent="0.3">
      <c r="A16" s="192" t="s">
        <v>122</v>
      </c>
      <c r="B16" s="215" t="str">
        <f>VLOOKUP(A16,'Parking Rev'!$A$4:$B$46,2,FALSE)</f>
        <v>BC</v>
      </c>
      <c r="C16" s="215" t="s">
        <v>123</v>
      </c>
      <c r="D16" s="13">
        <v>397.12903225806502</v>
      </c>
      <c r="E16" s="13">
        <v>1490</v>
      </c>
      <c r="F16" s="13">
        <f t="shared" si="6"/>
        <v>3.751929169035817</v>
      </c>
      <c r="G16" s="13">
        <v>397.57142857142901</v>
      </c>
      <c r="H16" s="13">
        <v>1715</v>
      </c>
      <c r="I16" s="13">
        <f t="shared" si="7"/>
        <v>4.3136902623068583</v>
      </c>
      <c r="J16" s="13">
        <v>400.58064516129002</v>
      </c>
      <c r="K16" s="13">
        <v>1765</v>
      </c>
      <c r="L16" s="13">
        <f t="shared" si="8"/>
        <v>4.4061040425189271</v>
      </c>
      <c r="M16" s="13">
        <v>402.6</v>
      </c>
      <c r="N16" s="13">
        <v>1710</v>
      </c>
      <c r="O16" s="13">
        <f t="shared" si="9"/>
        <v>4.247391952309985</v>
      </c>
      <c r="P16" s="13">
        <v>403.25806451612902</v>
      </c>
      <c r="Q16" s="13">
        <v>1690</v>
      </c>
      <c r="R16" s="13">
        <f t="shared" si="10"/>
        <v>4.1908647308215343</v>
      </c>
      <c r="S16" s="13">
        <v>407.433333333333</v>
      </c>
      <c r="T16" s="13">
        <v>1790</v>
      </c>
      <c r="U16" s="13">
        <f t="shared" si="11"/>
        <v>4.3933567863863248</v>
      </c>
      <c r="V16" s="13">
        <v>409.806451612903</v>
      </c>
      <c r="W16" s="13">
        <v>1915</v>
      </c>
      <c r="X16" s="43">
        <f t="shared" si="12"/>
        <v>4.6729376574307331</v>
      </c>
      <c r="Y16" s="3">
        <v>411.25806451612902</v>
      </c>
      <c r="Z16" s="13">
        <v>1915</v>
      </c>
      <c r="AA16" s="42">
        <f t="shared" si="13"/>
        <v>4.6564436426386386</v>
      </c>
      <c r="AB16" s="44">
        <v>187</v>
      </c>
      <c r="AC16" s="44">
        <v>206</v>
      </c>
      <c r="AD16" s="82">
        <f t="shared" si="14"/>
        <v>1.1016042780748663</v>
      </c>
      <c r="AE16" s="80"/>
      <c r="AF16" s="81">
        <v>25</v>
      </c>
      <c r="AG16" s="81">
        <v>20</v>
      </c>
      <c r="AH16" s="81">
        <v>25</v>
      </c>
      <c r="AI16" s="81" t="s">
        <v>241</v>
      </c>
      <c r="AJ16" s="81" t="s">
        <v>242</v>
      </c>
      <c r="AK16" s="97">
        <f t="shared" si="1"/>
        <v>22.5</v>
      </c>
      <c r="AL16" s="97">
        <f t="shared" si="2"/>
        <v>2.5</v>
      </c>
      <c r="AM16" s="106"/>
      <c r="AN16" s="104">
        <v>206</v>
      </c>
      <c r="AO16" s="104">
        <v>193</v>
      </c>
      <c r="AP16" s="104"/>
      <c r="AQ16" s="104">
        <v>198</v>
      </c>
      <c r="AR16" s="104">
        <v>202</v>
      </c>
      <c r="AS16" s="105">
        <v>200</v>
      </c>
      <c r="AT16" s="105">
        <v>200</v>
      </c>
      <c r="AU16" s="105">
        <v>200</v>
      </c>
      <c r="AV16" s="105">
        <v>198</v>
      </c>
      <c r="AW16" s="105">
        <v>196</v>
      </c>
      <c r="AX16" s="54">
        <v>25</v>
      </c>
      <c r="AY16" s="44">
        <v>20</v>
      </c>
      <c r="AZ16" s="44">
        <v>25</v>
      </c>
      <c r="BA16" s="44" t="s">
        <v>241</v>
      </c>
      <c r="BB16" s="44" t="s">
        <v>242</v>
      </c>
      <c r="BC16" s="66">
        <f t="shared" si="3"/>
        <v>22.5</v>
      </c>
      <c r="BD16" s="66">
        <f t="shared" si="4"/>
        <v>2.5</v>
      </c>
      <c r="BE16" s="54"/>
      <c r="BF16" s="112"/>
      <c r="BG16" s="124">
        <v>25</v>
      </c>
      <c r="BH16" s="124">
        <v>20</v>
      </c>
      <c r="BI16" s="124" t="s">
        <v>90</v>
      </c>
      <c r="BJ16" s="124" t="s">
        <v>90</v>
      </c>
      <c r="BK16" s="124" t="s">
        <v>90</v>
      </c>
      <c r="BL16" s="115">
        <f t="shared" si="5"/>
        <v>20</v>
      </c>
      <c r="BM16" s="115"/>
      <c r="BN16" s="112" t="s">
        <v>243</v>
      </c>
      <c r="BO16" s="105">
        <v>196</v>
      </c>
      <c r="BP16" s="105">
        <v>196</v>
      </c>
      <c r="BQ16" s="105">
        <v>204</v>
      </c>
    </row>
    <row r="17" spans="1:69" x14ac:dyDescent="0.3">
      <c r="A17" s="192" t="s">
        <v>104</v>
      </c>
      <c r="B17" s="215" t="str">
        <f>VLOOKUP(A17,'Parking Rev'!$A$4:$B$46,2,FALSE)</f>
        <v>BC</v>
      </c>
      <c r="C17" s="215" t="s">
        <v>105</v>
      </c>
      <c r="D17" s="13">
        <v>61.741935483871003</v>
      </c>
      <c r="E17" s="13">
        <v>415</v>
      </c>
      <c r="F17" s="13">
        <f t="shared" si="6"/>
        <v>6.7215256008359416</v>
      </c>
      <c r="G17" s="13">
        <v>61.464285714285701</v>
      </c>
      <c r="H17" s="13">
        <v>540</v>
      </c>
      <c r="I17" s="13">
        <f t="shared" si="7"/>
        <v>8.7855897733875672</v>
      </c>
      <c r="J17" s="13">
        <v>61</v>
      </c>
      <c r="K17" s="13">
        <v>490</v>
      </c>
      <c r="L17" s="13">
        <f t="shared" si="8"/>
        <v>8.0327868852459012</v>
      </c>
      <c r="M17" s="13">
        <v>60.433333333333302</v>
      </c>
      <c r="N17" s="13">
        <v>490</v>
      </c>
      <c r="O17" s="13">
        <f t="shared" si="9"/>
        <v>8.1081081081081123</v>
      </c>
      <c r="P17" s="13">
        <v>61.9677419354839</v>
      </c>
      <c r="Q17" s="13">
        <v>490</v>
      </c>
      <c r="R17" s="13">
        <f t="shared" si="10"/>
        <v>7.9073399271212876</v>
      </c>
      <c r="S17" s="13">
        <v>62.866666666666703</v>
      </c>
      <c r="T17" s="13">
        <v>515</v>
      </c>
      <c r="U17" s="13">
        <f t="shared" si="11"/>
        <v>8.1919406150583196</v>
      </c>
      <c r="V17" s="13">
        <v>58.9677419354839</v>
      </c>
      <c r="W17" s="13">
        <v>455</v>
      </c>
      <c r="X17" s="43">
        <f t="shared" si="12"/>
        <v>7.7160831509846792</v>
      </c>
      <c r="Y17" s="3">
        <v>60.580645161290299</v>
      </c>
      <c r="Z17" s="13">
        <v>455</v>
      </c>
      <c r="AA17" s="42">
        <f t="shared" si="13"/>
        <v>7.5106496272630485</v>
      </c>
      <c r="AB17" s="44">
        <v>63</v>
      </c>
      <c r="AC17" s="44">
        <v>41</v>
      </c>
      <c r="AD17" s="82">
        <f t="shared" si="14"/>
        <v>0.65079365079365081</v>
      </c>
      <c r="AE17" s="80"/>
      <c r="AF17" s="81">
        <v>25</v>
      </c>
      <c r="AG17" s="81">
        <v>20</v>
      </c>
      <c r="AH17" s="81">
        <v>25</v>
      </c>
      <c r="AI17" s="81">
        <v>10</v>
      </c>
      <c r="AJ17" s="81" t="s">
        <v>242</v>
      </c>
      <c r="AK17" s="97">
        <f t="shared" si="1"/>
        <v>18.333333333333332</v>
      </c>
      <c r="AL17" s="97">
        <f t="shared" si="2"/>
        <v>6.6666666666666679</v>
      </c>
      <c r="AM17" s="106"/>
      <c r="AN17" s="104">
        <v>42</v>
      </c>
      <c r="AO17" s="104">
        <v>42</v>
      </c>
      <c r="AP17" s="104"/>
      <c r="AQ17" s="104">
        <v>42</v>
      </c>
      <c r="AR17" s="104">
        <v>47</v>
      </c>
      <c r="AS17" s="105">
        <v>46</v>
      </c>
      <c r="AT17" s="105">
        <v>46</v>
      </c>
      <c r="AU17" s="105">
        <v>46</v>
      </c>
      <c r="AV17" s="105">
        <v>46</v>
      </c>
      <c r="AW17" s="105">
        <v>46</v>
      </c>
      <c r="AX17" s="54">
        <v>25</v>
      </c>
      <c r="AY17" s="44">
        <v>20</v>
      </c>
      <c r="AZ17" s="44">
        <v>25</v>
      </c>
      <c r="BA17" s="44">
        <v>10</v>
      </c>
      <c r="BB17" s="44" t="s">
        <v>242</v>
      </c>
      <c r="BC17" s="66">
        <f t="shared" si="3"/>
        <v>18.333333333333332</v>
      </c>
      <c r="BD17" s="66">
        <f t="shared" si="4"/>
        <v>6.6666666666666679</v>
      </c>
      <c r="BE17" s="54"/>
      <c r="BF17" s="112"/>
      <c r="BG17" s="124">
        <v>25</v>
      </c>
      <c r="BH17" s="124">
        <v>20</v>
      </c>
      <c r="BI17" s="124" t="s">
        <v>90</v>
      </c>
      <c r="BJ17" s="124" t="s">
        <v>90</v>
      </c>
      <c r="BK17" s="124" t="s">
        <v>90</v>
      </c>
      <c r="BL17" s="115">
        <f t="shared" si="5"/>
        <v>20</v>
      </c>
      <c r="BM17" s="115"/>
      <c r="BN17" s="112" t="s">
        <v>244</v>
      </c>
      <c r="BO17" s="105">
        <v>46</v>
      </c>
      <c r="BP17" s="105">
        <v>46</v>
      </c>
      <c r="BQ17" s="105">
        <v>46</v>
      </c>
    </row>
    <row r="18" spans="1:69" x14ac:dyDescent="0.3">
      <c r="A18" s="192" t="s">
        <v>93</v>
      </c>
      <c r="B18" s="215" t="str">
        <f>VLOOKUP(A18,'Parking Rev'!$A$4:$B$46,2,FALSE)</f>
        <v>BC</v>
      </c>
      <c r="C18" s="215" t="s">
        <v>95</v>
      </c>
      <c r="D18" s="13">
        <v>0</v>
      </c>
      <c r="E18" s="13">
        <v>0</v>
      </c>
      <c r="F18" s="13">
        <v>0</v>
      </c>
      <c r="G18" s="13">
        <v>87.928571428571402</v>
      </c>
      <c r="H18" s="13">
        <v>0</v>
      </c>
      <c r="I18" s="13">
        <f t="shared" si="7"/>
        <v>0</v>
      </c>
      <c r="J18" s="13">
        <v>85.903225806451601</v>
      </c>
      <c r="K18" s="13">
        <v>450</v>
      </c>
      <c r="L18" s="13">
        <f t="shared" si="8"/>
        <v>5.2384528726999635</v>
      </c>
      <c r="M18" s="13">
        <v>85.133333333333297</v>
      </c>
      <c r="N18" s="13">
        <v>450</v>
      </c>
      <c r="O18" s="13">
        <f t="shared" si="9"/>
        <v>5.2858261550509029</v>
      </c>
      <c r="P18" s="13">
        <v>89.387096774193594</v>
      </c>
      <c r="Q18" s="13">
        <v>390</v>
      </c>
      <c r="R18" s="13">
        <f t="shared" si="10"/>
        <v>4.3630458318296625</v>
      </c>
      <c r="S18" s="13">
        <v>90.6666666666667</v>
      </c>
      <c r="T18" s="13">
        <v>470</v>
      </c>
      <c r="U18" s="13">
        <f t="shared" si="11"/>
        <v>5.1838235294117627</v>
      </c>
      <c r="V18" s="13">
        <v>89.064516129032299</v>
      </c>
      <c r="W18" s="13">
        <v>390</v>
      </c>
      <c r="X18" s="43">
        <f t="shared" si="12"/>
        <v>4.3788482433900739</v>
      </c>
      <c r="Y18" s="3">
        <v>93.612903225806406</v>
      </c>
      <c r="Z18" s="13">
        <v>390</v>
      </c>
      <c r="AA18" s="42">
        <f t="shared" si="13"/>
        <v>4.1660923501033791</v>
      </c>
      <c r="AB18" s="44">
        <v>30</v>
      </c>
      <c r="AC18" s="44">
        <v>30</v>
      </c>
      <c r="AD18" s="82">
        <f t="shared" si="14"/>
        <v>1</v>
      </c>
      <c r="AE18" s="80"/>
      <c r="AF18" s="81">
        <v>20</v>
      </c>
      <c r="AG18" s="81">
        <v>50</v>
      </c>
      <c r="AH18" s="81">
        <v>20</v>
      </c>
      <c r="AI18" s="81">
        <v>60</v>
      </c>
      <c r="AJ18" s="81">
        <v>50</v>
      </c>
      <c r="AK18" s="97">
        <f t="shared" si="1"/>
        <v>45</v>
      </c>
      <c r="AL18" s="97">
        <f t="shared" si="2"/>
        <v>-25</v>
      </c>
      <c r="AM18" s="106" t="s">
        <v>245</v>
      </c>
      <c r="AN18" s="104">
        <v>30</v>
      </c>
      <c r="AO18" s="104">
        <v>27</v>
      </c>
      <c r="AP18" s="104"/>
      <c r="AQ18" s="104">
        <v>19</v>
      </c>
      <c r="AR18" s="104">
        <v>27</v>
      </c>
      <c r="AS18" s="105">
        <v>28</v>
      </c>
      <c r="AT18" s="105">
        <v>28</v>
      </c>
      <c r="AU18" s="105">
        <v>28</v>
      </c>
      <c r="AV18" s="105">
        <v>28</v>
      </c>
      <c r="AW18" s="105">
        <v>27</v>
      </c>
      <c r="AX18" s="54">
        <v>20</v>
      </c>
      <c r="AY18" s="44">
        <v>50</v>
      </c>
      <c r="AZ18" s="44">
        <v>20</v>
      </c>
      <c r="BA18" s="44">
        <v>60</v>
      </c>
      <c r="BB18" s="44">
        <v>50</v>
      </c>
      <c r="BC18" s="66">
        <f t="shared" si="3"/>
        <v>45</v>
      </c>
      <c r="BD18" s="66">
        <f t="shared" si="4"/>
        <v>-25</v>
      </c>
      <c r="BE18" s="54" t="s">
        <v>245</v>
      </c>
      <c r="BF18" s="112"/>
      <c r="BG18" s="124">
        <v>50</v>
      </c>
      <c r="BH18" s="124">
        <v>30</v>
      </c>
      <c r="BI18" s="124">
        <v>40</v>
      </c>
      <c r="BJ18" s="124" t="s">
        <v>246</v>
      </c>
      <c r="BK18" s="124">
        <v>60</v>
      </c>
      <c r="BL18" s="115">
        <f t="shared" si="5"/>
        <v>43.333333333333336</v>
      </c>
      <c r="BM18" s="115"/>
      <c r="BN18" s="112"/>
      <c r="BO18" s="105">
        <v>27</v>
      </c>
      <c r="BP18" s="105">
        <v>27</v>
      </c>
      <c r="BQ18" s="105">
        <v>29</v>
      </c>
    </row>
    <row r="19" spans="1:69" x14ac:dyDescent="0.3">
      <c r="A19" s="192" t="s">
        <v>101</v>
      </c>
      <c r="B19" s="215" t="str">
        <f>VLOOKUP(A19,'Parking Rev'!$A$4:$B$46,2,FALSE)</f>
        <v>BC</v>
      </c>
      <c r="C19" s="215" t="s">
        <v>102</v>
      </c>
      <c r="D19" s="13">
        <v>193.258064516129</v>
      </c>
      <c r="E19" s="13">
        <v>1750</v>
      </c>
      <c r="F19" s="13">
        <f>E19/D19</f>
        <v>9.0552495409781351</v>
      </c>
      <c r="G19" s="13">
        <v>193.78571428571399</v>
      </c>
      <c r="H19" s="13">
        <v>1770</v>
      </c>
      <c r="I19" s="13">
        <f t="shared" si="7"/>
        <v>9.1338002211574043</v>
      </c>
      <c r="J19" s="13">
        <v>195.41935483871001</v>
      </c>
      <c r="K19" s="13">
        <v>1789.2</v>
      </c>
      <c r="L19" s="13">
        <f t="shared" si="8"/>
        <v>9.1556949488279802</v>
      </c>
      <c r="M19" s="13">
        <v>197.933333333333</v>
      </c>
      <c r="N19" s="13">
        <v>1850</v>
      </c>
      <c r="O19" s="13">
        <f t="shared" si="9"/>
        <v>9.3465813405187088</v>
      </c>
      <c r="P19" s="13">
        <v>200.45161290322599</v>
      </c>
      <c r="Q19" s="13">
        <v>1890</v>
      </c>
      <c r="R19" s="13">
        <f t="shared" si="10"/>
        <v>9.4287093659478511</v>
      </c>
      <c r="S19" s="13">
        <v>201.7</v>
      </c>
      <c r="T19" s="13">
        <v>1890</v>
      </c>
      <c r="U19" s="13">
        <f t="shared" si="11"/>
        <v>9.3703520079325742</v>
      </c>
      <c r="V19" s="13">
        <v>198.51612903225799</v>
      </c>
      <c r="W19" s="13">
        <v>1870</v>
      </c>
      <c r="X19" s="43">
        <f t="shared" si="12"/>
        <v>9.4198895027624339</v>
      </c>
      <c r="Y19" s="3">
        <v>198.83870967741899</v>
      </c>
      <c r="Z19" s="13">
        <v>1870</v>
      </c>
      <c r="AA19" s="42">
        <f t="shared" si="13"/>
        <v>9.404607397793658</v>
      </c>
      <c r="AB19" s="44">
        <v>207</v>
      </c>
      <c r="AC19" s="44"/>
      <c r="AD19" s="82">
        <f t="shared" si="14"/>
        <v>0</v>
      </c>
      <c r="AE19" s="80"/>
      <c r="AF19" s="81"/>
      <c r="AG19" s="81"/>
      <c r="AH19" s="81"/>
      <c r="AI19" s="81"/>
      <c r="AJ19" s="81"/>
      <c r="AK19" s="97">
        <f t="shared" si="1"/>
        <v>0</v>
      </c>
      <c r="AL19" s="97">
        <f t="shared" si="2"/>
        <v>0</v>
      </c>
      <c r="AM19" s="106"/>
      <c r="AN19" s="104"/>
      <c r="AO19" s="104">
        <v>108</v>
      </c>
      <c r="AP19" s="104"/>
      <c r="AQ19" s="104">
        <v>113</v>
      </c>
      <c r="AR19" s="104">
        <v>110</v>
      </c>
      <c r="AS19" s="105">
        <v>115</v>
      </c>
      <c r="AT19" s="105">
        <v>115</v>
      </c>
      <c r="AU19" s="105">
        <v>117</v>
      </c>
      <c r="AV19" s="105">
        <v>117</v>
      </c>
      <c r="AW19" s="105">
        <v>117</v>
      </c>
      <c r="AX19" s="54"/>
      <c r="AY19" s="44"/>
      <c r="AZ19" s="44"/>
      <c r="BA19" s="44"/>
      <c r="BB19" s="44"/>
      <c r="BC19" s="66">
        <f t="shared" si="3"/>
        <v>0</v>
      </c>
      <c r="BD19" s="66">
        <f t="shared" si="4"/>
        <v>0</v>
      </c>
      <c r="BE19" s="54"/>
      <c r="BF19" s="112"/>
      <c r="BG19" s="124">
        <v>25</v>
      </c>
      <c r="BH19" s="124">
        <v>25</v>
      </c>
      <c r="BI19" s="124">
        <v>30</v>
      </c>
      <c r="BJ19" s="124"/>
      <c r="BK19" s="124"/>
      <c r="BL19" s="115">
        <f t="shared" si="5"/>
        <v>27.5</v>
      </c>
      <c r="BM19" s="115"/>
      <c r="BN19" s="112" t="s">
        <v>247</v>
      </c>
      <c r="BO19" s="105">
        <v>117</v>
      </c>
      <c r="BP19" s="105">
        <v>117</v>
      </c>
      <c r="BQ19" s="105">
        <v>114</v>
      </c>
    </row>
    <row r="20" spans="1:69" x14ac:dyDescent="0.3">
      <c r="A20" s="192" t="s">
        <v>112</v>
      </c>
      <c r="B20" s="215" t="str">
        <f>VLOOKUP(A20,'Parking Rev'!$A$4:$B$46,2,FALSE)</f>
        <v>BC</v>
      </c>
      <c r="C20" s="215" t="s">
        <v>113</v>
      </c>
      <c r="D20" s="13">
        <v>213.70967741935499</v>
      </c>
      <c r="E20" s="13">
        <v>250</v>
      </c>
      <c r="F20" s="13">
        <f>E20/D20</f>
        <v>1.1698113207547161</v>
      </c>
      <c r="G20" s="13">
        <v>218.892857142857</v>
      </c>
      <c r="H20" s="13">
        <v>225</v>
      </c>
      <c r="I20" s="13">
        <f t="shared" si="7"/>
        <v>1.0279001468428788</v>
      </c>
      <c r="J20" s="13">
        <v>218.77419354838699</v>
      </c>
      <c r="K20" s="13">
        <v>225</v>
      </c>
      <c r="L20" s="13">
        <f t="shared" si="8"/>
        <v>1.028457682099676</v>
      </c>
      <c r="M20" s="13">
        <v>224.2</v>
      </c>
      <c r="N20" s="13">
        <v>200</v>
      </c>
      <c r="O20" s="13">
        <f t="shared" si="9"/>
        <v>0.89206066012488849</v>
      </c>
      <c r="P20" s="13">
        <v>226.54838709677401</v>
      </c>
      <c r="Q20" s="13">
        <v>225</v>
      </c>
      <c r="R20" s="13">
        <f t="shared" si="10"/>
        <v>0.99316531396839036</v>
      </c>
      <c r="S20" s="13">
        <v>228.13333333333301</v>
      </c>
      <c r="T20" s="13">
        <v>225</v>
      </c>
      <c r="U20" s="13">
        <f t="shared" si="11"/>
        <v>0.98626534190531989</v>
      </c>
      <c r="V20" s="13">
        <v>231.41935483871001</v>
      </c>
      <c r="W20" s="13">
        <v>200</v>
      </c>
      <c r="X20" s="43">
        <f t="shared" si="12"/>
        <v>0.86423194870365083</v>
      </c>
      <c r="Y20" s="3">
        <v>236.16129032258101</v>
      </c>
      <c r="Z20" s="13">
        <v>200</v>
      </c>
      <c r="AA20" s="42">
        <f t="shared" si="13"/>
        <v>0.84687884168829264</v>
      </c>
      <c r="AB20" s="44">
        <v>253</v>
      </c>
      <c r="AC20" s="44"/>
      <c r="AD20" s="82">
        <f t="shared" si="14"/>
        <v>0</v>
      </c>
      <c r="AE20" s="80"/>
      <c r="AF20" s="81"/>
      <c r="AG20" s="81"/>
      <c r="AH20" s="81"/>
      <c r="AI20" s="81"/>
      <c r="AJ20" s="81"/>
      <c r="AK20" s="97">
        <f t="shared" si="1"/>
        <v>0</v>
      </c>
      <c r="AL20" s="97">
        <f t="shared" si="2"/>
        <v>0</v>
      </c>
      <c r="AM20" s="106"/>
      <c r="AN20" s="104"/>
      <c r="AO20" s="104">
        <v>137</v>
      </c>
      <c r="AP20" s="104"/>
      <c r="AQ20" s="104">
        <v>138</v>
      </c>
      <c r="AR20" s="104">
        <v>141</v>
      </c>
      <c r="AS20" s="105">
        <v>137</v>
      </c>
      <c r="AT20" s="105">
        <v>138</v>
      </c>
      <c r="AU20" s="105">
        <v>140</v>
      </c>
      <c r="AV20" s="105">
        <v>140</v>
      </c>
      <c r="AW20" s="105">
        <v>139</v>
      </c>
      <c r="AX20" s="54"/>
      <c r="AY20" s="44"/>
      <c r="AZ20" s="44"/>
      <c r="BA20" s="44"/>
      <c r="BB20" s="44"/>
      <c r="BC20" s="66">
        <f t="shared" si="3"/>
        <v>0</v>
      </c>
      <c r="BD20" s="66">
        <f t="shared" si="4"/>
        <v>0</v>
      </c>
      <c r="BE20" s="54"/>
      <c r="BF20" s="112"/>
      <c r="BG20" s="124">
        <v>25</v>
      </c>
      <c r="BH20" s="124">
        <v>25</v>
      </c>
      <c r="BI20" s="124">
        <v>30</v>
      </c>
      <c r="BJ20" s="124" t="s">
        <v>90</v>
      </c>
      <c r="BK20" s="124" t="s">
        <v>90</v>
      </c>
      <c r="BL20" s="115">
        <f t="shared" si="5"/>
        <v>27.5</v>
      </c>
      <c r="BM20" s="115"/>
      <c r="BN20" s="112" t="s">
        <v>248</v>
      </c>
      <c r="BO20" s="105">
        <v>139</v>
      </c>
      <c r="BP20" s="105">
        <v>139</v>
      </c>
      <c r="BQ20" s="105">
        <v>137</v>
      </c>
    </row>
    <row r="21" spans="1:69" x14ac:dyDescent="0.3">
      <c r="A21" s="192" t="s">
        <v>97</v>
      </c>
      <c r="B21" s="215" t="str">
        <f>VLOOKUP(A21,'Parking Rev'!$A$4:$B$46,2,FALSE)</f>
        <v>BC</v>
      </c>
      <c r="C21" s="215" t="s">
        <v>98</v>
      </c>
      <c r="D21" s="13">
        <v>45.9677419354839</v>
      </c>
      <c r="E21" s="13">
        <v>240</v>
      </c>
      <c r="F21" s="13">
        <f>E21/D21</f>
        <v>5.2210526315789441</v>
      </c>
      <c r="G21" s="13">
        <v>44.928571428571402</v>
      </c>
      <c r="H21" s="13">
        <v>240</v>
      </c>
      <c r="I21" s="13">
        <f t="shared" si="7"/>
        <v>5.3418124006359333</v>
      </c>
      <c r="J21" s="13">
        <v>45.677419354838698</v>
      </c>
      <c r="K21" s="13">
        <v>180</v>
      </c>
      <c r="L21" s="13">
        <f t="shared" si="8"/>
        <v>3.940677966101696</v>
      </c>
      <c r="M21" s="13">
        <v>44.233333333333299</v>
      </c>
      <c r="N21" s="13">
        <v>210</v>
      </c>
      <c r="O21" s="13">
        <f t="shared" si="9"/>
        <v>4.7475508666164314</v>
      </c>
      <c r="P21" s="13">
        <v>44.806451612903203</v>
      </c>
      <c r="Q21" s="13">
        <v>270</v>
      </c>
      <c r="R21" s="13">
        <f t="shared" si="10"/>
        <v>6.025917926565878</v>
      </c>
      <c r="S21" s="13">
        <v>46.5</v>
      </c>
      <c r="T21" s="13">
        <v>270</v>
      </c>
      <c r="U21" s="13">
        <f t="shared" si="11"/>
        <v>5.806451612903226</v>
      </c>
      <c r="V21" s="13">
        <v>47.709677419354797</v>
      </c>
      <c r="W21" s="13">
        <v>342.6</v>
      </c>
      <c r="X21" s="43">
        <f t="shared" si="12"/>
        <v>7.1809330628803316</v>
      </c>
      <c r="Y21" s="3">
        <v>49</v>
      </c>
      <c r="Z21" s="13">
        <v>342.6</v>
      </c>
      <c r="AA21" s="42">
        <f t="shared" si="13"/>
        <v>6.9918367346938783</v>
      </c>
      <c r="AB21" s="44">
        <v>49</v>
      </c>
      <c r="AC21" s="44">
        <v>27</v>
      </c>
      <c r="AD21" s="82">
        <f t="shared" si="14"/>
        <v>0.55102040816326525</v>
      </c>
      <c r="AE21" s="80"/>
      <c r="AF21" s="81">
        <v>30</v>
      </c>
      <c r="AG21" s="81">
        <v>20</v>
      </c>
      <c r="AH21" s="81">
        <v>25</v>
      </c>
      <c r="AI21" s="81">
        <v>10</v>
      </c>
      <c r="AJ21" s="81" t="s">
        <v>242</v>
      </c>
      <c r="AK21" s="97">
        <f t="shared" si="1"/>
        <v>18.333333333333332</v>
      </c>
      <c r="AL21" s="97">
        <f t="shared" si="2"/>
        <v>11.666666666666668</v>
      </c>
      <c r="AM21" s="106"/>
      <c r="AN21" s="104">
        <v>27</v>
      </c>
      <c r="AO21" s="104">
        <v>26</v>
      </c>
      <c r="AP21" s="104"/>
      <c r="AQ21" s="104">
        <v>27</v>
      </c>
      <c r="AR21" s="104">
        <v>29</v>
      </c>
      <c r="AS21" s="105">
        <v>28</v>
      </c>
      <c r="AT21" s="105">
        <v>28</v>
      </c>
      <c r="AU21" s="105">
        <v>27</v>
      </c>
      <c r="AV21" s="105">
        <v>27</v>
      </c>
      <c r="AW21" s="105">
        <v>27</v>
      </c>
      <c r="AX21" s="54">
        <v>30</v>
      </c>
      <c r="AY21" s="44">
        <v>20</v>
      </c>
      <c r="AZ21" s="44">
        <v>25</v>
      </c>
      <c r="BA21" s="44">
        <v>10</v>
      </c>
      <c r="BB21" s="44" t="s">
        <v>242</v>
      </c>
      <c r="BC21" s="66">
        <f t="shared" si="3"/>
        <v>18.333333333333332</v>
      </c>
      <c r="BD21" s="66">
        <f t="shared" si="4"/>
        <v>11.666666666666668</v>
      </c>
      <c r="BE21" s="54"/>
      <c r="BF21" s="112"/>
      <c r="BG21" s="124">
        <v>30</v>
      </c>
      <c r="BH21" s="124">
        <v>20</v>
      </c>
      <c r="BI21" s="124" t="s">
        <v>90</v>
      </c>
      <c r="BJ21" s="124" t="s">
        <v>90</v>
      </c>
      <c r="BK21" s="124" t="s">
        <v>90</v>
      </c>
      <c r="BL21" s="115">
        <f t="shared" si="5"/>
        <v>20</v>
      </c>
      <c r="BM21" s="115"/>
      <c r="BN21" s="112" t="s">
        <v>249</v>
      </c>
      <c r="BO21" s="105">
        <v>27</v>
      </c>
      <c r="BP21" s="105">
        <v>27</v>
      </c>
      <c r="BQ21" s="105">
        <v>27</v>
      </c>
    </row>
    <row r="22" spans="1:69" x14ac:dyDescent="0.3">
      <c r="A22" s="192" t="s">
        <v>106</v>
      </c>
      <c r="B22" s="215" t="str">
        <f>VLOOKUP(A22,'Parking Rev'!$A$4:$B$46,2,FALSE)</f>
        <v>BC</v>
      </c>
      <c r="C22" s="215" t="s">
        <v>107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f t="shared" si="7"/>
        <v>0</v>
      </c>
      <c r="J22" s="13">
        <v>0</v>
      </c>
      <c r="K22" s="13">
        <v>187.1</v>
      </c>
      <c r="L22" s="13">
        <f t="shared" si="8"/>
        <v>0</v>
      </c>
      <c r="M22" s="13">
        <v>92.966666666666697</v>
      </c>
      <c r="N22" s="13">
        <v>560</v>
      </c>
      <c r="O22" s="13">
        <f t="shared" si="9"/>
        <v>6.0236643958408012</v>
      </c>
      <c r="P22" s="13">
        <v>93.677419354838705</v>
      </c>
      <c r="Q22" s="13">
        <v>580</v>
      </c>
      <c r="R22" s="13">
        <f t="shared" si="10"/>
        <v>6.1914600550964192</v>
      </c>
      <c r="S22" s="13">
        <v>96.1666666666667</v>
      </c>
      <c r="T22" s="13">
        <v>550</v>
      </c>
      <c r="U22" s="13">
        <f t="shared" si="11"/>
        <v>5.7192374350086634</v>
      </c>
      <c r="V22" s="13">
        <v>95.709677419354804</v>
      </c>
      <c r="W22" s="13">
        <v>600</v>
      </c>
      <c r="X22" s="43">
        <f t="shared" si="12"/>
        <v>6.2689585439838247</v>
      </c>
      <c r="Y22" s="3">
        <v>93.548387096774206</v>
      </c>
      <c r="Z22" s="13">
        <v>600</v>
      </c>
      <c r="AA22" s="42">
        <f t="shared" si="13"/>
        <v>6.4137931034482749</v>
      </c>
      <c r="AB22" s="44">
        <v>129</v>
      </c>
      <c r="AC22" s="44">
        <v>79</v>
      </c>
      <c r="AD22" s="82">
        <f t="shared" si="14"/>
        <v>0.61240310077519378</v>
      </c>
      <c r="AE22" s="80"/>
      <c r="AF22" s="81">
        <v>20</v>
      </c>
      <c r="AG22" s="81">
        <v>50</v>
      </c>
      <c r="AH22" s="81">
        <v>20</v>
      </c>
      <c r="AI22" s="81">
        <v>60</v>
      </c>
      <c r="AJ22" s="81">
        <v>50</v>
      </c>
      <c r="AK22" s="97">
        <f t="shared" si="1"/>
        <v>45</v>
      </c>
      <c r="AL22" s="97">
        <f t="shared" si="2"/>
        <v>-25</v>
      </c>
      <c r="AM22" s="106" t="s">
        <v>250</v>
      </c>
      <c r="AN22" s="104">
        <v>70</v>
      </c>
      <c r="AO22" s="104">
        <v>68</v>
      </c>
      <c r="AP22" s="104"/>
      <c r="AQ22" s="104">
        <v>55</v>
      </c>
      <c r="AR22" s="104">
        <v>65</v>
      </c>
      <c r="AS22" s="105">
        <v>65</v>
      </c>
      <c r="AT22" s="105">
        <v>65</v>
      </c>
      <c r="AU22" s="105">
        <v>58</v>
      </c>
      <c r="AV22" s="105">
        <v>59</v>
      </c>
      <c r="AW22" s="105">
        <v>59</v>
      </c>
      <c r="AX22" s="54">
        <v>20</v>
      </c>
      <c r="AY22" s="44">
        <v>50</v>
      </c>
      <c r="AZ22" s="44">
        <v>20</v>
      </c>
      <c r="BA22" s="44">
        <v>60</v>
      </c>
      <c r="BB22" s="44">
        <v>50</v>
      </c>
      <c r="BC22" s="66">
        <f t="shared" si="3"/>
        <v>45</v>
      </c>
      <c r="BD22" s="66">
        <f t="shared" si="4"/>
        <v>-25</v>
      </c>
      <c r="BE22" s="54" t="s">
        <v>250</v>
      </c>
      <c r="BF22" s="112"/>
      <c r="BG22" s="124">
        <v>30</v>
      </c>
      <c r="BH22" s="124">
        <v>30</v>
      </c>
      <c r="BI22" s="124">
        <v>40</v>
      </c>
      <c r="BJ22" s="124" t="s">
        <v>246</v>
      </c>
      <c r="BK22" s="124">
        <v>60</v>
      </c>
      <c r="BL22" s="115">
        <f t="shared" si="5"/>
        <v>43.333333333333336</v>
      </c>
      <c r="BM22" s="115"/>
      <c r="BN22" s="112"/>
      <c r="BO22" s="105">
        <v>59</v>
      </c>
      <c r="BP22" s="105">
        <v>59</v>
      </c>
      <c r="BQ22" s="105">
        <v>59</v>
      </c>
    </row>
    <row r="23" spans="1:69" x14ac:dyDescent="0.3">
      <c r="A23" s="192" t="s">
        <v>115</v>
      </c>
      <c r="B23" s="215" t="s">
        <v>94</v>
      </c>
      <c r="C23" s="215" t="s">
        <v>116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43"/>
      <c r="Y23" s="3"/>
      <c r="Z23" s="13"/>
      <c r="AA23" s="42"/>
      <c r="AB23" s="44"/>
      <c r="AC23" s="44"/>
      <c r="AD23" s="82">
        <f t="shared" si="14"/>
        <v>0</v>
      </c>
      <c r="AE23" s="80"/>
      <c r="AF23" s="81"/>
      <c r="AG23" s="81"/>
      <c r="AH23" s="81"/>
      <c r="AI23" s="81"/>
      <c r="AJ23" s="81"/>
      <c r="AK23" s="97">
        <f t="shared" si="1"/>
        <v>0</v>
      </c>
      <c r="AL23" s="97">
        <f t="shared" si="2"/>
        <v>0</v>
      </c>
      <c r="AM23" s="106"/>
      <c r="AN23" s="104"/>
      <c r="AO23" s="104"/>
      <c r="AP23" s="104"/>
      <c r="AQ23" s="104"/>
      <c r="AR23" s="104"/>
      <c r="AS23" s="105"/>
      <c r="AT23" s="105"/>
      <c r="AU23" s="105"/>
      <c r="AV23" s="105"/>
      <c r="AW23" s="105"/>
      <c r="AX23" s="54"/>
      <c r="AY23" s="44"/>
      <c r="AZ23" s="44"/>
      <c r="BA23" s="44"/>
      <c r="BB23" s="44"/>
      <c r="BC23" s="66">
        <f t="shared" si="3"/>
        <v>0</v>
      </c>
      <c r="BD23" s="66">
        <f t="shared" si="4"/>
        <v>0</v>
      </c>
      <c r="BE23" s="54"/>
      <c r="BF23" s="112"/>
      <c r="BG23" s="124" t="s">
        <v>90</v>
      </c>
      <c r="BH23" s="124" t="s">
        <v>90</v>
      </c>
      <c r="BI23" s="124" t="s">
        <v>90</v>
      </c>
      <c r="BJ23" s="124" t="s">
        <v>90</v>
      </c>
      <c r="BK23" s="124" t="s">
        <v>90</v>
      </c>
      <c r="BL23" s="115">
        <f t="shared" si="5"/>
        <v>0</v>
      </c>
      <c r="BM23" s="115"/>
      <c r="BN23" s="112"/>
      <c r="BO23" s="105"/>
      <c r="BP23" s="105"/>
      <c r="BQ23" s="105"/>
    </row>
    <row r="24" spans="1:69" x14ac:dyDescent="0.3">
      <c r="A24" s="192" t="s">
        <v>119</v>
      </c>
      <c r="B24" s="215" t="s">
        <v>94</v>
      </c>
      <c r="C24" s="215" t="s">
        <v>120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43"/>
      <c r="Y24" s="3"/>
      <c r="Z24" s="13"/>
      <c r="AA24" s="42"/>
      <c r="AB24" s="44">
        <v>106</v>
      </c>
      <c r="AC24" s="44">
        <v>76</v>
      </c>
      <c r="AD24" s="82">
        <f t="shared" si="14"/>
        <v>0.71698113207547165</v>
      </c>
      <c r="AE24" s="80"/>
      <c r="AF24" s="81">
        <v>35</v>
      </c>
      <c r="AG24" s="81">
        <v>30</v>
      </c>
      <c r="AH24" s="81">
        <v>25</v>
      </c>
      <c r="AI24" s="81">
        <v>75</v>
      </c>
      <c r="AJ24" s="81"/>
      <c r="AK24" s="97">
        <f t="shared" si="1"/>
        <v>43.333333333333336</v>
      </c>
      <c r="AL24" s="97">
        <f t="shared" si="2"/>
        <v>-8.3333333333333357</v>
      </c>
      <c r="AM24" s="106"/>
      <c r="AN24" s="104">
        <v>76</v>
      </c>
      <c r="AO24" s="83"/>
      <c r="AP24" s="104"/>
      <c r="AQ24" s="104"/>
      <c r="AR24" s="104"/>
      <c r="AS24" s="105"/>
      <c r="AT24" s="105"/>
      <c r="AU24" s="105"/>
      <c r="AV24" s="105"/>
      <c r="AW24" s="105"/>
      <c r="AX24" s="54">
        <v>35</v>
      </c>
      <c r="AY24" s="44">
        <v>30</v>
      </c>
      <c r="AZ24" s="44">
        <v>25</v>
      </c>
      <c r="BA24" s="44">
        <v>75</v>
      </c>
      <c r="BB24" s="44"/>
      <c r="BC24" s="66">
        <f t="shared" si="3"/>
        <v>43.333333333333336</v>
      </c>
      <c r="BD24" s="66">
        <f t="shared" si="4"/>
        <v>-8.3333333333333357</v>
      </c>
      <c r="BE24" s="54"/>
      <c r="BF24" s="112"/>
      <c r="BG24" s="124"/>
      <c r="BH24" s="124"/>
      <c r="BI24" s="124"/>
      <c r="BJ24" s="124"/>
      <c r="BK24" s="124"/>
      <c r="BL24" s="115">
        <f t="shared" si="5"/>
        <v>0</v>
      </c>
      <c r="BM24" s="115"/>
      <c r="BN24" s="112"/>
      <c r="BO24" s="105"/>
      <c r="BP24" s="105"/>
      <c r="BQ24" s="105"/>
    </row>
    <row r="25" spans="1:69" x14ac:dyDescent="0.3">
      <c r="A25" s="192" t="s">
        <v>169</v>
      </c>
      <c r="B25" s="215" t="str">
        <f>VLOOKUP(A25,'Parking Rev'!$A$4:$B$46,2,FALSE)</f>
        <v>ON</v>
      </c>
      <c r="C25" s="215" t="s">
        <v>170</v>
      </c>
      <c r="D25" s="13">
        <v>272.96774193548401</v>
      </c>
      <c r="E25" s="13">
        <v>1838.48</v>
      </c>
      <c r="F25" s="13">
        <f t="shared" ref="F25:F45" si="15">E25/D25</f>
        <v>6.7351548097376472</v>
      </c>
      <c r="G25" s="13">
        <v>272.92857142857099</v>
      </c>
      <c r="H25" s="13">
        <v>1871.85</v>
      </c>
      <c r="I25" s="13">
        <f t="shared" si="7"/>
        <v>6.8583878565820573</v>
      </c>
      <c r="J25" s="13">
        <v>273.06451612903197</v>
      </c>
      <c r="K25" s="13">
        <v>1862.82</v>
      </c>
      <c r="L25" s="13">
        <f t="shared" si="8"/>
        <v>6.821904311872423</v>
      </c>
      <c r="M25" s="13">
        <v>271.66666666666703</v>
      </c>
      <c r="N25" s="13">
        <v>1934.08</v>
      </c>
      <c r="O25" s="13">
        <f t="shared" si="9"/>
        <v>7.1193128834355734</v>
      </c>
      <c r="P25" s="13">
        <v>270.806451612903</v>
      </c>
      <c r="Q25" s="13">
        <v>1929.33</v>
      </c>
      <c r="R25" s="13">
        <f t="shared" si="10"/>
        <v>7.1243871351995294</v>
      </c>
      <c r="S25" s="13">
        <v>273.39999999999998</v>
      </c>
      <c r="T25" s="13">
        <v>2130.9699999999998</v>
      </c>
      <c r="U25" s="13">
        <f t="shared" si="11"/>
        <v>7.7943306510607169</v>
      </c>
      <c r="V25" s="13">
        <v>275.70967741935499</v>
      </c>
      <c r="W25" s="13">
        <v>2136.38</v>
      </c>
      <c r="X25" s="43">
        <f t="shared" si="12"/>
        <v>7.7486580086580048</v>
      </c>
      <c r="Y25" s="3">
        <v>277.74193548387098</v>
      </c>
      <c r="Z25" s="13">
        <v>2136.38</v>
      </c>
      <c r="AA25" s="42">
        <f t="shared" si="13"/>
        <v>7.6919605110336819</v>
      </c>
      <c r="AB25" s="44">
        <v>31</v>
      </c>
      <c r="AC25" s="44">
        <v>194</v>
      </c>
      <c r="AD25" s="82">
        <f t="shared" si="14"/>
        <v>6.258064516129032</v>
      </c>
      <c r="AE25" s="80"/>
      <c r="AF25" s="81">
        <v>20</v>
      </c>
      <c r="AG25" s="81">
        <v>20</v>
      </c>
      <c r="AH25" s="81"/>
      <c r="AI25" s="81"/>
      <c r="AJ25" s="81"/>
      <c r="AK25" s="97">
        <f t="shared" si="1"/>
        <v>20</v>
      </c>
      <c r="AL25" s="97">
        <f t="shared" si="2"/>
        <v>0</v>
      </c>
      <c r="AM25" s="106" t="s">
        <v>251</v>
      </c>
      <c r="AN25" s="104"/>
      <c r="AO25" s="104">
        <v>167</v>
      </c>
      <c r="AP25" s="104"/>
      <c r="AQ25" s="104">
        <v>168</v>
      </c>
      <c r="AR25" s="104">
        <v>156</v>
      </c>
      <c r="AS25" s="105">
        <v>175</v>
      </c>
      <c r="AT25" s="105">
        <v>175</v>
      </c>
      <c r="AU25" s="105">
        <v>174</v>
      </c>
      <c r="AV25" s="105">
        <v>173</v>
      </c>
      <c r="AW25" s="105">
        <v>171</v>
      </c>
      <c r="AX25" s="54">
        <v>20</v>
      </c>
      <c r="AY25" s="44">
        <v>20</v>
      </c>
      <c r="AZ25" s="44"/>
      <c r="BA25" s="44"/>
      <c r="BB25" s="44"/>
      <c r="BC25" s="66">
        <f t="shared" si="3"/>
        <v>20</v>
      </c>
      <c r="BD25" s="66">
        <f t="shared" si="4"/>
        <v>0</v>
      </c>
      <c r="BE25" s="54" t="s">
        <v>251</v>
      </c>
      <c r="BF25" s="112"/>
      <c r="BG25" s="124">
        <v>25</v>
      </c>
      <c r="BH25" s="124">
        <v>35</v>
      </c>
      <c r="BI25" s="124">
        <v>0</v>
      </c>
      <c r="BJ25" s="124">
        <v>0</v>
      </c>
      <c r="BK25" s="124">
        <v>18</v>
      </c>
      <c r="BL25" s="115">
        <f t="shared" si="5"/>
        <v>13.25</v>
      </c>
      <c r="BM25" s="115"/>
      <c r="BN25" s="112" t="s">
        <v>252</v>
      </c>
      <c r="BO25" s="105">
        <v>171</v>
      </c>
      <c r="BP25" s="105">
        <v>171</v>
      </c>
      <c r="BQ25" s="105">
        <v>171</v>
      </c>
    </row>
    <row r="26" spans="1:69" x14ac:dyDescent="0.3">
      <c r="A26" s="192" t="s">
        <v>190</v>
      </c>
      <c r="B26" s="215" t="str">
        <f>VLOOKUP(A26,'Parking Rev'!$A$4:$B$46,2,FALSE)</f>
        <v>ON</v>
      </c>
      <c r="C26" s="215" t="s">
        <v>191</v>
      </c>
      <c r="D26" s="13">
        <v>177.322580645161</v>
      </c>
      <c r="E26" s="13">
        <v>1372.41</v>
      </c>
      <c r="F26" s="13">
        <f t="shared" si="15"/>
        <v>7.7396234309623564</v>
      </c>
      <c r="G26" s="13">
        <v>183.92857142857099</v>
      </c>
      <c r="H26" s="13">
        <v>1192.4100000000001</v>
      </c>
      <c r="I26" s="13">
        <f t="shared" si="7"/>
        <v>6.4830058252427341</v>
      </c>
      <c r="J26" s="13">
        <v>190.064516129032</v>
      </c>
      <c r="K26" s="13">
        <v>1282.4100000000001</v>
      </c>
      <c r="L26" s="13">
        <f t="shared" si="8"/>
        <v>6.7472352342158954</v>
      </c>
      <c r="M26" s="13">
        <v>188.36666666666699</v>
      </c>
      <c r="N26" s="13">
        <v>1206.31</v>
      </c>
      <c r="O26" s="13">
        <f t="shared" si="9"/>
        <v>6.4040523801097038</v>
      </c>
      <c r="P26" s="13">
        <v>186.48387096774201</v>
      </c>
      <c r="Q26" s="13">
        <v>1166.31</v>
      </c>
      <c r="R26" s="13">
        <f t="shared" si="10"/>
        <v>6.2542138038401633</v>
      </c>
      <c r="S26" s="13">
        <v>191.9</v>
      </c>
      <c r="T26" s="13">
        <v>1189.29</v>
      </c>
      <c r="U26" s="13">
        <f t="shared" si="11"/>
        <v>6.197446586763939</v>
      </c>
      <c r="V26" s="13">
        <v>195.29032258064501</v>
      </c>
      <c r="W26" s="13">
        <v>1476.8</v>
      </c>
      <c r="X26" s="43">
        <f t="shared" si="12"/>
        <v>7.5620746613809109</v>
      </c>
      <c r="Y26" s="3">
        <v>199.193548387097</v>
      </c>
      <c r="Z26" s="13">
        <v>1476.8</v>
      </c>
      <c r="AA26" s="42">
        <f t="shared" si="13"/>
        <v>7.4138947368420967</v>
      </c>
      <c r="AB26" s="44">
        <v>64</v>
      </c>
      <c r="AC26" s="44">
        <v>50</v>
      </c>
      <c r="AD26" s="82">
        <f t="shared" si="14"/>
        <v>0.78125</v>
      </c>
      <c r="AE26" s="80"/>
      <c r="AF26" s="81">
        <v>25</v>
      </c>
      <c r="AG26" s="81">
        <v>50</v>
      </c>
      <c r="AH26" s="81"/>
      <c r="AI26" s="81"/>
      <c r="AJ26" s="81"/>
      <c r="AK26" s="97">
        <f t="shared" si="1"/>
        <v>50</v>
      </c>
      <c r="AL26" s="97">
        <f t="shared" si="2"/>
        <v>-25</v>
      </c>
      <c r="AM26" s="106"/>
      <c r="AN26" s="104"/>
      <c r="AO26" s="104">
        <v>43</v>
      </c>
      <c r="AP26" s="104"/>
      <c r="AQ26" s="104">
        <v>39</v>
      </c>
      <c r="AR26" s="104"/>
      <c r="AS26" s="105">
        <v>35</v>
      </c>
      <c r="AT26" s="105">
        <v>35</v>
      </c>
      <c r="AU26" s="105">
        <v>35</v>
      </c>
      <c r="AV26" s="105">
        <v>34</v>
      </c>
      <c r="AW26" s="105">
        <v>34</v>
      </c>
      <c r="AX26" s="54">
        <v>25</v>
      </c>
      <c r="AY26" s="44">
        <v>50</v>
      </c>
      <c r="AZ26" s="44"/>
      <c r="BA26" s="44"/>
      <c r="BB26" s="44"/>
      <c r="BC26" s="66">
        <f t="shared" si="3"/>
        <v>50</v>
      </c>
      <c r="BD26" s="66">
        <f t="shared" si="4"/>
        <v>-25</v>
      </c>
      <c r="BE26" s="54"/>
      <c r="BF26" s="112"/>
      <c r="BG26" s="124">
        <v>25</v>
      </c>
      <c r="BH26" s="124">
        <v>0</v>
      </c>
      <c r="BI26" s="124">
        <v>0</v>
      </c>
      <c r="BJ26" s="124">
        <v>0</v>
      </c>
      <c r="BK26" s="124"/>
      <c r="BL26" s="115">
        <f t="shared" si="5"/>
        <v>0</v>
      </c>
      <c r="BM26" s="115" t="s">
        <v>253</v>
      </c>
      <c r="BN26" s="112" t="s">
        <v>254</v>
      </c>
      <c r="BO26" s="105">
        <v>34</v>
      </c>
      <c r="BP26" s="105">
        <v>34</v>
      </c>
      <c r="BQ26" s="105">
        <v>33</v>
      </c>
    </row>
    <row r="27" spans="1:69" x14ac:dyDescent="0.3">
      <c r="A27" s="192" t="s">
        <v>146</v>
      </c>
      <c r="B27" s="215" t="str">
        <f>VLOOKUP(A27,'Parking Rev'!$A$4:$B$46,2,FALSE)</f>
        <v>ON</v>
      </c>
      <c r="C27" s="215" t="s">
        <v>147</v>
      </c>
      <c r="D27" s="13">
        <v>103</v>
      </c>
      <c r="E27" s="13">
        <v>140.61000000000001</v>
      </c>
      <c r="F27" s="13">
        <f t="shared" si="15"/>
        <v>1.3651456310679613</v>
      </c>
      <c r="G27" s="13">
        <v>103</v>
      </c>
      <c r="H27" s="13">
        <v>140.61000000000001</v>
      </c>
      <c r="I27" s="13">
        <f t="shared" si="7"/>
        <v>1.3651456310679613</v>
      </c>
      <c r="J27" s="13">
        <v>103</v>
      </c>
      <c r="K27" s="13">
        <v>140.61000000000001</v>
      </c>
      <c r="L27" s="13">
        <f t="shared" si="8"/>
        <v>1.3651456310679613</v>
      </c>
      <c r="M27" s="13">
        <v>104.533333333333</v>
      </c>
      <c r="N27" s="13">
        <v>140.61000000000001</v>
      </c>
      <c r="O27" s="13">
        <f t="shared" si="9"/>
        <v>1.3451211734693922</v>
      </c>
      <c r="P27" s="13">
        <v>104.935483870968</v>
      </c>
      <c r="Q27" s="13">
        <v>140.61000000000001</v>
      </c>
      <c r="R27" s="13">
        <f t="shared" si="10"/>
        <v>1.3399661850599416</v>
      </c>
      <c r="S27" s="13">
        <v>103.966666666667</v>
      </c>
      <c r="T27" s="13">
        <v>140.61000000000001</v>
      </c>
      <c r="U27" s="13">
        <f t="shared" si="11"/>
        <v>1.3524527092016632</v>
      </c>
      <c r="V27" s="13">
        <v>102.225806451613</v>
      </c>
      <c r="W27" s="13">
        <v>140.61000000000001</v>
      </c>
      <c r="X27" s="43">
        <f t="shared" si="12"/>
        <v>1.3754843799305763</v>
      </c>
      <c r="Y27" s="3">
        <v>100</v>
      </c>
      <c r="Z27" s="13">
        <v>140.61000000000001</v>
      </c>
      <c r="AA27" s="42">
        <f t="shared" si="13"/>
        <v>1.4061000000000001</v>
      </c>
      <c r="AB27" s="44">
        <v>29</v>
      </c>
      <c r="AC27" s="44">
        <v>29</v>
      </c>
      <c r="AD27" s="82">
        <f t="shared" si="14"/>
        <v>1</v>
      </c>
      <c r="AE27" s="80"/>
      <c r="AF27" s="81">
        <v>40</v>
      </c>
      <c r="AG27" s="81">
        <v>50</v>
      </c>
      <c r="AH27" s="81">
        <v>70</v>
      </c>
      <c r="AI27" s="81"/>
      <c r="AJ27" s="81"/>
      <c r="AK27" s="97">
        <f t="shared" si="1"/>
        <v>60</v>
      </c>
      <c r="AL27" s="97">
        <f t="shared" si="2"/>
        <v>-20</v>
      </c>
      <c r="AM27" s="106" t="s">
        <v>255</v>
      </c>
      <c r="AN27" s="104"/>
      <c r="AO27" s="104">
        <v>23</v>
      </c>
      <c r="AP27" s="104"/>
      <c r="AQ27" s="104">
        <v>24</v>
      </c>
      <c r="AR27" s="104">
        <v>20</v>
      </c>
      <c r="AS27" s="105">
        <v>24</v>
      </c>
      <c r="AT27" s="105">
        <v>24</v>
      </c>
      <c r="AU27" s="105">
        <v>24</v>
      </c>
      <c r="AV27" s="105">
        <v>24</v>
      </c>
      <c r="AW27" s="105">
        <v>24</v>
      </c>
      <c r="AX27" s="54">
        <v>40</v>
      </c>
      <c r="AY27" s="44">
        <v>50</v>
      </c>
      <c r="AZ27" s="44">
        <v>70</v>
      </c>
      <c r="BA27" s="44"/>
      <c r="BB27" s="44"/>
      <c r="BC27" s="66">
        <f t="shared" si="3"/>
        <v>60</v>
      </c>
      <c r="BD27" s="66">
        <f t="shared" si="4"/>
        <v>-20</v>
      </c>
      <c r="BE27" s="54" t="s">
        <v>255</v>
      </c>
      <c r="BF27" s="112"/>
      <c r="BG27" s="124">
        <v>25</v>
      </c>
      <c r="BH27" s="124"/>
      <c r="BI27" s="124"/>
      <c r="BJ27" s="124"/>
      <c r="BK27" s="124"/>
      <c r="BL27" s="115">
        <f t="shared" si="5"/>
        <v>0</v>
      </c>
      <c r="BM27" s="115"/>
      <c r="BN27" s="112" t="s">
        <v>256</v>
      </c>
      <c r="BO27" s="105">
        <v>24</v>
      </c>
      <c r="BP27" s="105">
        <v>24</v>
      </c>
      <c r="BQ27" s="105">
        <v>23</v>
      </c>
    </row>
    <row r="28" spans="1:69" x14ac:dyDescent="0.3">
      <c r="A28" s="192" t="s">
        <v>185</v>
      </c>
      <c r="B28" s="215" t="str">
        <f>VLOOKUP(A28,'Parking Rev'!$A$4:$B$46,2,FALSE)</f>
        <v>ON</v>
      </c>
      <c r="C28" s="274" t="s">
        <v>186</v>
      </c>
      <c r="D28" s="13">
        <v>160.96774193548401</v>
      </c>
      <c r="E28" s="13">
        <v>989.79</v>
      </c>
      <c r="F28" s="13">
        <f t="shared" si="15"/>
        <v>6.1489959919839619</v>
      </c>
      <c r="G28" s="13">
        <v>160.17857142857099</v>
      </c>
      <c r="H28" s="13">
        <v>914.79</v>
      </c>
      <c r="I28" s="13">
        <f t="shared" si="7"/>
        <v>5.711063545150517</v>
      </c>
      <c r="J28" s="13">
        <v>163.03225806451599</v>
      </c>
      <c r="K28" s="13">
        <v>824.79</v>
      </c>
      <c r="L28" s="13">
        <f t="shared" si="8"/>
        <v>5.0590601503759443</v>
      </c>
      <c r="M28" s="13">
        <v>163.26666666666699</v>
      </c>
      <c r="N28" s="13">
        <v>914.79</v>
      </c>
      <c r="O28" s="13">
        <f t="shared" si="9"/>
        <v>5.6030420579828384</v>
      </c>
      <c r="P28" s="13">
        <v>163.35483870967701</v>
      </c>
      <c r="Q28" s="13">
        <v>914.79</v>
      </c>
      <c r="R28" s="13">
        <f t="shared" si="10"/>
        <v>5.6000177725118618</v>
      </c>
      <c r="S28" s="13">
        <v>164.3</v>
      </c>
      <c r="T28" s="13">
        <v>964.79</v>
      </c>
      <c r="U28" s="13">
        <f t="shared" si="11"/>
        <v>5.8721241631162497</v>
      </c>
      <c r="V28" s="13">
        <v>163.935483870968</v>
      </c>
      <c r="W28" s="13">
        <v>974.46</v>
      </c>
      <c r="X28" s="43">
        <f t="shared" si="12"/>
        <v>5.9441676505312779</v>
      </c>
      <c r="Y28" s="3">
        <v>163.129032258065</v>
      </c>
      <c r="Z28" s="13">
        <v>974.46</v>
      </c>
      <c r="AA28" s="42">
        <f t="shared" si="13"/>
        <v>5.9735534902115708</v>
      </c>
      <c r="AB28" s="44">
        <v>110</v>
      </c>
      <c r="AC28" s="44">
        <v>95</v>
      </c>
      <c r="AD28" s="82">
        <f t="shared" si="14"/>
        <v>0.86363636363636365</v>
      </c>
      <c r="AE28" s="80"/>
      <c r="AF28" s="81">
        <v>25</v>
      </c>
      <c r="AG28" s="81"/>
      <c r="AH28" s="81"/>
      <c r="AI28" s="81"/>
      <c r="AJ28" s="81"/>
      <c r="AK28" s="97">
        <f t="shared" si="1"/>
        <v>0</v>
      </c>
      <c r="AL28" s="97">
        <f t="shared" si="2"/>
        <v>25</v>
      </c>
      <c r="AM28" s="106" t="s">
        <v>257</v>
      </c>
      <c r="AN28" s="104">
        <v>96</v>
      </c>
      <c r="AO28" s="104">
        <v>74</v>
      </c>
      <c r="AP28" s="104"/>
      <c r="AQ28" s="104">
        <v>77</v>
      </c>
      <c r="AR28" s="104">
        <v>76</v>
      </c>
      <c r="AS28" s="105">
        <v>78</v>
      </c>
      <c r="AT28" s="105">
        <v>78</v>
      </c>
      <c r="AU28" s="105">
        <v>78</v>
      </c>
      <c r="AV28" s="105">
        <v>78</v>
      </c>
      <c r="AW28" s="105">
        <v>77</v>
      </c>
      <c r="AX28" s="54">
        <v>25</v>
      </c>
      <c r="AY28" s="44"/>
      <c r="AZ28" s="44"/>
      <c r="BA28" s="44"/>
      <c r="BB28" s="44"/>
      <c r="BC28" s="66">
        <f t="shared" si="3"/>
        <v>0</v>
      </c>
      <c r="BD28" s="66">
        <f t="shared" si="4"/>
        <v>25</v>
      </c>
      <c r="BE28" s="54" t="s">
        <v>257</v>
      </c>
      <c r="BF28" s="112"/>
      <c r="BG28" s="124">
        <v>25</v>
      </c>
      <c r="BH28" s="124" t="s">
        <v>258</v>
      </c>
      <c r="BI28" s="124" t="s">
        <v>259</v>
      </c>
      <c r="BJ28" s="124">
        <v>0</v>
      </c>
      <c r="BK28" s="124" t="s">
        <v>259</v>
      </c>
      <c r="BL28" s="115">
        <f t="shared" si="5"/>
        <v>0</v>
      </c>
      <c r="BM28" s="115">
        <v>25</v>
      </c>
      <c r="BN28" s="112"/>
      <c r="BO28" s="105">
        <v>77</v>
      </c>
      <c r="BP28" s="105">
        <v>77</v>
      </c>
      <c r="BQ28" s="105">
        <v>75</v>
      </c>
    </row>
    <row r="29" spans="1:69" x14ac:dyDescent="0.3">
      <c r="A29" s="192" t="s">
        <v>154</v>
      </c>
      <c r="B29" s="215" t="str">
        <f>VLOOKUP(A29,'Parking Rev'!$A$4:$B$46,2,FALSE)</f>
        <v>ON</v>
      </c>
      <c r="C29" s="215" t="s">
        <v>155</v>
      </c>
      <c r="D29" s="13">
        <v>146.35483870967701</v>
      </c>
      <c r="E29" s="13">
        <v>855.58</v>
      </c>
      <c r="F29" s="13">
        <f t="shared" si="15"/>
        <v>5.8459290279920815</v>
      </c>
      <c r="G29" s="13">
        <v>145.96428571428601</v>
      </c>
      <c r="H29" s="13">
        <v>851.43</v>
      </c>
      <c r="I29" s="13">
        <f t="shared" si="7"/>
        <v>5.833139221923159</v>
      </c>
      <c r="J29" s="13">
        <v>145.54838709677401</v>
      </c>
      <c r="K29" s="13">
        <v>795.02</v>
      </c>
      <c r="L29" s="13">
        <f t="shared" si="8"/>
        <v>5.4622384751773119</v>
      </c>
      <c r="M29" s="13">
        <v>148.833333333333</v>
      </c>
      <c r="N29" s="13">
        <v>831.35</v>
      </c>
      <c r="O29" s="13">
        <f t="shared" si="9"/>
        <v>5.5857782754759366</v>
      </c>
      <c r="P29" s="13">
        <v>149.935483870968</v>
      </c>
      <c r="Q29" s="13">
        <v>850.02</v>
      </c>
      <c r="R29" s="13">
        <f t="shared" si="10"/>
        <v>5.6692383820998185</v>
      </c>
      <c r="S29" s="13">
        <v>149.6</v>
      </c>
      <c r="T29" s="13">
        <v>850.02</v>
      </c>
      <c r="U29" s="13">
        <f t="shared" si="11"/>
        <v>5.6819518716577537</v>
      </c>
      <c r="V29" s="13">
        <v>150</v>
      </c>
      <c r="W29" s="13">
        <v>890.02</v>
      </c>
      <c r="X29" s="43">
        <f t="shared" si="12"/>
        <v>5.9334666666666669</v>
      </c>
      <c r="Y29" s="3">
        <v>149.96774193548401</v>
      </c>
      <c r="Z29" s="13">
        <v>890.02</v>
      </c>
      <c r="AA29" s="42">
        <f t="shared" si="13"/>
        <v>5.9347429554742899</v>
      </c>
      <c r="AB29" s="44">
        <v>26</v>
      </c>
      <c r="AC29" s="44">
        <v>20</v>
      </c>
      <c r="AD29" s="82">
        <f t="shared" si="14"/>
        <v>0.76923076923076927</v>
      </c>
      <c r="AE29" s="80"/>
      <c r="AF29" s="81">
        <v>40</v>
      </c>
      <c r="AG29" s="81">
        <v>35</v>
      </c>
      <c r="AH29" s="81"/>
      <c r="AI29" s="81"/>
      <c r="AJ29" s="81"/>
      <c r="AK29" s="97">
        <f t="shared" si="1"/>
        <v>35</v>
      </c>
      <c r="AL29" s="97">
        <f t="shared" si="2"/>
        <v>5</v>
      </c>
      <c r="AM29" s="106" t="s">
        <v>260</v>
      </c>
      <c r="AN29" s="104">
        <v>22</v>
      </c>
      <c r="AO29" s="104">
        <v>21</v>
      </c>
      <c r="AP29" s="104"/>
      <c r="AQ29" s="104">
        <v>22</v>
      </c>
      <c r="AR29" s="104">
        <v>21</v>
      </c>
      <c r="AS29" s="105">
        <v>19</v>
      </c>
      <c r="AT29" s="105">
        <v>19</v>
      </c>
      <c r="AU29" s="105">
        <v>18</v>
      </c>
      <c r="AV29" s="105">
        <v>18</v>
      </c>
      <c r="AW29" s="105">
        <v>18</v>
      </c>
      <c r="AX29" s="54">
        <v>40</v>
      </c>
      <c r="AY29" s="44">
        <v>35</v>
      </c>
      <c r="AZ29" s="44"/>
      <c r="BA29" s="44"/>
      <c r="BB29" s="44"/>
      <c r="BC29" s="66">
        <f t="shared" si="3"/>
        <v>35</v>
      </c>
      <c r="BD29" s="66">
        <f t="shared" si="4"/>
        <v>5</v>
      </c>
      <c r="BE29" s="54" t="s">
        <v>260</v>
      </c>
      <c r="BF29" s="112"/>
      <c r="BG29" s="124">
        <v>40</v>
      </c>
      <c r="BH29" s="124"/>
      <c r="BI29" s="124"/>
      <c r="BJ29" s="124"/>
      <c r="BK29" s="124"/>
      <c r="BL29" s="115">
        <f t="shared" si="5"/>
        <v>0</v>
      </c>
      <c r="BM29" s="115"/>
      <c r="BN29" s="112"/>
      <c r="BO29" s="105">
        <v>18</v>
      </c>
      <c r="BP29" s="105">
        <v>18</v>
      </c>
      <c r="BQ29" s="105">
        <v>15</v>
      </c>
    </row>
    <row r="30" spans="1:69" x14ac:dyDescent="0.3">
      <c r="A30" s="192" t="s">
        <v>159</v>
      </c>
      <c r="B30" s="215" t="str">
        <f>VLOOKUP(A30,'Parking Rev'!$A$4:$B$46,2,FALSE)</f>
        <v>ON</v>
      </c>
      <c r="C30" s="215" t="s">
        <v>160</v>
      </c>
      <c r="D30" s="13">
        <v>263.90322580645199</v>
      </c>
      <c r="E30" s="13">
        <v>2985.3</v>
      </c>
      <c r="F30" s="13">
        <f t="shared" si="15"/>
        <v>11.312101210120996</v>
      </c>
      <c r="G30" s="13">
        <v>261.71428571428601</v>
      </c>
      <c r="H30" s="13">
        <v>3074.42</v>
      </c>
      <c r="I30" s="13">
        <f t="shared" si="7"/>
        <v>11.747237991266363</v>
      </c>
      <c r="J30" s="13">
        <v>260.90322580645199</v>
      </c>
      <c r="K30" s="13">
        <v>2949.65</v>
      </c>
      <c r="L30" s="13">
        <f t="shared" si="8"/>
        <v>11.305532888229459</v>
      </c>
      <c r="M30" s="13">
        <v>263.96666666666698</v>
      </c>
      <c r="N30" s="13">
        <v>3088.26</v>
      </c>
      <c r="O30" s="13">
        <f t="shared" si="9"/>
        <v>11.699431746432618</v>
      </c>
      <c r="P30" s="13">
        <v>266.22580645161298</v>
      </c>
      <c r="Q30" s="13">
        <v>2960.52</v>
      </c>
      <c r="R30" s="13">
        <f t="shared" si="10"/>
        <v>11.12033442384587</v>
      </c>
      <c r="S30" s="13">
        <v>264</v>
      </c>
      <c r="T30" s="13">
        <v>2948.71</v>
      </c>
      <c r="U30" s="13">
        <f t="shared" si="11"/>
        <v>11.169356060606061</v>
      </c>
      <c r="V30" s="13">
        <v>263.87096774193498</v>
      </c>
      <c r="W30" s="13">
        <v>2967.33</v>
      </c>
      <c r="X30" s="43">
        <f t="shared" si="12"/>
        <v>11.245382640586818</v>
      </c>
      <c r="Y30" s="3">
        <v>265.74193548387098</v>
      </c>
      <c r="Z30" s="13">
        <v>2967.33</v>
      </c>
      <c r="AA30" s="42">
        <f t="shared" si="13"/>
        <v>11.16620903131828</v>
      </c>
      <c r="AB30" s="44">
        <v>294</v>
      </c>
      <c r="AC30" s="44">
        <v>283</v>
      </c>
      <c r="AD30" s="82">
        <f t="shared" si="14"/>
        <v>0.9625850340136054</v>
      </c>
      <c r="AE30" s="80"/>
      <c r="AF30" s="81">
        <v>40</v>
      </c>
      <c r="AG30" s="81">
        <v>50</v>
      </c>
      <c r="AH30" s="81">
        <v>70</v>
      </c>
      <c r="AI30" s="81"/>
      <c r="AJ30" s="81"/>
      <c r="AK30" s="97">
        <f t="shared" si="1"/>
        <v>60</v>
      </c>
      <c r="AL30" s="97">
        <f t="shared" si="2"/>
        <v>-20</v>
      </c>
      <c r="AM30" s="106" t="s">
        <v>261</v>
      </c>
      <c r="AN30" s="104">
        <v>232</v>
      </c>
      <c r="AO30" s="104">
        <v>211</v>
      </c>
      <c r="AP30" s="104"/>
      <c r="AQ30" s="104">
        <v>206</v>
      </c>
      <c r="AR30" s="104"/>
      <c r="AS30" s="105">
        <v>211</v>
      </c>
      <c r="AT30" s="105">
        <v>211</v>
      </c>
      <c r="AU30" s="105">
        <v>211</v>
      </c>
      <c r="AV30" s="105">
        <v>208</v>
      </c>
      <c r="AW30" s="105">
        <v>206</v>
      </c>
      <c r="AX30" s="54">
        <v>40</v>
      </c>
      <c r="AY30" s="44">
        <v>50</v>
      </c>
      <c r="AZ30" s="44">
        <v>70</v>
      </c>
      <c r="BA30" s="44"/>
      <c r="BB30" s="44"/>
      <c r="BC30" s="66">
        <f t="shared" si="3"/>
        <v>60</v>
      </c>
      <c r="BD30" s="66">
        <f t="shared" si="4"/>
        <v>-20</v>
      </c>
      <c r="BE30" s="54" t="s">
        <v>261</v>
      </c>
      <c r="BF30" s="112"/>
      <c r="BG30" s="124">
        <v>45</v>
      </c>
      <c r="BH30" s="124"/>
      <c r="BI30" s="124"/>
      <c r="BJ30" s="124"/>
      <c r="BK30" s="124"/>
      <c r="BL30" s="115">
        <f t="shared" si="5"/>
        <v>0</v>
      </c>
      <c r="BM30" s="115"/>
      <c r="BN30" s="112" t="s">
        <v>262</v>
      </c>
      <c r="BO30" s="105">
        <v>206</v>
      </c>
      <c r="BP30" s="105">
        <v>206</v>
      </c>
      <c r="BQ30" s="105">
        <v>212</v>
      </c>
    </row>
    <row r="31" spans="1:69" x14ac:dyDescent="0.3">
      <c r="A31" s="192" t="s">
        <v>138</v>
      </c>
      <c r="B31" s="215" t="str">
        <f>VLOOKUP(A31,'Parking Rev'!$A$4:$B$46,2,FALSE)</f>
        <v>ON</v>
      </c>
      <c r="C31" s="215" t="s">
        <v>139</v>
      </c>
      <c r="D31" s="13">
        <v>266.09677419354801</v>
      </c>
      <c r="E31" s="13">
        <v>834.96</v>
      </c>
      <c r="F31" s="13">
        <f t="shared" si="15"/>
        <v>3.1378057946417792</v>
      </c>
      <c r="G31" s="13">
        <v>263.03571428571399</v>
      </c>
      <c r="H31" s="13">
        <v>834.96</v>
      </c>
      <c r="I31" s="13">
        <f t="shared" si="7"/>
        <v>3.1743217922606961</v>
      </c>
      <c r="J31" s="13">
        <v>262.77419354838702</v>
      </c>
      <c r="K31" s="13">
        <v>834.96</v>
      </c>
      <c r="L31" s="13">
        <f t="shared" si="8"/>
        <v>3.1774809722563231</v>
      </c>
      <c r="M31" s="13">
        <v>257.86666666666702</v>
      </c>
      <c r="N31" s="13">
        <v>834.96</v>
      </c>
      <c r="O31" s="13">
        <f t="shared" si="9"/>
        <v>3.2379524301964797</v>
      </c>
      <c r="P31" s="13">
        <v>259.677419354839</v>
      </c>
      <c r="Q31" s="13">
        <v>818.6</v>
      </c>
      <c r="R31" s="13">
        <f t="shared" si="10"/>
        <v>3.1523726708074498</v>
      </c>
      <c r="S31" s="13">
        <v>262.46666666666698</v>
      </c>
      <c r="T31" s="13">
        <v>850.28</v>
      </c>
      <c r="U31" s="13">
        <f t="shared" si="11"/>
        <v>3.2395732791465544</v>
      </c>
      <c r="V31" s="13">
        <v>262.48387096774201</v>
      </c>
      <c r="W31" s="13">
        <v>881.97</v>
      </c>
      <c r="X31" s="43">
        <f t="shared" si="12"/>
        <v>3.360092171562</v>
      </c>
      <c r="Y31" s="3">
        <v>263.87096774193498</v>
      </c>
      <c r="Z31" s="13">
        <v>881.97</v>
      </c>
      <c r="AA31" s="42">
        <f t="shared" si="13"/>
        <v>3.3424290953545297</v>
      </c>
      <c r="AB31" s="44">
        <v>36</v>
      </c>
      <c r="AC31" s="44">
        <v>29</v>
      </c>
      <c r="AD31" s="82">
        <f t="shared" si="14"/>
        <v>0.80555555555555558</v>
      </c>
      <c r="AE31" s="80"/>
      <c r="AF31" s="81">
        <v>45</v>
      </c>
      <c r="AG31" s="81">
        <v>35</v>
      </c>
      <c r="AH31" s="81">
        <v>35</v>
      </c>
      <c r="AI31" s="81"/>
      <c r="AJ31" s="81"/>
      <c r="AK31" s="97">
        <f t="shared" si="1"/>
        <v>35</v>
      </c>
      <c r="AL31" s="97">
        <f t="shared" si="2"/>
        <v>10</v>
      </c>
      <c r="AM31" s="106" t="s">
        <v>263</v>
      </c>
      <c r="AN31" s="104"/>
      <c r="AO31" s="83">
        <v>0</v>
      </c>
      <c r="AP31" s="104"/>
      <c r="AQ31" s="104"/>
      <c r="AR31" s="104"/>
      <c r="AS31" s="105"/>
      <c r="AT31" s="105"/>
      <c r="AU31" s="105"/>
      <c r="AV31" s="105"/>
      <c r="AW31" s="105"/>
      <c r="AX31" s="54">
        <v>45</v>
      </c>
      <c r="AY31" s="44">
        <v>35</v>
      </c>
      <c r="AZ31" s="44">
        <v>35</v>
      </c>
      <c r="BA31" s="44"/>
      <c r="BB31" s="44"/>
      <c r="BC31" s="66">
        <f t="shared" si="3"/>
        <v>35</v>
      </c>
      <c r="BD31" s="66">
        <f t="shared" si="4"/>
        <v>10</v>
      </c>
      <c r="BE31" s="54" t="s">
        <v>263</v>
      </c>
      <c r="BF31" s="112"/>
      <c r="BG31" s="124">
        <v>45</v>
      </c>
      <c r="BH31" s="124"/>
      <c r="BI31" s="124"/>
      <c r="BJ31" s="124"/>
      <c r="BK31" s="124"/>
      <c r="BL31" s="115">
        <f t="shared" si="5"/>
        <v>0</v>
      </c>
      <c r="BM31" s="115"/>
      <c r="BN31" s="112"/>
      <c r="BO31" s="105"/>
      <c r="BP31" s="105"/>
      <c r="BQ31" s="105"/>
    </row>
    <row r="32" spans="1:69" x14ac:dyDescent="0.3">
      <c r="A32" s="192" t="s">
        <v>172</v>
      </c>
      <c r="B32" s="215" t="str">
        <f>VLOOKUP(A32,'Parking Rev'!$A$4:$B$46,2,FALSE)</f>
        <v>ON</v>
      </c>
      <c r="C32" s="215" t="s">
        <v>173</v>
      </c>
      <c r="D32" s="13">
        <v>351.322580645161</v>
      </c>
      <c r="E32" s="13">
        <v>1209.04</v>
      </c>
      <c r="F32" s="13">
        <f t="shared" si="15"/>
        <v>3.4413956477825756</v>
      </c>
      <c r="G32" s="13">
        <v>352.857142857143</v>
      </c>
      <c r="H32" s="13">
        <v>1209.04</v>
      </c>
      <c r="I32" s="13">
        <f t="shared" si="7"/>
        <v>3.4264291497975692</v>
      </c>
      <c r="J32" s="13">
        <v>348.90322580645199</v>
      </c>
      <c r="K32" s="13">
        <v>1209.04</v>
      </c>
      <c r="L32" s="13">
        <f t="shared" si="8"/>
        <v>3.4652588757396412</v>
      </c>
      <c r="M32" s="13">
        <v>345.933333333333</v>
      </c>
      <c r="N32" s="13">
        <v>1171.51</v>
      </c>
      <c r="O32" s="13">
        <f t="shared" si="9"/>
        <v>3.386519560608984</v>
      </c>
      <c r="P32" s="13">
        <v>345.29032258064501</v>
      </c>
      <c r="Q32" s="13">
        <v>1111.51</v>
      </c>
      <c r="R32" s="13">
        <f t="shared" si="10"/>
        <v>3.2190592301943211</v>
      </c>
      <c r="S32" s="13">
        <v>344.73333333333301</v>
      </c>
      <c r="T32" s="13">
        <v>1111.51</v>
      </c>
      <c r="U32" s="13">
        <f t="shared" si="11"/>
        <v>3.2242602978147392</v>
      </c>
      <c r="V32" s="13">
        <v>338.87096774193498</v>
      </c>
      <c r="W32" s="13">
        <v>1211.51</v>
      </c>
      <c r="X32" s="43">
        <f t="shared" si="12"/>
        <v>3.5751366016182824</v>
      </c>
      <c r="Y32" s="3">
        <v>336.03225806451599</v>
      </c>
      <c r="Z32" s="13">
        <v>1211.51</v>
      </c>
      <c r="AA32" s="42">
        <f t="shared" si="13"/>
        <v>3.605338389171548</v>
      </c>
      <c r="AB32" s="44">
        <v>151</v>
      </c>
      <c r="AC32" s="44">
        <v>145</v>
      </c>
      <c r="AD32" s="82">
        <f t="shared" si="14"/>
        <v>0.96026490066225167</v>
      </c>
      <c r="AE32" s="80"/>
      <c r="AF32" s="81" t="s">
        <v>264</v>
      </c>
      <c r="AG32" s="81"/>
      <c r="AH32" s="81"/>
      <c r="AI32" s="81"/>
      <c r="AJ32" s="81"/>
      <c r="AK32" s="97">
        <f t="shared" si="1"/>
        <v>0</v>
      </c>
      <c r="AL32" s="97">
        <f t="shared" si="2"/>
        <v>0</v>
      </c>
      <c r="AM32" s="106" t="s">
        <v>265</v>
      </c>
      <c r="AN32" s="104"/>
      <c r="AO32" s="83">
        <v>0</v>
      </c>
      <c r="AP32" s="104"/>
      <c r="AQ32" s="104"/>
      <c r="AR32" s="104"/>
      <c r="AS32" s="105"/>
      <c r="AT32" s="105"/>
      <c r="AU32" s="105"/>
      <c r="AV32" s="105"/>
      <c r="AW32" s="105"/>
      <c r="AX32" s="54" t="s">
        <v>264</v>
      </c>
      <c r="AY32" s="44"/>
      <c r="AZ32" s="44"/>
      <c r="BA32" s="44"/>
      <c r="BB32" s="44"/>
      <c r="BC32" s="66">
        <f t="shared" si="3"/>
        <v>0</v>
      </c>
      <c r="BD32" s="66">
        <f t="shared" si="4"/>
        <v>0</v>
      </c>
      <c r="BE32" s="54" t="s">
        <v>265</v>
      </c>
      <c r="BF32" s="112"/>
      <c r="BG32" s="124"/>
      <c r="BH32" s="124"/>
      <c r="BI32" s="124"/>
      <c r="BJ32" s="124"/>
      <c r="BK32" s="124"/>
      <c r="BL32" s="115">
        <f t="shared" si="5"/>
        <v>0</v>
      </c>
      <c r="BM32" s="115"/>
      <c r="BN32" s="112"/>
      <c r="BO32" s="105"/>
      <c r="BP32" s="105"/>
      <c r="BQ32" s="105"/>
    </row>
    <row r="33" spans="1:69" x14ac:dyDescent="0.3">
      <c r="A33" s="192" t="s">
        <v>211</v>
      </c>
      <c r="B33" s="215" t="str">
        <f>VLOOKUP(A33,'Parking Rev'!$A$4:$B$46,2,FALSE)</f>
        <v>ON</v>
      </c>
      <c r="C33" s="215" t="s">
        <v>212</v>
      </c>
      <c r="D33" s="13">
        <v>447.96774193548401</v>
      </c>
      <c r="E33" s="13">
        <v>3418.57</v>
      </c>
      <c r="F33" s="13">
        <f t="shared" si="15"/>
        <v>7.6312860949089059</v>
      </c>
      <c r="G33" s="13">
        <v>440.96428571428601</v>
      </c>
      <c r="H33" s="13">
        <v>3564.51</v>
      </c>
      <c r="I33" s="13">
        <f t="shared" si="7"/>
        <v>8.0834437515185833</v>
      </c>
      <c r="J33" s="13">
        <v>437.83870967741899</v>
      </c>
      <c r="K33" s="13">
        <v>3590.18</v>
      </c>
      <c r="L33" s="13">
        <f t="shared" si="8"/>
        <v>8.1997774994474391</v>
      </c>
      <c r="M33" s="13">
        <v>435.36666666666702</v>
      </c>
      <c r="N33" s="13">
        <v>3332.5</v>
      </c>
      <c r="O33" s="13">
        <f t="shared" si="9"/>
        <v>7.6544674986601269</v>
      </c>
      <c r="P33" s="13">
        <v>439.22580645161298</v>
      </c>
      <c r="Q33" s="13">
        <v>3290.38</v>
      </c>
      <c r="R33" s="13">
        <f t="shared" si="10"/>
        <v>7.4913175675675667</v>
      </c>
      <c r="S33" s="13">
        <v>436.33333333333297</v>
      </c>
      <c r="T33" s="13">
        <v>3408.57</v>
      </c>
      <c r="U33" s="13">
        <f t="shared" si="11"/>
        <v>7.8118487394958054</v>
      </c>
      <c r="V33" s="13">
        <v>442.29032258064501</v>
      </c>
      <c r="W33" s="13">
        <v>3589.43</v>
      </c>
      <c r="X33" s="43">
        <f t="shared" si="12"/>
        <v>8.1155517467726668</v>
      </c>
      <c r="Y33" s="3">
        <v>465.22580645161298</v>
      </c>
      <c r="Z33" s="13">
        <v>3589.43</v>
      </c>
      <c r="AA33" s="42">
        <f t="shared" si="13"/>
        <v>7.7154576341700167</v>
      </c>
      <c r="AB33" s="44">
        <v>229</v>
      </c>
      <c r="AC33" s="44">
        <v>172</v>
      </c>
      <c r="AD33" s="82">
        <f t="shared" si="14"/>
        <v>0.75109170305676853</v>
      </c>
      <c r="AE33" s="80"/>
      <c r="AF33" s="81" t="s">
        <v>266</v>
      </c>
      <c r="AG33" s="81">
        <v>25</v>
      </c>
      <c r="AH33" s="81"/>
      <c r="AI33" s="81"/>
      <c r="AJ33" s="81"/>
      <c r="AK33" s="97">
        <f t="shared" si="1"/>
        <v>25</v>
      </c>
      <c r="AL33" s="97">
        <f t="shared" si="2"/>
        <v>0</v>
      </c>
      <c r="AM33" s="106" t="s">
        <v>267</v>
      </c>
      <c r="AN33" s="104">
        <v>121</v>
      </c>
      <c r="AO33" s="104">
        <f>85+25+23</f>
        <v>133</v>
      </c>
      <c r="AP33" s="104"/>
      <c r="AQ33" s="104">
        <v>151</v>
      </c>
      <c r="AR33" s="104">
        <v>147</v>
      </c>
      <c r="AS33" s="105">
        <f>34+97+25</f>
        <v>156</v>
      </c>
      <c r="AT33" s="105">
        <f>25+96+34</f>
        <v>155</v>
      </c>
      <c r="AU33" s="105">
        <f>35+98+25</f>
        <v>158</v>
      </c>
      <c r="AV33" s="105">
        <v>159</v>
      </c>
      <c r="AW33" s="105">
        <f>38+98+25</f>
        <v>161</v>
      </c>
      <c r="AX33" s="54" t="s">
        <v>266</v>
      </c>
      <c r="AY33" s="44">
        <v>25</v>
      </c>
      <c r="AZ33" s="44"/>
      <c r="BA33" s="44"/>
      <c r="BB33" s="44"/>
      <c r="BC33" s="66">
        <f t="shared" si="3"/>
        <v>25</v>
      </c>
      <c r="BD33" s="66">
        <f t="shared" si="4"/>
        <v>0</v>
      </c>
      <c r="BE33" s="54" t="s">
        <v>267</v>
      </c>
      <c r="BF33" s="112"/>
      <c r="BG33" s="124" t="s">
        <v>268</v>
      </c>
      <c r="BH33" s="124">
        <v>50</v>
      </c>
      <c r="BI33" s="124"/>
      <c r="BJ33" s="124"/>
      <c r="BK33" s="124"/>
      <c r="BL33" s="115">
        <f t="shared" si="5"/>
        <v>50</v>
      </c>
      <c r="BM33" s="115"/>
      <c r="BN33" s="112"/>
      <c r="BO33" s="105">
        <f>38+98+25</f>
        <v>161</v>
      </c>
      <c r="BP33" s="105">
        <f>38+98+25</f>
        <v>161</v>
      </c>
      <c r="BQ33" s="105">
        <f>37+99+22</f>
        <v>158</v>
      </c>
    </row>
    <row r="34" spans="1:69" x14ac:dyDescent="0.3">
      <c r="A34" s="192" t="s">
        <v>198</v>
      </c>
      <c r="B34" s="215" t="str">
        <f>VLOOKUP(A34,'Parking Rev'!$A$4:$B$46,2,FALSE)</f>
        <v>ON</v>
      </c>
      <c r="C34" s="215" t="s">
        <v>199</v>
      </c>
      <c r="D34" s="13">
        <v>224.03225806451599</v>
      </c>
      <c r="E34" s="13">
        <v>1259.26</v>
      </c>
      <c r="F34" s="13">
        <f t="shared" si="15"/>
        <v>5.6208869690424805</v>
      </c>
      <c r="G34" s="13">
        <v>222.71428571428601</v>
      </c>
      <c r="H34" s="13">
        <v>1197.3900000000001</v>
      </c>
      <c r="I34" s="13">
        <f t="shared" si="7"/>
        <v>5.3763502245028798</v>
      </c>
      <c r="J34" s="13">
        <v>220.129032258065</v>
      </c>
      <c r="K34" s="13">
        <v>1108.8900000000001</v>
      </c>
      <c r="L34" s="13">
        <f t="shared" si="8"/>
        <v>5.0374545720984658</v>
      </c>
      <c r="M34" s="13">
        <v>226.7</v>
      </c>
      <c r="N34" s="13">
        <v>1108.8900000000001</v>
      </c>
      <c r="O34" s="13">
        <f t="shared" si="9"/>
        <v>4.8914424349360397</v>
      </c>
      <c r="P34" s="13">
        <v>227.935483870968</v>
      </c>
      <c r="Q34" s="13">
        <v>1070.05</v>
      </c>
      <c r="R34" s="13">
        <f t="shared" si="10"/>
        <v>4.6945301443532355</v>
      </c>
      <c r="S34" s="13">
        <v>229.4</v>
      </c>
      <c r="T34" s="13">
        <v>1069.5</v>
      </c>
      <c r="U34" s="13">
        <f t="shared" si="11"/>
        <v>4.6621621621621623</v>
      </c>
      <c r="V34" s="13">
        <v>230.29032258064501</v>
      </c>
      <c r="W34" s="13">
        <v>1124.06</v>
      </c>
      <c r="X34" s="43">
        <f t="shared" si="12"/>
        <v>4.8810561703319824</v>
      </c>
      <c r="Y34" s="3">
        <v>236.61290322580601</v>
      </c>
      <c r="Z34" s="13">
        <v>1124.06</v>
      </c>
      <c r="AA34" s="42">
        <f t="shared" si="13"/>
        <v>4.750628493524208</v>
      </c>
      <c r="AB34" s="44">
        <v>165</v>
      </c>
      <c r="AC34" s="44">
        <v>246</v>
      </c>
      <c r="AD34" s="82">
        <f t="shared" si="14"/>
        <v>1.490909090909091</v>
      </c>
      <c r="AE34" s="80"/>
      <c r="AF34" s="81">
        <v>25</v>
      </c>
      <c r="AG34" s="81">
        <v>30</v>
      </c>
      <c r="AH34" s="81">
        <v>35</v>
      </c>
      <c r="AI34" s="81"/>
      <c r="AJ34" s="81"/>
      <c r="AK34" s="97">
        <f t="shared" si="1"/>
        <v>32.5</v>
      </c>
      <c r="AL34" s="97">
        <f t="shared" si="2"/>
        <v>-7.5</v>
      </c>
      <c r="AM34" s="106" t="s">
        <v>251</v>
      </c>
      <c r="AN34" s="104">
        <v>86</v>
      </c>
      <c r="AO34" s="104">
        <f>82-21</f>
        <v>61</v>
      </c>
      <c r="AP34" s="104"/>
      <c r="AQ34" s="104">
        <v>85</v>
      </c>
      <c r="AR34" s="104">
        <v>90</v>
      </c>
      <c r="AS34" s="105">
        <v>89</v>
      </c>
      <c r="AT34" s="105">
        <v>89</v>
      </c>
      <c r="AU34" s="105">
        <v>90</v>
      </c>
      <c r="AV34" s="105">
        <v>90</v>
      </c>
      <c r="AW34" s="105">
        <v>95</v>
      </c>
      <c r="AX34" s="54">
        <v>25</v>
      </c>
      <c r="AY34" s="44">
        <v>30</v>
      </c>
      <c r="AZ34" s="44">
        <v>35</v>
      </c>
      <c r="BA34" s="44"/>
      <c r="BB34" s="44"/>
      <c r="BC34" s="66">
        <f t="shared" si="3"/>
        <v>32.5</v>
      </c>
      <c r="BD34" s="66">
        <f t="shared" si="4"/>
        <v>-7.5</v>
      </c>
      <c r="BE34" s="54" t="s">
        <v>251</v>
      </c>
      <c r="BF34" s="112"/>
      <c r="BG34" s="124">
        <v>30</v>
      </c>
      <c r="BH34" s="124">
        <v>55</v>
      </c>
      <c r="BI34" s="124">
        <v>120</v>
      </c>
      <c r="BJ34" s="124">
        <v>80</v>
      </c>
      <c r="BK34" s="124">
        <v>0</v>
      </c>
      <c r="BL34" s="115">
        <f t="shared" si="5"/>
        <v>63.75</v>
      </c>
      <c r="BM34" s="115"/>
      <c r="BN34" s="112" t="s">
        <v>269</v>
      </c>
      <c r="BO34" s="105">
        <v>95</v>
      </c>
      <c r="BP34" s="105">
        <v>95</v>
      </c>
      <c r="BQ34" s="105">
        <v>99</v>
      </c>
    </row>
    <row r="35" spans="1:69" x14ac:dyDescent="0.3">
      <c r="A35" s="192" t="s">
        <v>127</v>
      </c>
      <c r="B35" s="215" t="s">
        <v>128</v>
      </c>
      <c r="C35" s="215" t="s">
        <v>129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43"/>
      <c r="Y35" s="3"/>
      <c r="Z35" s="13"/>
      <c r="AA35" s="42"/>
      <c r="AB35" s="44">
        <v>0</v>
      </c>
      <c r="AC35" s="44">
        <v>0</v>
      </c>
      <c r="AD35" s="82">
        <f t="shared" si="14"/>
        <v>0</v>
      </c>
      <c r="AE35" s="80"/>
      <c r="AF35" s="81" t="s">
        <v>196</v>
      </c>
      <c r="AG35" s="81"/>
      <c r="AH35" s="81"/>
      <c r="AI35" s="81"/>
      <c r="AJ35" s="81"/>
      <c r="AK35" s="97">
        <f t="shared" si="1"/>
        <v>0</v>
      </c>
      <c r="AL35" s="97">
        <f t="shared" si="2"/>
        <v>0</v>
      </c>
      <c r="AM35" s="106" t="s">
        <v>270</v>
      </c>
      <c r="AN35" s="104"/>
      <c r="AO35" s="104">
        <v>0</v>
      </c>
      <c r="AP35" s="104"/>
      <c r="AQ35" s="104"/>
      <c r="AR35" s="104"/>
      <c r="AS35" s="105"/>
      <c r="AT35" s="105"/>
      <c r="AU35" s="105"/>
      <c r="AV35" s="105"/>
      <c r="AW35" s="105"/>
      <c r="AX35" s="54" t="s">
        <v>196</v>
      </c>
      <c r="AY35" s="44"/>
      <c r="AZ35" s="44"/>
      <c r="BA35" s="44"/>
      <c r="BB35" s="44"/>
      <c r="BC35" s="66">
        <f t="shared" si="3"/>
        <v>0</v>
      </c>
      <c r="BD35" s="66">
        <f t="shared" si="4"/>
        <v>0</v>
      </c>
      <c r="BE35" s="54" t="s">
        <v>270</v>
      </c>
      <c r="BF35" s="112"/>
      <c r="BG35" s="124"/>
      <c r="BH35" s="124"/>
      <c r="BI35" s="124"/>
      <c r="BJ35" s="124"/>
      <c r="BK35" s="124"/>
      <c r="BL35" s="115">
        <f t="shared" si="5"/>
        <v>0</v>
      </c>
      <c r="BM35" s="115"/>
      <c r="BN35" s="112"/>
      <c r="BO35" s="105"/>
      <c r="BP35" s="105"/>
      <c r="BQ35" s="105"/>
    </row>
    <row r="36" spans="1:69" x14ac:dyDescent="0.3">
      <c r="A36" s="192" t="s">
        <v>134</v>
      </c>
      <c r="B36" s="215" t="s">
        <v>128</v>
      </c>
      <c r="C36" s="215" t="s">
        <v>135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43"/>
      <c r="Y36" s="3"/>
      <c r="Z36" s="13"/>
      <c r="AA36" s="42"/>
      <c r="AB36" s="44">
        <v>0</v>
      </c>
      <c r="AC36" s="44">
        <v>0</v>
      </c>
      <c r="AD36" s="82">
        <f t="shared" si="14"/>
        <v>0</v>
      </c>
      <c r="AE36" s="80"/>
      <c r="AF36" s="81" t="s">
        <v>196</v>
      </c>
      <c r="AG36" s="81"/>
      <c r="AH36" s="81"/>
      <c r="AI36" s="81"/>
      <c r="AJ36" s="81"/>
      <c r="AK36" s="97">
        <f t="shared" si="1"/>
        <v>0</v>
      </c>
      <c r="AL36" s="97">
        <f t="shared" si="2"/>
        <v>0</v>
      </c>
      <c r="AM36" s="106" t="s">
        <v>271</v>
      </c>
      <c r="AN36" s="104"/>
      <c r="AO36" s="104">
        <v>0</v>
      </c>
      <c r="AP36" s="104"/>
      <c r="AQ36" s="104"/>
      <c r="AR36" s="104"/>
      <c r="AS36" s="105"/>
      <c r="AT36" s="105"/>
      <c r="AU36" s="105"/>
      <c r="AV36" s="105"/>
      <c r="AW36" s="105"/>
      <c r="AX36" s="54" t="s">
        <v>196</v>
      </c>
      <c r="AY36" s="44"/>
      <c r="AZ36" s="44"/>
      <c r="BA36" s="44"/>
      <c r="BB36" s="44"/>
      <c r="BC36" s="66">
        <f t="shared" si="3"/>
        <v>0</v>
      </c>
      <c r="BD36" s="66">
        <f t="shared" si="4"/>
        <v>0</v>
      </c>
      <c r="BE36" s="54" t="s">
        <v>271</v>
      </c>
      <c r="BF36" s="112"/>
      <c r="BG36" s="124" t="s">
        <v>196</v>
      </c>
      <c r="BH36" s="124" t="s">
        <v>196</v>
      </c>
      <c r="BI36" s="124" t="s">
        <v>196</v>
      </c>
      <c r="BJ36" s="124" t="s">
        <v>196</v>
      </c>
      <c r="BK36" s="124" t="s">
        <v>196</v>
      </c>
      <c r="BL36" s="115">
        <f t="shared" si="5"/>
        <v>0</v>
      </c>
      <c r="BM36" s="115" t="s">
        <v>196</v>
      </c>
      <c r="BN36" s="112" t="s">
        <v>272</v>
      </c>
      <c r="BO36" s="105"/>
      <c r="BP36" s="105"/>
      <c r="BQ36" s="105"/>
    </row>
    <row r="37" spans="1:69" x14ac:dyDescent="0.3">
      <c r="A37" s="192" t="s">
        <v>141</v>
      </c>
      <c r="B37" s="215" t="s">
        <v>128</v>
      </c>
      <c r="C37" s="215" t="s">
        <v>142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43"/>
      <c r="Y37" s="3"/>
      <c r="Z37" s="13"/>
      <c r="AA37" s="42"/>
      <c r="AB37" s="44">
        <v>0</v>
      </c>
      <c r="AC37" s="44">
        <v>0</v>
      </c>
      <c r="AD37" s="82">
        <f t="shared" si="14"/>
        <v>0</v>
      </c>
      <c r="AE37" s="80"/>
      <c r="AF37" s="81" t="s">
        <v>196</v>
      </c>
      <c r="AG37" s="81"/>
      <c r="AH37" s="81"/>
      <c r="AI37" s="81"/>
      <c r="AJ37" s="81"/>
      <c r="AK37" s="97">
        <f t="shared" si="1"/>
        <v>0</v>
      </c>
      <c r="AL37" s="97">
        <f t="shared" si="2"/>
        <v>0</v>
      </c>
      <c r="AM37" s="106"/>
      <c r="AN37" s="104">
        <v>0</v>
      </c>
      <c r="AO37" s="104">
        <v>0</v>
      </c>
      <c r="AP37" s="104">
        <v>0</v>
      </c>
      <c r="AQ37" s="104">
        <v>0</v>
      </c>
      <c r="AR37" s="104">
        <v>0</v>
      </c>
      <c r="AS37" s="105"/>
      <c r="AT37" s="105"/>
      <c r="AU37" s="105"/>
      <c r="AV37" s="105"/>
      <c r="AW37" s="105"/>
      <c r="AX37" s="54" t="s">
        <v>196</v>
      </c>
      <c r="AY37" s="44"/>
      <c r="AZ37" s="44"/>
      <c r="BA37" s="44"/>
      <c r="BB37" s="44"/>
      <c r="BC37" s="66">
        <f t="shared" si="3"/>
        <v>0</v>
      </c>
      <c r="BD37" s="66">
        <f t="shared" si="4"/>
        <v>0</v>
      </c>
      <c r="BE37" s="54"/>
      <c r="BF37" s="112"/>
      <c r="BG37" s="280"/>
      <c r="BH37" s="124"/>
      <c r="BI37" s="124"/>
      <c r="BJ37" s="124"/>
      <c r="BK37" s="124"/>
      <c r="BL37" s="115">
        <f t="shared" si="5"/>
        <v>0</v>
      </c>
      <c r="BM37" s="115"/>
      <c r="BN37" s="112" t="s">
        <v>273</v>
      </c>
      <c r="BO37" s="105"/>
      <c r="BP37" s="105"/>
      <c r="BQ37" s="105"/>
    </row>
    <row r="38" spans="1:69" x14ac:dyDescent="0.3">
      <c r="A38" s="192" t="s">
        <v>150</v>
      </c>
      <c r="B38" s="215" t="s">
        <v>128</v>
      </c>
      <c r="C38" s="215" t="s">
        <v>151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43"/>
      <c r="Y38" s="3"/>
      <c r="Z38" s="13"/>
      <c r="AA38" s="42"/>
      <c r="AB38" s="44">
        <v>0</v>
      </c>
      <c r="AC38" s="44">
        <v>0</v>
      </c>
      <c r="AD38" s="82">
        <f t="shared" si="14"/>
        <v>0</v>
      </c>
      <c r="AE38" s="80"/>
      <c r="AF38" s="81" t="s">
        <v>196</v>
      </c>
      <c r="AG38" s="81"/>
      <c r="AH38" s="81"/>
      <c r="AI38" s="81"/>
      <c r="AJ38" s="81"/>
      <c r="AK38" s="97">
        <f t="shared" si="1"/>
        <v>0</v>
      </c>
      <c r="AL38" s="97">
        <f t="shared" si="2"/>
        <v>0</v>
      </c>
      <c r="AM38" s="106" t="s">
        <v>274</v>
      </c>
      <c r="AN38" s="104">
        <v>0</v>
      </c>
      <c r="AO38" s="104">
        <v>0</v>
      </c>
      <c r="AP38" s="104">
        <v>0</v>
      </c>
      <c r="AQ38" s="104">
        <v>0</v>
      </c>
      <c r="AR38" s="104">
        <v>0</v>
      </c>
      <c r="AS38" s="105"/>
      <c r="AT38" s="105"/>
      <c r="AU38" s="105"/>
      <c r="AV38" s="105"/>
      <c r="AW38" s="105"/>
      <c r="AX38" s="54" t="s">
        <v>196</v>
      </c>
      <c r="AY38" s="44"/>
      <c r="AZ38" s="44"/>
      <c r="BA38" s="44"/>
      <c r="BB38" s="44"/>
      <c r="BC38" s="66">
        <f t="shared" si="3"/>
        <v>0</v>
      </c>
      <c r="BD38" s="66">
        <f t="shared" si="4"/>
        <v>0</v>
      </c>
      <c r="BE38" s="54" t="s">
        <v>274</v>
      </c>
      <c r="BF38" s="112"/>
      <c r="BG38" s="124"/>
      <c r="BH38" s="124"/>
      <c r="BI38" s="124"/>
      <c r="BJ38" s="124"/>
      <c r="BK38" s="124"/>
      <c r="BL38" s="115">
        <f t="shared" si="5"/>
        <v>0</v>
      </c>
      <c r="BM38" s="115"/>
      <c r="BN38" s="112" t="s">
        <v>273</v>
      </c>
      <c r="BO38" s="105"/>
      <c r="BP38" s="105"/>
      <c r="BQ38" s="105"/>
    </row>
    <row r="39" spans="1:69" x14ac:dyDescent="0.3">
      <c r="A39" s="192" t="s">
        <v>164</v>
      </c>
      <c r="B39" s="215" t="s">
        <v>128</v>
      </c>
      <c r="C39" s="215" t="s">
        <v>165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43"/>
      <c r="Y39" s="3"/>
      <c r="Z39" s="13"/>
      <c r="AA39" s="42"/>
      <c r="AB39" s="44">
        <v>0</v>
      </c>
      <c r="AC39" s="44">
        <v>0</v>
      </c>
      <c r="AD39" s="82">
        <f t="shared" si="14"/>
        <v>0</v>
      </c>
      <c r="AE39" s="80"/>
      <c r="AF39" s="81" t="s">
        <v>196</v>
      </c>
      <c r="AG39" s="81"/>
      <c r="AH39" s="81"/>
      <c r="AI39" s="81"/>
      <c r="AJ39" s="81"/>
      <c r="AK39" s="97">
        <f t="shared" si="1"/>
        <v>0</v>
      </c>
      <c r="AL39" s="97">
        <f t="shared" si="2"/>
        <v>0</v>
      </c>
      <c r="AM39" s="106" t="s">
        <v>275</v>
      </c>
      <c r="AN39" s="104"/>
      <c r="AO39" s="104">
        <v>0</v>
      </c>
      <c r="AP39" s="104"/>
      <c r="AQ39" s="104"/>
      <c r="AR39" s="104"/>
      <c r="AS39" s="105"/>
      <c r="AT39" s="105"/>
      <c r="AU39" s="105"/>
      <c r="AV39" s="105"/>
      <c r="AW39" s="105"/>
      <c r="AX39" s="54" t="s">
        <v>196</v>
      </c>
      <c r="AY39" s="44"/>
      <c r="AZ39" s="44"/>
      <c r="BA39" s="44"/>
      <c r="BB39" s="44"/>
      <c r="BC39" s="66">
        <f t="shared" si="3"/>
        <v>0</v>
      </c>
      <c r="BD39" s="66">
        <f t="shared" si="4"/>
        <v>0</v>
      </c>
      <c r="BE39" s="54" t="s">
        <v>275</v>
      </c>
      <c r="BF39" s="112"/>
      <c r="BG39" s="124" t="s">
        <v>196</v>
      </c>
      <c r="BH39" s="124" t="s">
        <v>196</v>
      </c>
      <c r="BI39" s="124" t="s">
        <v>196</v>
      </c>
      <c r="BJ39" s="124" t="s">
        <v>196</v>
      </c>
      <c r="BK39" s="124" t="s">
        <v>196</v>
      </c>
      <c r="BL39" s="115">
        <f t="shared" si="5"/>
        <v>0</v>
      </c>
      <c r="BM39" s="115" t="s">
        <v>196</v>
      </c>
      <c r="BN39" s="112" t="s">
        <v>230</v>
      </c>
      <c r="BO39" s="105"/>
      <c r="BP39" s="105"/>
      <c r="BQ39" s="105"/>
    </row>
    <row r="40" spans="1:69" x14ac:dyDescent="0.3">
      <c r="A40" s="192" t="s">
        <v>175</v>
      </c>
      <c r="B40" s="215" t="s">
        <v>128</v>
      </c>
      <c r="C40" s="215" t="s">
        <v>176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43"/>
      <c r="Y40" s="3"/>
      <c r="Z40" s="13"/>
      <c r="AA40" s="42"/>
      <c r="AB40" s="44">
        <v>29</v>
      </c>
      <c r="AC40" s="44">
        <v>28</v>
      </c>
      <c r="AD40" s="82">
        <f t="shared" si="14"/>
        <v>0.96551724137931039</v>
      </c>
      <c r="AE40" s="80"/>
      <c r="AF40" s="81" t="s">
        <v>196</v>
      </c>
      <c r="AG40" s="81"/>
      <c r="AH40" s="81"/>
      <c r="AI40" s="81"/>
      <c r="AJ40" s="81"/>
      <c r="AK40" s="97">
        <f t="shared" si="1"/>
        <v>0</v>
      </c>
      <c r="AL40" s="97">
        <f t="shared" si="2"/>
        <v>0</v>
      </c>
      <c r="AM40" s="106" t="s">
        <v>274</v>
      </c>
      <c r="AN40" s="104">
        <v>28</v>
      </c>
      <c r="AO40" s="104">
        <v>0</v>
      </c>
      <c r="AP40" s="104">
        <v>0</v>
      </c>
      <c r="AQ40" s="104">
        <v>0</v>
      </c>
      <c r="AR40" s="104">
        <v>0</v>
      </c>
      <c r="AS40" s="105"/>
      <c r="AT40" s="105"/>
      <c r="AU40" s="105"/>
      <c r="AV40" s="105"/>
      <c r="AW40" s="105"/>
      <c r="AX40" s="54" t="s">
        <v>196</v>
      </c>
      <c r="AY40" s="44"/>
      <c r="AZ40" s="44"/>
      <c r="BA40" s="44"/>
      <c r="BB40" s="44"/>
      <c r="BC40" s="66">
        <f t="shared" si="3"/>
        <v>0</v>
      </c>
      <c r="BD40" s="66">
        <f t="shared" si="4"/>
        <v>0</v>
      </c>
      <c r="BE40" s="54" t="s">
        <v>274</v>
      </c>
      <c r="BF40" s="112"/>
      <c r="BG40" s="124"/>
      <c r="BH40" s="124"/>
      <c r="BI40" s="124"/>
      <c r="BJ40" s="124"/>
      <c r="BK40" s="124"/>
      <c r="BL40" s="115">
        <f t="shared" si="5"/>
        <v>0</v>
      </c>
      <c r="BM40" s="115"/>
      <c r="BN40" s="112" t="s">
        <v>273</v>
      </c>
      <c r="BO40" s="105"/>
      <c r="BP40" s="105"/>
      <c r="BQ40" s="105"/>
    </row>
    <row r="41" spans="1:69" x14ac:dyDescent="0.3">
      <c r="A41" s="192" t="s">
        <v>179</v>
      </c>
      <c r="B41" s="215" t="s">
        <v>128</v>
      </c>
      <c r="C41" s="215" t="s">
        <v>180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43"/>
      <c r="Y41" s="3"/>
      <c r="Z41" s="13"/>
      <c r="AA41" s="42"/>
      <c r="AB41" s="44">
        <v>0</v>
      </c>
      <c r="AC41" s="44">
        <v>0</v>
      </c>
      <c r="AD41" s="82">
        <f t="shared" si="14"/>
        <v>0</v>
      </c>
      <c r="AE41" s="80"/>
      <c r="AF41" s="81" t="s">
        <v>196</v>
      </c>
      <c r="AG41" s="81"/>
      <c r="AH41" s="81"/>
      <c r="AI41" s="81"/>
      <c r="AJ41" s="81"/>
      <c r="AK41" s="97">
        <f t="shared" si="1"/>
        <v>0</v>
      </c>
      <c r="AL41" s="97">
        <f t="shared" si="2"/>
        <v>0</v>
      </c>
      <c r="AM41" s="106" t="s">
        <v>274</v>
      </c>
      <c r="AN41" s="104">
        <v>0</v>
      </c>
      <c r="AO41" s="104">
        <v>0</v>
      </c>
      <c r="AP41" s="104">
        <v>0</v>
      </c>
      <c r="AQ41" s="104">
        <v>0</v>
      </c>
      <c r="AR41" s="104">
        <v>0</v>
      </c>
      <c r="AS41" s="105"/>
      <c r="AT41" s="105"/>
      <c r="AU41" s="105"/>
      <c r="AV41" s="105"/>
      <c r="AW41" s="105"/>
      <c r="AX41" s="54" t="s">
        <v>196</v>
      </c>
      <c r="AY41" s="44"/>
      <c r="AZ41" s="44"/>
      <c r="BA41" s="44"/>
      <c r="BB41" s="44"/>
      <c r="BC41" s="66">
        <f t="shared" si="3"/>
        <v>0</v>
      </c>
      <c r="BD41" s="66">
        <f t="shared" si="4"/>
        <v>0</v>
      </c>
      <c r="BE41" s="54" t="s">
        <v>274</v>
      </c>
      <c r="BF41" s="112"/>
      <c r="BG41" s="124"/>
      <c r="BH41" s="124"/>
      <c r="BI41" s="124"/>
      <c r="BJ41" s="124"/>
      <c r="BK41" s="124"/>
      <c r="BL41" s="115">
        <f t="shared" si="5"/>
        <v>0</v>
      </c>
      <c r="BM41" s="115"/>
      <c r="BN41" s="112" t="s">
        <v>273</v>
      </c>
      <c r="BO41" s="105"/>
      <c r="BP41" s="105"/>
      <c r="BQ41" s="105"/>
    </row>
    <row r="42" spans="1:69" x14ac:dyDescent="0.3">
      <c r="A42" s="192" t="s">
        <v>182</v>
      </c>
      <c r="B42" s="215" t="s">
        <v>128</v>
      </c>
      <c r="C42" s="215" t="s">
        <v>183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43"/>
      <c r="Y42" s="3"/>
      <c r="Z42" s="13"/>
      <c r="AA42" s="42"/>
      <c r="AB42" s="44">
        <v>0</v>
      </c>
      <c r="AC42" s="44">
        <v>0</v>
      </c>
      <c r="AD42" s="82">
        <f t="shared" si="14"/>
        <v>0</v>
      </c>
      <c r="AE42" s="80"/>
      <c r="AF42" s="81" t="s">
        <v>196</v>
      </c>
      <c r="AG42" s="81"/>
      <c r="AH42" s="81"/>
      <c r="AI42" s="81"/>
      <c r="AJ42" s="81"/>
      <c r="AK42" s="97">
        <f t="shared" si="1"/>
        <v>0</v>
      </c>
      <c r="AL42" s="97">
        <f t="shared" si="2"/>
        <v>0</v>
      </c>
      <c r="AM42" s="106" t="s">
        <v>271</v>
      </c>
      <c r="AN42" s="104"/>
      <c r="AO42" s="83"/>
      <c r="AP42" s="104"/>
      <c r="AQ42" s="104"/>
      <c r="AR42" s="104"/>
      <c r="AS42" s="105"/>
      <c r="AT42" s="105"/>
      <c r="AU42" s="105"/>
      <c r="AV42" s="105"/>
      <c r="AW42" s="105"/>
      <c r="AX42" s="54" t="s">
        <v>196</v>
      </c>
      <c r="AY42" s="44"/>
      <c r="AZ42" s="44"/>
      <c r="BA42" s="44"/>
      <c r="BB42" s="44"/>
      <c r="BC42" s="66">
        <f t="shared" si="3"/>
        <v>0</v>
      </c>
      <c r="BD42" s="66">
        <f t="shared" si="4"/>
        <v>0</v>
      </c>
      <c r="BE42" s="54" t="s">
        <v>271</v>
      </c>
      <c r="BF42" s="112"/>
      <c r="BG42" s="124" t="s">
        <v>196</v>
      </c>
      <c r="BH42" s="124" t="s">
        <v>196</v>
      </c>
      <c r="BI42" s="124" t="s">
        <v>196</v>
      </c>
      <c r="BJ42" s="124" t="s">
        <v>196</v>
      </c>
      <c r="BK42" s="124" t="s">
        <v>196</v>
      </c>
      <c r="BL42" s="115">
        <f t="shared" si="5"/>
        <v>0</v>
      </c>
      <c r="BM42" s="115" t="s">
        <v>196</v>
      </c>
      <c r="BN42" s="112" t="s">
        <v>272</v>
      </c>
      <c r="BO42" s="105"/>
      <c r="BP42" s="105"/>
      <c r="BQ42" s="105"/>
    </row>
    <row r="43" spans="1:69" x14ac:dyDescent="0.3">
      <c r="A43" s="192" t="s">
        <v>194</v>
      </c>
      <c r="B43" s="215" t="s">
        <v>128</v>
      </c>
      <c r="C43" s="215" t="s">
        <v>195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3"/>
      <c r="Y43" s="3"/>
      <c r="Z43" s="13"/>
      <c r="AA43" s="42"/>
      <c r="AB43" s="44">
        <v>0</v>
      </c>
      <c r="AC43" s="44">
        <v>0</v>
      </c>
      <c r="AD43" s="82">
        <f t="shared" si="14"/>
        <v>0</v>
      </c>
      <c r="AE43" s="80"/>
      <c r="AF43" s="81" t="s">
        <v>196</v>
      </c>
      <c r="AG43" s="81"/>
      <c r="AH43" s="81"/>
      <c r="AI43" s="81"/>
      <c r="AJ43" s="81"/>
      <c r="AK43" s="97">
        <f t="shared" si="1"/>
        <v>0</v>
      </c>
      <c r="AL43" s="97">
        <f t="shared" si="2"/>
        <v>0</v>
      </c>
      <c r="AM43" s="106" t="s">
        <v>274</v>
      </c>
      <c r="AN43" s="104">
        <v>0</v>
      </c>
      <c r="AO43" s="104">
        <v>0</v>
      </c>
      <c r="AP43" s="104">
        <v>0</v>
      </c>
      <c r="AQ43" s="104">
        <v>0</v>
      </c>
      <c r="AR43" s="104">
        <v>0</v>
      </c>
      <c r="AS43" s="105"/>
      <c r="AT43" s="105"/>
      <c r="AU43" s="105"/>
      <c r="AV43" s="105"/>
      <c r="AW43" s="105"/>
      <c r="AX43" s="54" t="s">
        <v>196</v>
      </c>
      <c r="AY43" s="44"/>
      <c r="AZ43" s="44"/>
      <c r="BA43" s="44"/>
      <c r="BB43" s="44"/>
      <c r="BC43" s="66">
        <f t="shared" si="3"/>
        <v>0</v>
      </c>
      <c r="BD43" s="66">
        <f t="shared" si="4"/>
        <v>0</v>
      </c>
      <c r="BE43" s="54" t="s">
        <v>274</v>
      </c>
      <c r="BF43" s="112"/>
      <c r="BG43" s="124"/>
      <c r="BH43" s="124"/>
      <c r="BI43" s="124"/>
      <c r="BJ43" s="124"/>
      <c r="BK43" s="124"/>
      <c r="BL43" s="115">
        <f t="shared" si="5"/>
        <v>0</v>
      </c>
      <c r="BM43" s="115"/>
      <c r="BN43" s="112" t="s">
        <v>273</v>
      </c>
      <c r="BO43" s="105"/>
      <c r="BP43" s="105"/>
      <c r="BQ43" s="105"/>
    </row>
    <row r="44" spans="1:69" ht="28.8" x14ac:dyDescent="0.3">
      <c r="A44" s="230" t="s">
        <v>206</v>
      </c>
      <c r="B44" s="236" t="s">
        <v>94</v>
      </c>
      <c r="C44" s="236" t="s">
        <v>207</v>
      </c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3"/>
      <c r="Y44" s="150"/>
      <c r="Z44" s="151"/>
      <c r="AA44" s="152"/>
      <c r="AB44" s="154"/>
      <c r="AC44" s="154"/>
      <c r="AD44" s="257"/>
      <c r="AE44" s="258"/>
      <c r="AF44" s="259"/>
      <c r="AG44" s="259"/>
      <c r="AH44" s="259"/>
      <c r="AI44" s="259"/>
      <c r="AJ44" s="259"/>
      <c r="AK44" s="260"/>
      <c r="AL44" s="260"/>
      <c r="AM44" s="261"/>
      <c r="AN44" s="262"/>
      <c r="AO44" s="262"/>
      <c r="AP44" s="262"/>
      <c r="AQ44" s="262"/>
      <c r="AR44" s="262"/>
      <c r="AS44" s="263"/>
      <c r="AT44" s="263"/>
      <c r="AU44" s="263"/>
      <c r="AV44" s="263"/>
      <c r="AW44" s="263"/>
      <c r="AX44" s="264"/>
      <c r="AY44" s="154"/>
      <c r="AZ44" s="154"/>
      <c r="BA44" s="154"/>
      <c r="BB44" s="154"/>
      <c r="BC44" s="66">
        <f>IFERROR(AVERAGE(AY44:BB44),0)</f>
        <v>0</v>
      </c>
      <c r="BD44" s="265"/>
      <c r="BE44" s="264"/>
      <c r="BF44" s="155"/>
      <c r="BG44" s="156">
        <v>30</v>
      </c>
      <c r="BH44" s="156">
        <v>50</v>
      </c>
      <c r="BI44" s="156">
        <v>30</v>
      </c>
      <c r="BJ44" s="156">
        <v>30</v>
      </c>
      <c r="BK44" s="156" t="s">
        <v>208</v>
      </c>
      <c r="BL44" s="115">
        <f t="shared" si="5"/>
        <v>36.666666666666664</v>
      </c>
      <c r="BM44" s="266" t="s">
        <v>276</v>
      </c>
      <c r="BN44" s="155" t="s">
        <v>277</v>
      </c>
      <c r="BO44" s="263"/>
      <c r="BP44" s="263"/>
      <c r="BQ44" s="263">
        <v>75</v>
      </c>
    </row>
    <row r="45" spans="1:69" ht="15" thickBot="1" x14ac:dyDescent="0.35">
      <c r="A45" s="245" t="s">
        <v>202</v>
      </c>
      <c r="B45" s="250" t="str">
        <f>VLOOKUP(A45,'Parking Rev'!$A$4:$B$46,2,FALSE)</f>
        <v>ON</v>
      </c>
      <c r="C45" s="250" t="s">
        <v>216</v>
      </c>
      <c r="D45" s="15">
        <v>555.12903225806497</v>
      </c>
      <c r="E45" s="15">
        <v>3167.34</v>
      </c>
      <c r="F45" s="15">
        <f t="shared" si="15"/>
        <v>5.7055924225695813</v>
      </c>
      <c r="G45" s="15">
        <v>550.25</v>
      </c>
      <c r="H45" s="15">
        <v>3163.02</v>
      </c>
      <c r="I45" s="15">
        <f t="shared" si="7"/>
        <v>5.7483325761017721</v>
      </c>
      <c r="J45" s="15">
        <v>542.29032258064501</v>
      </c>
      <c r="K45" s="15">
        <v>2795.18</v>
      </c>
      <c r="L45" s="15">
        <f t="shared" si="8"/>
        <v>5.154397715781335</v>
      </c>
      <c r="M45" s="15">
        <v>537.03333333333296</v>
      </c>
      <c r="N45" s="15">
        <v>2884.4</v>
      </c>
      <c r="O45" s="15">
        <f t="shared" si="9"/>
        <v>5.3709887654397654</v>
      </c>
      <c r="P45" s="15">
        <v>529.35483870967698</v>
      </c>
      <c r="Q45" s="15">
        <v>3044.63</v>
      </c>
      <c r="R45" s="15">
        <f t="shared" si="10"/>
        <v>5.751586227909816</v>
      </c>
      <c r="S45" s="15">
        <v>526.03333333333296</v>
      </c>
      <c r="T45" s="15">
        <v>2964.52</v>
      </c>
      <c r="U45" s="15">
        <f t="shared" si="11"/>
        <v>5.6356124453456724</v>
      </c>
      <c r="V45" s="15">
        <v>532</v>
      </c>
      <c r="W45" s="15">
        <v>3171.16</v>
      </c>
      <c r="X45" s="55">
        <f t="shared" si="12"/>
        <v>5.9608270676691726</v>
      </c>
      <c r="Y45" s="10">
        <v>536.61290322580601</v>
      </c>
      <c r="Z45" s="15">
        <v>3171.16</v>
      </c>
      <c r="AA45" s="56">
        <f t="shared" si="13"/>
        <v>5.9095858130447896</v>
      </c>
      <c r="AB45" s="45">
        <v>591</v>
      </c>
      <c r="AC45" s="45">
        <v>100</v>
      </c>
      <c r="AD45" s="107">
        <f t="shared" si="14"/>
        <v>0.16920473773265651</v>
      </c>
      <c r="AE45" s="84"/>
      <c r="AF45" s="85">
        <v>35</v>
      </c>
      <c r="AG45" s="85">
        <v>70</v>
      </c>
      <c r="AH45" s="85">
        <v>35</v>
      </c>
      <c r="AI45" s="85"/>
      <c r="AJ45" s="85"/>
      <c r="AK45" s="108">
        <f t="shared" si="1"/>
        <v>52.5</v>
      </c>
      <c r="AL45" s="108">
        <f t="shared" si="2"/>
        <v>-17.5</v>
      </c>
      <c r="AM45" s="109"/>
      <c r="AN45" s="110"/>
      <c r="AO45" s="110">
        <f>87+19</f>
        <v>106</v>
      </c>
      <c r="AP45" s="110"/>
      <c r="AQ45" s="110">
        <v>104</v>
      </c>
      <c r="AR45" s="110">
        <v>101</v>
      </c>
      <c r="AS45" s="111">
        <v>104</v>
      </c>
      <c r="AT45" s="111">
        <v>105</v>
      </c>
      <c r="AU45" s="111">
        <v>106</v>
      </c>
      <c r="AV45" s="111">
        <v>106</v>
      </c>
      <c r="AW45" s="111">
        <v>106</v>
      </c>
      <c r="AX45" s="57">
        <v>35</v>
      </c>
      <c r="AY45" s="45">
        <v>70</v>
      </c>
      <c r="AZ45" s="45">
        <v>35</v>
      </c>
      <c r="BA45" s="45"/>
      <c r="BB45" s="45"/>
      <c r="BC45" s="66">
        <f t="shared" si="3"/>
        <v>52.5</v>
      </c>
      <c r="BD45" s="67">
        <f t="shared" si="4"/>
        <v>-17.5</v>
      </c>
      <c r="BE45" s="57"/>
      <c r="BF45" s="113"/>
      <c r="BG45" s="128"/>
      <c r="BH45" s="128"/>
      <c r="BI45" s="128"/>
      <c r="BJ45" s="128"/>
      <c r="BK45" s="128"/>
      <c r="BL45" s="115">
        <f t="shared" si="5"/>
        <v>0</v>
      </c>
      <c r="BM45" s="117"/>
      <c r="BN45" s="113"/>
      <c r="BO45" s="111">
        <v>106</v>
      </c>
      <c r="BP45" s="111">
        <v>106</v>
      </c>
      <c r="BQ45" s="111">
        <v>115</v>
      </c>
    </row>
  </sheetData>
  <sheetProtection selectLockedCells="1" sort="0" autoFilter="0"/>
  <protectedRanges>
    <protectedRange sqref="BO3:BQ45 A3:BF45" name="Range1"/>
  </protectedRanges>
  <autoFilter ref="A2:AM45" xr:uid="{B93A964F-3ADC-45A6-A573-AC6A010D8C7A}"/>
  <sortState xmlns:xlrd2="http://schemas.microsoft.com/office/spreadsheetml/2017/richdata2" ref="A6:AA45">
    <sortCondition ref="B6:B45"/>
  </sortState>
  <mergeCells count="10">
    <mergeCell ref="AX1:BE1"/>
    <mergeCell ref="BG1:BN1"/>
    <mergeCell ref="V1:X1"/>
    <mergeCell ref="Y1:AA1"/>
    <mergeCell ref="D1:F1"/>
    <mergeCell ref="G1:I1"/>
    <mergeCell ref="J1:L1"/>
    <mergeCell ref="M1:O1"/>
    <mergeCell ref="P1:R1"/>
    <mergeCell ref="S1:U1"/>
  </mergeCells>
  <conditionalFormatting sqref="AD3:AD45">
    <cfRule type="cellIs" dxfId="4" priority="3" operator="greaterThan">
      <formula>0.75</formula>
    </cfRule>
    <cfRule type="cellIs" dxfId="3" priority="4" operator="greaterThan">
      <formula>75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35276E1-E987-48E5-82E0-5B31EFFDCBF6}">
            <xm:f>NOT(ISERROR(SEARCH("-",AL2)))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AL2:AL45</xm:sqref>
        </x14:conditionalFormatting>
        <x14:conditionalFormatting xmlns:xm="http://schemas.microsoft.com/office/excel/2006/main">
          <x14:cfRule type="containsText" priority="2" operator="containsText" id="{D1B952AF-DDEA-49BA-BB29-F48E435D23FC}">
            <xm:f>NOT(ISERROR(SEARCH("-",BD2)))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BD2:BD45</xm:sqref>
        </x14:conditionalFormatting>
        <x14:conditionalFormatting xmlns:xm="http://schemas.microsoft.com/office/excel/2006/main">
          <x14:cfRule type="containsText" priority="1" operator="containsText" id="{D15E8159-639D-4A43-B09C-6F24BD591BDA}">
            <xm:f>NOT(ISERROR(SEARCH("-",BM2)))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BM2:BM45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Parking Rev</vt:lpstr>
      <vt:lpstr>Sheet1</vt:lpstr>
      <vt:lpstr>Storage Rev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Sandeep Singh</dc:creator>
  <cp:keywords/>
  <dc:description/>
  <cp:lastModifiedBy>jinzhao kan</cp:lastModifiedBy>
  <cp:revision/>
  <dcterms:created xsi:type="dcterms:W3CDTF">2021-09-24T16:18:40Z</dcterms:created>
  <dcterms:modified xsi:type="dcterms:W3CDTF">2023-07-08T19:57:28Z</dcterms:modified>
  <cp:category/>
  <cp:contentStatus/>
</cp:coreProperties>
</file>