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torem\Dropbox\RLC Documents\Models\Oilseeds\"/>
    </mc:Choice>
  </mc:AlternateContent>
  <xr:revisionPtr revIDLastSave="0" documentId="13_ncr:2001_{434576DF-FD92-4AAF-82FA-10ACCDBF350A}" xr6:coauthVersionLast="47" xr6:coauthVersionMax="47" xr10:uidLastSave="{00000000-0000-0000-0000-000000000000}"/>
  <bookViews>
    <workbookView xWindow="-120" yWindow="-120" windowWidth="29040" windowHeight="16440" activeTab="5" xr2:uid="{21C2859E-5A3A-492F-9A52-65D000D7A838}"/>
  </bookViews>
  <sheets>
    <sheet name="Small Refinery Exemptions" sheetId="1" r:id="rId1"/>
    <sheet name="Final % Std" sheetId="2" r:id="rId2"/>
    <sheet name="RFS % Std Formula" sheetId="3" r:id="rId3"/>
    <sheet name="Mandate Levels and Rules" sheetId="4" r:id="rId4"/>
    <sheet name="RVO Table" sheetId="5" r:id="rId5"/>
    <sheet name="RVO Forecast" sheetId="6" r:id="rId6"/>
    <sheet name="RIN Balance Sheet" sheetId="7" r:id="rId7"/>
    <sheet name="RIN Carryover" sheetId="8" r:id="rId8"/>
    <sheet name="D3 RIN Balance Sheet" sheetId="9" r:id="rId9"/>
    <sheet name="D4 RIN Balance Sheet" sheetId="10" r:id="rId10"/>
    <sheet name="D5 RIN Balance Sheet" sheetId="11" r:id="rId11"/>
    <sheet name="D6 RIN Balance Sheet" sheetId="12" r:id="rId12"/>
    <sheet name="D7 RIN Balance Sheet" sheetId="13" r:id="rId13"/>
    <sheet name="RIN Retirements" sheetId="14" r:id="rId14"/>
    <sheet name="RIN Assignments-Separations" sheetId="15" r:id="rId15"/>
    <sheet name="Fuel Balance Sheet" sheetId="16" r:id="rId16"/>
  </sheets>
  <externalReferences>
    <externalReference r:id="rId17"/>
    <externalReference r:id="rId18"/>
    <externalReference r:id="rId19"/>
  </externalReferences>
  <definedNames>
    <definedName name="\p" localSheetId="3">#REF!</definedName>
    <definedName name="\p">#REF!</definedName>
    <definedName name="\s" localSheetId="3">#REF!</definedName>
    <definedName name="\s">#REF!</definedName>
    <definedName name="_J" localSheetId="3">#REF!</definedName>
    <definedName name="_J">#REF!</definedName>
    <definedName name="_P" localSheetId="3">#REF!</definedName>
    <definedName name="_P">#REF!</definedName>
    <definedName name="_Regression_Out" localSheetId="3" hidden="1">#REF!</definedName>
    <definedName name="_Regression_Out" hidden="1">#REF!</definedName>
    <definedName name="_Regression_X" localSheetId="3" hidden="1">#REF!</definedName>
    <definedName name="_Regression_X" hidden="1">#REF!</definedName>
    <definedName name="_Regression_Y" hidden="1">#REF!</definedName>
    <definedName name="_S">#REF!</definedName>
    <definedName name="Domestic_chart6" localSheetId="3">#REF!</definedName>
    <definedName name="Domestic_chart6">#REF!</definedName>
    <definedName name="Forecast_Model_Output" localSheetId="3">#REF!</definedName>
    <definedName name="Forecast_Model_Output">#REF!</definedName>
    <definedName name="LATECON">#REF!</definedName>
    <definedName name="model_output">#REF!</definedName>
    <definedName name="Print_Area_MI">#REF!</definedName>
    <definedName name="Print_Titles_MI">#REF!</definedName>
    <definedName name="ss">#REF!</definedName>
    <definedName name="sss" localSheetId="3" hidden="1">{#N/A,#N/A,FALSE,"Form 41 Commuter Domestic";#N/A,#N/A,FALSE,"FORM41--COMMUTER % CHG";#N/A,#N/A,FALSE,"Total Domestic Traffic Stats";#N/A,#N/A,FALSE,"TOTAL DOM TRAFFIC--% CHG";#N/A,#N/A,FALSE,"TotDomTraf-Large Carriers Only";#N/A,#N/A,FALSE,"TOTDOMTRAF-LARGECAR% CHG"}</definedName>
    <definedName name="sss" hidden="1">{#N/A,#N/A,FALSE,"Form 41 Commuter Domestic";#N/A,#N/A,FALSE,"FORM41--COMMUTER % CHG";#N/A,#N/A,FALSE,"Total Domestic Traffic Stats";#N/A,#N/A,FALSE,"TOTAL DOM TRAFFIC--% CHG";#N/A,#N/A,FALSE,"TotDomTraf-Large Carriers Only";#N/A,#N/A,FALSE,"TOTDOMTRAF-LARGECAR% CHG"}</definedName>
    <definedName name="wrn.DOM._.TRAF._.STATS." localSheetId="3" hidden="1">{#N/A,#N/A,FALSE,"Form 41 Commuter Domestic";#N/A,#N/A,FALSE,"FORM41--COMMUTER % CHG";#N/A,#N/A,FALSE,"Total Domestic Traffic Stats";#N/A,#N/A,FALSE,"TOTAL DOM TRAFFIC--% CHG";#N/A,#N/A,FALSE,"TotDomTraf-Large Carriers Only";#N/A,#N/A,FALSE,"TOTDOMTRAF-LARGECAR% CHG"}</definedName>
    <definedName name="wrn.DOM._.TRAF._.STATS." hidden="1">{#N/A,#N/A,FALSE,"Form 41 Commuter Domestic";#N/A,#N/A,FALSE,"FORM41--COMMUTER % CHG";#N/A,#N/A,FALSE,"Total Domestic Traffic Stats";#N/A,#N/A,FALSE,"TOTAL DOM TRAFFIC--% CHG";#N/A,#N/A,FALSE,"TotDomTraf-Large Carriers Only";#N/A,#N/A,FALSE,"TOTDOMTRAF-LARGECAR% CHG"}</definedName>
    <definedName name="wrn.econtab." localSheetId="3" hidden="1">{#N/A,#N/A,FALSE,"TABLE1";#N/A,#N/A,FALSE,"TABLE2";#N/A,#N/A,FALSE,"TABLE3";#N/A,#N/A,FALSE,"TABLE4";#N/A,#N/A,FALSE,"TABLE5"}</definedName>
    <definedName name="wrn.econtab." hidden="1">{#N/A,#N/A,FALSE,"TABLE1";#N/A,#N/A,FALSE,"TABLE2";#N/A,#N/A,FALSE,"TABLE3";#N/A,#N/A,FALSE,"TABLE4";#N/A,#N/A,FALSE,"TABLE5"}</definedName>
    <definedName name="wrn.FORECAST." localSheetId="3" hidden="1">{"TOT",#N/A,FALSE,"ASFCST99";"TOTINT",#N/A,FALSE,"ASFCST99";"DOM",#N/A,FALSE,"ASFCST99";"NORTHATL",#N/A,FALSE,"ASFCST99";"PACIFIC",#N/A,FALSE,"ASFCST99";"LATAM",#N/A,FALSE,"ASFCST99"}</definedName>
    <definedName name="wrn.FORECAST." hidden="1">{"TOT",#N/A,FALSE,"ASFCST99";"TOTINT",#N/A,FALSE,"ASFCST99";"DOM",#N/A,FALSE,"ASFCST99";"NORTHATL",#N/A,FALSE,"ASFCST99";"PACIFIC",#N/A,FALSE,"ASFCST99";"LATAM",#N/A,FALSE,"ASFCST99"}</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1" i="1" l="1"/>
  <c r="P34" i="1"/>
  <c r="Q2" i="1"/>
  <c r="P2" i="1"/>
  <c r="E32" i="1"/>
  <c r="F32" i="1"/>
  <c r="G32" i="1"/>
  <c r="H32" i="1"/>
  <c r="I32" i="1"/>
  <c r="J32" i="1"/>
  <c r="K32" i="1"/>
  <c r="L32" i="1"/>
  <c r="M32" i="1"/>
  <c r="N32" i="1"/>
  <c r="O32" i="1"/>
  <c r="P32" i="1"/>
  <c r="Q7" i="1"/>
  <c r="N3" i="1"/>
  <c r="C18" i="1"/>
  <c r="C19" i="1"/>
  <c r="C20" i="1"/>
  <c r="J8" i="16"/>
  <c r="I8" i="16"/>
  <c r="H8" i="16"/>
  <c r="G8" i="16"/>
  <c r="F8" i="16"/>
  <c r="E8" i="16"/>
  <c r="D8" i="16"/>
  <c r="C8" i="16"/>
  <c r="B8" i="16"/>
  <c r="J5" i="16"/>
  <c r="I5" i="16"/>
  <c r="H5" i="16"/>
  <c r="G5" i="16"/>
  <c r="F5" i="16"/>
  <c r="E5" i="16"/>
  <c r="D5" i="16"/>
  <c r="C5" i="16"/>
  <c r="B5" i="16"/>
  <c r="AP49" i="6"/>
  <c r="AP51" i="6" s="1"/>
  <c r="AO49" i="6"/>
  <c r="AO51" i="6" s="1"/>
  <c r="AN49" i="6"/>
  <c r="AN51" i="6" s="1"/>
  <c r="AM49" i="6"/>
  <c r="AL49" i="6"/>
  <c r="AL51" i="6" s="1"/>
  <c r="AK49" i="6"/>
  <c r="AK51" i="6" s="1"/>
  <c r="AJ49" i="6"/>
  <c r="AJ51" i="6" s="1"/>
  <c r="AI49" i="6"/>
  <c r="AH49" i="6"/>
  <c r="AG49" i="6"/>
  <c r="AF49" i="6"/>
  <c r="AE49" i="6"/>
  <c r="AD49" i="6"/>
  <c r="AC49" i="6"/>
  <c r="AB49" i="6"/>
  <c r="AA49" i="6"/>
  <c r="Z49" i="6"/>
  <c r="Y49" i="6"/>
  <c r="X49" i="6"/>
  <c r="W49" i="6"/>
  <c r="V49" i="6"/>
  <c r="U49" i="6"/>
  <c r="T49" i="6"/>
  <c r="S49" i="6"/>
  <c r="R49" i="6"/>
  <c r="Q49" i="6"/>
  <c r="P49" i="6"/>
  <c r="Q31" i="2" s="1"/>
  <c r="O49" i="6"/>
  <c r="O31" i="8" s="1"/>
  <c r="N49" i="6"/>
  <c r="N31" i="8" s="1"/>
  <c r="M49" i="6"/>
  <c r="N31" i="2" s="1"/>
  <c r="L49" i="6"/>
  <c r="M31" i="2" s="1"/>
  <c r="V32" i="6"/>
  <c r="U32" i="6"/>
  <c r="T32" i="6"/>
  <c r="S32" i="6"/>
  <c r="R32" i="6"/>
  <c r="Q32" i="6"/>
  <c r="P32" i="6"/>
  <c r="O32" i="6"/>
  <c r="N32" i="6"/>
  <c r="M32" i="6"/>
  <c r="L32" i="6"/>
  <c r="K32" i="6"/>
  <c r="AP22" i="6"/>
  <c r="AO22" i="6"/>
  <c r="AN22" i="6"/>
  <c r="AM22" i="6"/>
  <c r="AL22" i="6"/>
  <c r="AK22" i="6"/>
  <c r="AJ22" i="6"/>
  <c r="AI22" i="6"/>
  <c r="AH22" i="6"/>
  <c r="AG22" i="6"/>
  <c r="AF22" i="6"/>
  <c r="AE22" i="6"/>
  <c r="AD22" i="6"/>
  <c r="AC22" i="6"/>
  <c r="AB22" i="6"/>
  <c r="AA22" i="6"/>
  <c r="Z22" i="6"/>
  <c r="Y22" i="6"/>
  <c r="X22" i="6"/>
  <c r="W22" i="6"/>
  <c r="V22" i="6"/>
  <c r="U22" i="6"/>
  <c r="T22" i="6"/>
  <c r="S22" i="6"/>
  <c r="R22" i="6"/>
  <c r="Q22" i="6"/>
  <c r="P22" i="6"/>
  <c r="O22" i="6"/>
  <c r="N22" i="6"/>
  <c r="M22" i="6"/>
  <c r="L22" i="6"/>
  <c r="K22" i="6"/>
  <c r="AP18" i="6"/>
  <c r="AO18" i="6"/>
  <c r="AP20" i="1" s="1"/>
  <c r="AN18" i="6"/>
  <c r="AO20" i="1" s="1"/>
  <c r="AM18" i="6"/>
  <c r="AN20" i="1" s="1"/>
  <c r="AL18" i="6"/>
  <c r="AM20" i="1" s="1"/>
  <c r="AK18" i="6"/>
  <c r="AL20" i="1" s="1"/>
  <c r="AJ18" i="6"/>
  <c r="AK20" i="1" s="1"/>
  <c r="AI18" i="6"/>
  <c r="AH18" i="6"/>
  <c r="AI20" i="1" s="1"/>
  <c r="AG18" i="6"/>
  <c r="AH20" i="1" s="1"/>
  <c r="AF18" i="6"/>
  <c r="AG20" i="1" s="1"/>
  <c r="AE18" i="6"/>
  <c r="AF20" i="1" s="1"/>
  <c r="AD18" i="6"/>
  <c r="AE20" i="1" s="1"/>
  <c r="AC18" i="6"/>
  <c r="AD20" i="1" s="1"/>
  <c r="AB18" i="6"/>
  <c r="AC20" i="1" s="1"/>
  <c r="AA18" i="6"/>
  <c r="AB20" i="1" s="1"/>
  <c r="Z18" i="6"/>
  <c r="AA20" i="1" s="1"/>
  <c r="Y18" i="6"/>
  <c r="X18" i="6"/>
  <c r="Y20" i="1" s="1"/>
  <c r="W18" i="6"/>
  <c r="V18" i="6"/>
  <c r="W20" i="1" s="1"/>
  <c r="U18" i="6"/>
  <c r="V20" i="1" s="1"/>
  <c r="T18" i="6"/>
  <c r="U20" i="1" s="1"/>
  <c r="S18" i="6"/>
  <c r="T20" i="1" s="1"/>
  <c r="R18" i="6"/>
  <c r="S20" i="1" s="1"/>
  <c r="Q18" i="6"/>
  <c r="R20" i="1" s="1"/>
  <c r="P18" i="6"/>
  <c r="Q20" i="1" s="1"/>
  <c r="O18" i="6"/>
  <c r="O30" i="8" s="1"/>
  <c r="N18" i="6"/>
  <c r="O20" i="1" s="1"/>
  <c r="M18" i="6"/>
  <c r="L18" i="6"/>
  <c r="M20" i="1" s="1"/>
  <c r="K18" i="6"/>
  <c r="L20" i="1" s="1"/>
  <c r="J18" i="6"/>
  <c r="AP14" i="6"/>
  <c r="AO14" i="6"/>
  <c r="AP18" i="1" s="1"/>
  <c r="AN14" i="6"/>
  <c r="AO18" i="1" s="1"/>
  <c r="AM14" i="6"/>
  <c r="AN18" i="1" s="1"/>
  <c r="AL14" i="6"/>
  <c r="AM18" i="1" s="1"/>
  <c r="AK14" i="6"/>
  <c r="AJ14" i="6"/>
  <c r="AK18" i="1" s="1"/>
  <c r="AI14" i="6"/>
  <c r="AJ18" i="1" s="1"/>
  <c r="AH14" i="6"/>
  <c r="AI18" i="1" s="1"/>
  <c r="AG14" i="6"/>
  <c r="AH18" i="1" s="1"/>
  <c r="AF14" i="6"/>
  <c r="AG18" i="1" s="1"/>
  <c r="AE14" i="6"/>
  <c r="AF18" i="1" s="1"/>
  <c r="AD14" i="6"/>
  <c r="AE18" i="1" s="1"/>
  <c r="AC14" i="6"/>
  <c r="AD18" i="1" s="1"/>
  <c r="AB14" i="6"/>
  <c r="AC18" i="1" s="1"/>
  <c r="AA14" i="6"/>
  <c r="Z14" i="6"/>
  <c r="Y14" i="6"/>
  <c r="X14" i="6"/>
  <c r="W14" i="6"/>
  <c r="X18" i="1" s="1"/>
  <c r="V14" i="6"/>
  <c r="U14" i="6"/>
  <c r="T14" i="6"/>
  <c r="S14" i="6"/>
  <c r="T18" i="1" s="1"/>
  <c r="R14" i="6"/>
  <c r="S18" i="1" s="1"/>
  <c r="Q14" i="6"/>
  <c r="R18" i="1" s="1"/>
  <c r="P14" i="6"/>
  <c r="Q6" i="2" s="1"/>
  <c r="Q27" i="2" s="1"/>
  <c r="O14" i="6"/>
  <c r="P6" i="2" s="1"/>
  <c r="P27" i="2" s="1"/>
  <c r="N14" i="6"/>
  <c r="O6" i="2" s="1"/>
  <c r="O27" i="2" s="1"/>
  <c r="M14" i="6"/>
  <c r="N6" i="2" s="1"/>
  <c r="N27" i="2" s="1"/>
  <c r="L14" i="6"/>
  <c r="M6" i="2" s="1"/>
  <c r="M27" i="2" s="1"/>
  <c r="K14" i="6"/>
  <c r="K28" i="8" s="1"/>
  <c r="J14" i="6"/>
  <c r="J28" i="8" s="1"/>
  <c r="AP10" i="6"/>
  <c r="AO10" i="6"/>
  <c r="AN10" i="6"/>
  <c r="AM10" i="6"/>
  <c r="AL10" i="6"/>
  <c r="AK10" i="6"/>
  <c r="AJ10" i="6"/>
  <c r="AI10" i="6"/>
  <c r="AH10" i="6"/>
  <c r="AG10" i="6"/>
  <c r="AF10" i="6"/>
  <c r="AE10" i="6"/>
  <c r="AD10" i="6"/>
  <c r="AC10" i="6"/>
  <c r="AB10" i="6"/>
  <c r="AA10" i="6"/>
  <c r="Z10" i="6"/>
  <c r="Y10" i="6"/>
  <c r="X10" i="6"/>
  <c r="W10" i="6"/>
  <c r="V10" i="6"/>
  <c r="U10" i="6"/>
  <c r="T10" i="6"/>
  <c r="S10" i="6"/>
  <c r="R10" i="6"/>
  <c r="Q10" i="6"/>
  <c r="R5" i="2" s="1"/>
  <c r="R28" i="2" s="1"/>
  <c r="P10" i="6"/>
  <c r="O10" i="6"/>
  <c r="N10" i="6"/>
  <c r="M10" i="6"/>
  <c r="L10" i="6"/>
  <c r="K10" i="6"/>
  <c r="J10" i="6"/>
  <c r="C5" i="5" s="1"/>
  <c r="AP8" i="6"/>
  <c r="AO8" i="6"/>
  <c r="AP21" i="1" s="1"/>
  <c r="AN8" i="6"/>
  <c r="AO21" i="1" s="1"/>
  <c r="AM8" i="6"/>
  <c r="AN21" i="1" s="1"/>
  <c r="AL8" i="6"/>
  <c r="AM21" i="1" s="1"/>
  <c r="AK8" i="6"/>
  <c r="AL21" i="1" s="1"/>
  <c r="AJ8" i="6"/>
  <c r="AK21" i="1" s="1"/>
  <c r="AI8" i="6"/>
  <c r="AJ21" i="1" s="1"/>
  <c r="AH8" i="6"/>
  <c r="AI21" i="1" s="1"/>
  <c r="AG8" i="6"/>
  <c r="AH21" i="1" s="1"/>
  <c r="AF8" i="6"/>
  <c r="AG21" i="1" s="1"/>
  <c r="AE8" i="6"/>
  <c r="AF21" i="1" s="1"/>
  <c r="AD8" i="6"/>
  <c r="AE21" i="1" s="1"/>
  <c r="AC8" i="6"/>
  <c r="AD21" i="1" s="1"/>
  <c r="AB8" i="6"/>
  <c r="AC21" i="1" s="1"/>
  <c r="AA8" i="6"/>
  <c r="AB21" i="1" s="1"/>
  <c r="Z8" i="6"/>
  <c r="AA21" i="1" s="1"/>
  <c r="Y8" i="6"/>
  <c r="Z21" i="1" s="1"/>
  <c r="X8" i="6"/>
  <c r="Y21" i="1" s="1"/>
  <c r="W8" i="6"/>
  <c r="X21" i="1" s="1"/>
  <c r="V8" i="6"/>
  <c r="W21" i="1" s="1"/>
  <c r="U8" i="6"/>
  <c r="V21" i="1" s="1"/>
  <c r="T8" i="6"/>
  <c r="U21" i="1" s="1"/>
  <c r="S8" i="6"/>
  <c r="T21" i="1" s="1"/>
  <c r="R8" i="6"/>
  <c r="S21" i="1" s="1"/>
  <c r="Q8" i="6"/>
  <c r="R3" i="2" s="1"/>
  <c r="R30" i="2" s="1"/>
  <c r="P8" i="6"/>
  <c r="Q3" i="2" s="1"/>
  <c r="O8" i="6"/>
  <c r="N8" i="6"/>
  <c r="O3" i="2" s="1"/>
  <c r="M8" i="6"/>
  <c r="N3" i="2" s="1"/>
  <c r="N30" i="2" s="1"/>
  <c r="L8" i="6"/>
  <c r="M21" i="1" s="1"/>
  <c r="K8" i="6"/>
  <c r="BH67" i="1" s="1"/>
  <c r="J8" i="6"/>
  <c r="I8" i="6"/>
  <c r="AP4" i="6"/>
  <c r="AO4" i="6"/>
  <c r="AN4" i="6"/>
  <c r="AM4" i="6"/>
  <c r="AL4" i="6"/>
  <c r="AK4" i="6"/>
  <c r="AJ4" i="6"/>
  <c r="AI4" i="6"/>
  <c r="AH4" i="6"/>
  <c r="AG4" i="6"/>
  <c r="AF4" i="6"/>
  <c r="AE4" i="6"/>
  <c r="AD4" i="6"/>
  <c r="AC4" i="6"/>
  <c r="AB4" i="6"/>
  <c r="AA4" i="6"/>
  <c r="Z4" i="6"/>
  <c r="Y4" i="6"/>
  <c r="X4" i="6"/>
  <c r="W4" i="6"/>
  <c r="V4" i="6"/>
  <c r="U4" i="6"/>
  <c r="T4" i="6"/>
  <c r="S4" i="6"/>
  <c r="R4" i="6"/>
  <c r="Q4" i="6"/>
  <c r="P4" i="6"/>
  <c r="AP3" i="6"/>
  <c r="AO3" i="6"/>
  <c r="AN3" i="6"/>
  <c r="AM3" i="6"/>
  <c r="AL3" i="6"/>
  <c r="AK3" i="6"/>
  <c r="AJ3" i="6"/>
  <c r="AI3" i="6"/>
  <c r="AH3" i="6"/>
  <c r="AG3" i="6"/>
  <c r="AF3" i="6"/>
  <c r="AE3" i="6"/>
  <c r="AD3" i="6"/>
  <c r="AC3" i="6"/>
  <c r="AB3" i="6"/>
  <c r="AA3" i="6"/>
  <c r="Z3" i="6"/>
  <c r="Y3" i="6"/>
  <c r="X3" i="6"/>
  <c r="W3" i="6"/>
  <c r="V3" i="6"/>
  <c r="U3" i="6"/>
  <c r="T3" i="6"/>
  <c r="S3" i="6"/>
  <c r="R3" i="6"/>
  <c r="Q3" i="6"/>
  <c r="P3" i="6"/>
  <c r="Q2" i="6"/>
  <c r="P2" i="6"/>
  <c r="R4" i="2"/>
  <c r="R29" i="2" s="1"/>
  <c r="Q4" i="2"/>
  <c r="Q54" i="2" s="1"/>
  <c r="P4" i="2"/>
  <c r="P54" i="2" s="1"/>
  <c r="O4" i="2"/>
  <c r="O54" i="2" s="1"/>
  <c r="N4" i="2"/>
  <c r="M4" i="2"/>
  <c r="M29" i="2" s="1"/>
  <c r="L4" i="2"/>
  <c r="L29" i="2" s="1"/>
  <c r="K4" i="2"/>
  <c r="K29" i="2" s="1"/>
  <c r="J4" i="2"/>
  <c r="J29" i="2" s="1"/>
  <c r="P3" i="12"/>
  <c r="O3" i="12"/>
  <c r="N3" i="12"/>
  <c r="M3" i="12"/>
  <c r="L3" i="12"/>
  <c r="K3" i="12"/>
  <c r="J3" i="12"/>
  <c r="I3" i="12"/>
  <c r="H3" i="12"/>
  <c r="G3" i="12"/>
  <c r="F3" i="12"/>
  <c r="E3" i="12"/>
  <c r="D3" i="12"/>
  <c r="C3" i="12"/>
  <c r="B3" i="12"/>
  <c r="R8" i="7"/>
  <c r="Q8" i="7"/>
  <c r="P8" i="7"/>
  <c r="O8" i="7"/>
  <c r="N8" i="7"/>
  <c r="M8" i="7"/>
  <c r="L8" i="7"/>
  <c r="K8" i="7"/>
  <c r="J8" i="7"/>
  <c r="I8" i="7"/>
  <c r="H8" i="7"/>
  <c r="G8" i="7"/>
  <c r="F8" i="7"/>
  <c r="E8" i="7"/>
  <c r="D8" i="7"/>
  <c r="C8" i="7"/>
  <c r="B8" i="7"/>
  <c r="P3" i="11"/>
  <c r="O3" i="11"/>
  <c r="N3" i="11"/>
  <c r="M3" i="11"/>
  <c r="L3" i="11"/>
  <c r="K3" i="11"/>
  <c r="J3" i="11"/>
  <c r="I3" i="11"/>
  <c r="H3" i="11"/>
  <c r="G3" i="11"/>
  <c r="F3" i="11"/>
  <c r="E3" i="11"/>
  <c r="D3" i="11"/>
  <c r="C3" i="11"/>
  <c r="B3" i="11"/>
  <c r="P7" i="7"/>
  <c r="O7" i="7"/>
  <c r="N7" i="7"/>
  <c r="M7" i="7"/>
  <c r="L7" i="7"/>
  <c r="K7" i="7"/>
  <c r="J7" i="7"/>
  <c r="I7" i="7"/>
  <c r="H7" i="7"/>
  <c r="G7" i="7"/>
  <c r="F7" i="7"/>
  <c r="E7" i="7"/>
  <c r="D7" i="7"/>
  <c r="C7" i="7"/>
  <c r="B7" i="7"/>
  <c r="P3" i="10"/>
  <c r="O3" i="10"/>
  <c r="N3" i="10"/>
  <c r="M3" i="10"/>
  <c r="L3" i="10"/>
  <c r="K3" i="10"/>
  <c r="J3" i="10"/>
  <c r="I3" i="10"/>
  <c r="H3" i="10"/>
  <c r="G3" i="10"/>
  <c r="F3" i="10"/>
  <c r="E3" i="10"/>
  <c r="D3" i="10"/>
  <c r="C3" i="10"/>
  <c r="B3" i="10"/>
  <c r="P6" i="7"/>
  <c r="O6" i="7"/>
  <c r="N6" i="7"/>
  <c r="M6" i="7"/>
  <c r="L6" i="7"/>
  <c r="K6" i="7"/>
  <c r="J6" i="7"/>
  <c r="I6" i="7"/>
  <c r="H6" i="7"/>
  <c r="G6" i="7"/>
  <c r="F6" i="7"/>
  <c r="E6" i="7"/>
  <c r="D6" i="7"/>
  <c r="C6" i="7"/>
  <c r="B6" i="7"/>
  <c r="L42" i="16"/>
  <c r="K42" i="16"/>
  <c r="J42" i="16"/>
  <c r="I42" i="16"/>
  <c r="H42" i="16"/>
  <c r="G42" i="16"/>
  <c r="F42" i="16"/>
  <c r="E42" i="16"/>
  <c r="D42" i="16"/>
  <c r="C42" i="16"/>
  <c r="B42" i="16"/>
  <c r="L30" i="16"/>
  <c r="K30" i="16"/>
  <c r="J30" i="16"/>
  <c r="I30" i="16"/>
  <c r="H30" i="16"/>
  <c r="G30" i="16"/>
  <c r="F30" i="16"/>
  <c r="E30" i="16"/>
  <c r="D30" i="16"/>
  <c r="C30" i="16"/>
  <c r="B30" i="16"/>
  <c r="AO25" i="6"/>
  <c r="AN25" i="6"/>
  <c r="AM25" i="6"/>
  <c r="AL25" i="6"/>
  <c r="AK25" i="6"/>
  <c r="AJ25" i="6"/>
  <c r="AI25" i="6"/>
  <c r="AH25" i="6"/>
  <c r="AG25" i="6"/>
  <c r="AF25" i="6"/>
  <c r="AE25" i="6"/>
  <c r="AD25" i="6"/>
  <c r="AC25" i="6"/>
  <c r="AB25" i="6"/>
  <c r="AA25" i="6"/>
  <c r="Z25" i="6"/>
  <c r="Y25" i="6"/>
  <c r="X25" i="6"/>
  <c r="W25" i="6"/>
  <c r="V25" i="6"/>
  <c r="U25" i="6"/>
  <c r="T25" i="6"/>
  <c r="S25" i="6"/>
  <c r="R25" i="6"/>
  <c r="Q25" i="6"/>
  <c r="P25" i="6"/>
  <c r="O25" i="6"/>
  <c r="N25" i="6"/>
  <c r="M25" i="6"/>
  <c r="L25" i="6"/>
  <c r="K25" i="6"/>
  <c r="J25" i="6"/>
  <c r="I25" i="6"/>
  <c r="H25" i="6"/>
  <c r="G25" i="6"/>
  <c r="F25" i="6"/>
  <c r="E25" i="6"/>
  <c r="D25" i="6"/>
  <c r="C25" i="6"/>
  <c r="B25" i="6"/>
  <c r="N4" i="6"/>
  <c r="M4" i="6"/>
  <c r="L4" i="6"/>
  <c r="K4" i="6"/>
  <c r="J4" i="6"/>
  <c r="I4" i="6"/>
  <c r="H4" i="6"/>
  <c r="G4" i="6"/>
  <c r="F4" i="6"/>
  <c r="E4" i="6"/>
  <c r="D4" i="6"/>
  <c r="C4" i="6"/>
  <c r="B4" i="6"/>
  <c r="AP25" i="6"/>
  <c r="O4" i="6"/>
  <c r="L44" i="16"/>
  <c r="K44" i="16"/>
  <c r="J44" i="16"/>
  <c r="I44" i="16"/>
  <c r="H44" i="16"/>
  <c r="G44" i="16"/>
  <c r="F44" i="16"/>
  <c r="E44" i="16"/>
  <c r="D44" i="16"/>
  <c r="C44" i="16"/>
  <c r="B44" i="16"/>
  <c r="L43" i="16"/>
  <c r="K43" i="16"/>
  <c r="J43" i="16"/>
  <c r="I43" i="16"/>
  <c r="H43" i="16"/>
  <c r="G43" i="16"/>
  <c r="F43" i="16"/>
  <c r="E43" i="16"/>
  <c r="D43" i="16"/>
  <c r="C43" i="16"/>
  <c r="B43" i="16"/>
  <c r="L37" i="16"/>
  <c r="K37" i="16"/>
  <c r="J37" i="16"/>
  <c r="I37" i="16"/>
  <c r="H37" i="16"/>
  <c r="G37" i="16"/>
  <c r="F37" i="16"/>
  <c r="E37" i="16"/>
  <c r="D37" i="16"/>
  <c r="C37" i="16"/>
  <c r="B37" i="16"/>
  <c r="L31" i="16"/>
  <c r="K31" i="16"/>
  <c r="J31" i="16"/>
  <c r="I31" i="16"/>
  <c r="H31" i="16"/>
  <c r="G31" i="16"/>
  <c r="F31" i="16"/>
  <c r="E31" i="16"/>
  <c r="D31" i="16"/>
  <c r="C31" i="16"/>
  <c r="B31" i="16"/>
  <c r="L26" i="16"/>
  <c r="K26" i="16"/>
  <c r="J26" i="16"/>
  <c r="I26" i="16"/>
  <c r="H26" i="16"/>
  <c r="G26" i="16"/>
  <c r="F26" i="16"/>
  <c r="E26" i="16"/>
  <c r="D26" i="16"/>
  <c r="C26" i="16"/>
  <c r="B26" i="16"/>
  <c r="V31" i="6"/>
  <c r="U31" i="6"/>
  <c r="T31" i="6"/>
  <c r="S31" i="6"/>
  <c r="R31" i="6"/>
  <c r="Q31" i="6"/>
  <c r="P31" i="6"/>
  <c r="O31" i="6"/>
  <c r="N31" i="6"/>
  <c r="M31" i="6"/>
  <c r="L31" i="6"/>
  <c r="K31" i="6"/>
  <c r="AP26" i="6"/>
  <c r="AO26" i="6"/>
  <c r="AN26" i="6"/>
  <c r="AM26" i="6"/>
  <c r="AL26" i="6"/>
  <c r="AK26" i="6"/>
  <c r="AJ26" i="6"/>
  <c r="AI26" i="6"/>
  <c r="AH26" i="6"/>
  <c r="AG26" i="6"/>
  <c r="AF26" i="6"/>
  <c r="AE26" i="6"/>
  <c r="AD26" i="6"/>
  <c r="AC26" i="6"/>
  <c r="AB26" i="6"/>
  <c r="AA26" i="6"/>
  <c r="Z26" i="6"/>
  <c r="Y26" i="6"/>
  <c r="X26" i="6"/>
  <c r="W26" i="6"/>
  <c r="V26" i="6"/>
  <c r="U26" i="6"/>
  <c r="T26" i="6"/>
  <c r="S26" i="6"/>
  <c r="R26" i="6"/>
  <c r="Q26" i="6"/>
  <c r="P26" i="6"/>
  <c r="O26" i="6"/>
  <c r="N26" i="6"/>
  <c r="M26" i="6"/>
  <c r="L26" i="6"/>
  <c r="K26" i="6"/>
  <c r="J26" i="6"/>
  <c r="I26" i="6"/>
  <c r="H26" i="6"/>
  <c r="G26" i="6"/>
  <c r="F26" i="6"/>
  <c r="E26" i="6"/>
  <c r="D26" i="6"/>
  <c r="C26" i="6"/>
  <c r="B26" i="6"/>
  <c r="L41" i="16"/>
  <c r="K41" i="16"/>
  <c r="J41" i="16"/>
  <c r="I41" i="16"/>
  <c r="H41" i="16"/>
  <c r="G41" i="16"/>
  <c r="F41" i="16"/>
  <c r="E41" i="16"/>
  <c r="D41" i="16"/>
  <c r="C41" i="16"/>
  <c r="B41" i="16"/>
  <c r="L40" i="16"/>
  <c r="K40" i="16"/>
  <c r="J40" i="16"/>
  <c r="I40" i="16"/>
  <c r="H40" i="16"/>
  <c r="G40" i="16"/>
  <c r="F40" i="16"/>
  <c r="E40" i="16"/>
  <c r="D40" i="16"/>
  <c r="C40" i="16"/>
  <c r="B40" i="16"/>
  <c r="L36" i="16"/>
  <c r="K36" i="16"/>
  <c r="J36" i="16"/>
  <c r="I36" i="16"/>
  <c r="H36" i="16"/>
  <c r="G36" i="16"/>
  <c r="F36" i="16"/>
  <c r="E36" i="16"/>
  <c r="D36" i="16"/>
  <c r="C36" i="16"/>
  <c r="B36" i="16"/>
  <c r="L35" i="16"/>
  <c r="L34" i="16" s="1"/>
  <c r="K35" i="16"/>
  <c r="K34" i="16" s="1"/>
  <c r="J35" i="16"/>
  <c r="J34" i="16" s="1"/>
  <c r="I35" i="16"/>
  <c r="I34" i="16" s="1"/>
  <c r="H35" i="16"/>
  <c r="G35" i="16"/>
  <c r="F35" i="16"/>
  <c r="E35" i="16"/>
  <c r="D35" i="16"/>
  <c r="C35" i="16"/>
  <c r="B35" i="16"/>
  <c r="L29" i="16"/>
  <c r="K29" i="16"/>
  <c r="J29" i="16"/>
  <c r="I29" i="16"/>
  <c r="H29" i="16"/>
  <c r="G29" i="16"/>
  <c r="F29" i="16"/>
  <c r="E29" i="16"/>
  <c r="D29" i="16"/>
  <c r="C29" i="16"/>
  <c r="B29" i="16"/>
  <c r="L25" i="16"/>
  <c r="K25" i="16"/>
  <c r="J25" i="16"/>
  <c r="I25" i="16"/>
  <c r="I24" i="16" s="1"/>
  <c r="H25" i="16"/>
  <c r="H24" i="16" s="1"/>
  <c r="G25" i="16"/>
  <c r="G24" i="16" s="1"/>
  <c r="F25" i="16"/>
  <c r="E25" i="16"/>
  <c r="D25" i="16"/>
  <c r="C25" i="16"/>
  <c r="B25" i="16"/>
  <c r="O3" i="6"/>
  <c r="N3" i="6"/>
  <c r="M3" i="6"/>
  <c r="L3" i="6"/>
  <c r="K3" i="6"/>
  <c r="J3" i="6"/>
  <c r="I3" i="6"/>
  <c r="H3" i="6"/>
  <c r="G3" i="6"/>
  <c r="F3" i="6"/>
  <c r="E3" i="6"/>
  <c r="D3" i="6"/>
  <c r="C3" i="6"/>
  <c r="B3" i="6"/>
  <c r="O2" i="6"/>
  <c r="N2" i="6"/>
  <c r="M2" i="6"/>
  <c r="L2" i="6"/>
  <c r="K2" i="6"/>
  <c r="J2" i="6"/>
  <c r="I2" i="6"/>
  <c r="H2" i="6"/>
  <c r="G2" i="6"/>
  <c r="F2" i="6"/>
  <c r="E2" i="6"/>
  <c r="D2" i="6"/>
  <c r="C2" i="6"/>
  <c r="B2" i="6"/>
  <c r="P19" i="2"/>
  <c r="O19" i="2"/>
  <c r="N19" i="2"/>
  <c r="M19" i="2"/>
  <c r="L19" i="2"/>
  <c r="K19" i="2"/>
  <c r="J19" i="2"/>
  <c r="I19" i="2"/>
  <c r="H19" i="2"/>
  <c r="G19" i="2"/>
  <c r="F19" i="2"/>
  <c r="E19" i="2"/>
  <c r="D19" i="2"/>
  <c r="C19" i="2"/>
  <c r="P10" i="2"/>
  <c r="O10" i="2"/>
  <c r="N10" i="2"/>
  <c r="M10" i="2"/>
  <c r="L10" i="2"/>
  <c r="K10" i="2"/>
  <c r="J10" i="2"/>
  <c r="I10" i="2"/>
  <c r="H10" i="2"/>
  <c r="G10" i="2"/>
  <c r="F10" i="2"/>
  <c r="E10" i="2"/>
  <c r="D10" i="2"/>
  <c r="C10" i="2"/>
  <c r="P3" i="13"/>
  <c r="O3" i="13"/>
  <c r="N3" i="13"/>
  <c r="M3" i="13"/>
  <c r="L3" i="13"/>
  <c r="K3" i="13"/>
  <c r="J3" i="13"/>
  <c r="I3" i="13"/>
  <c r="H3" i="13"/>
  <c r="G3" i="13"/>
  <c r="F3" i="13"/>
  <c r="E3" i="13"/>
  <c r="D3" i="13"/>
  <c r="C3" i="13"/>
  <c r="B3" i="13"/>
  <c r="B7" i="13" s="1"/>
  <c r="R9" i="7"/>
  <c r="Q9" i="7"/>
  <c r="P9" i="7"/>
  <c r="O9" i="7"/>
  <c r="N9" i="7"/>
  <c r="M9" i="7"/>
  <c r="L9" i="7"/>
  <c r="K9" i="7"/>
  <c r="J9" i="7"/>
  <c r="I9" i="7"/>
  <c r="H9" i="7"/>
  <c r="G9" i="7"/>
  <c r="F9" i="7"/>
  <c r="E9" i="7"/>
  <c r="D9" i="7"/>
  <c r="C9" i="7"/>
  <c r="B9" i="7"/>
  <c r="P3" i="9"/>
  <c r="O3" i="9"/>
  <c r="N3" i="9"/>
  <c r="M3" i="9"/>
  <c r="L3" i="9"/>
  <c r="K3" i="9"/>
  <c r="J3" i="9"/>
  <c r="I3" i="9"/>
  <c r="H3" i="9"/>
  <c r="G3" i="9"/>
  <c r="F3" i="9"/>
  <c r="E3" i="9"/>
  <c r="D3" i="9"/>
  <c r="C3" i="9"/>
  <c r="B3" i="9"/>
  <c r="P5" i="7"/>
  <c r="O5" i="7"/>
  <c r="N5" i="7"/>
  <c r="M5" i="7"/>
  <c r="L5" i="7"/>
  <c r="K5" i="7"/>
  <c r="J5" i="7"/>
  <c r="I5" i="7"/>
  <c r="H5" i="7"/>
  <c r="G5" i="7"/>
  <c r="F5" i="7"/>
  <c r="E5" i="7"/>
  <c r="D5" i="7"/>
  <c r="C5" i="7"/>
  <c r="B5" i="7"/>
  <c r="L14" i="16"/>
  <c r="K14" i="16"/>
  <c r="J14" i="16"/>
  <c r="I14" i="16"/>
  <c r="H14" i="16"/>
  <c r="G14" i="16"/>
  <c r="F14" i="16"/>
  <c r="E14" i="16"/>
  <c r="D14" i="16"/>
  <c r="C14" i="16"/>
  <c r="J10" i="16"/>
  <c r="I10" i="16"/>
  <c r="H10" i="16"/>
  <c r="G10" i="16"/>
  <c r="F10" i="16"/>
  <c r="G3" i="16" s="1"/>
  <c r="G6" i="16" s="1"/>
  <c r="G9" i="16" s="1"/>
  <c r="G7" i="16" s="1"/>
  <c r="E10" i="16"/>
  <c r="D10" i="16"/>
  <c r="C10" i="16"/>
  <c r="D3" i="16" s="1"/>
  <c r="B10" i="16"/>
  <c r="C3" i="16" s="1"/>
  <c r="I6" i="16"/>
  <c r="I9" i="16" s="1"/>
  <c r="H6" i="16"/>
  <c r="H9" i="16" s="1"/>
  <c r="F6" i="16"/>
  <c r="F9" i="16" s="1"/>
  <c r="F7" i="16" s="1"/>
  <c r="E6" i="16"/>
  <c r="E9" i="16" s="1"/>
  <c r="D6" i="16"/>
  <c r="D9" i="16" s="1"/>
  <c r="C6" i="16"/>
  <c r="C9" i="16" s="1"/>
  <c r="C7" i="16" s="1"/>
  <c r="B6" i="16"/>
  <c r="B9" i="16" s="1"/>
  <c r="B7" i="16" s="1"/>
  <c r="J4" i="16"/>
  <c r="I4" i="16"/>
  <c r="H4" i="16"/>
  <c r="G4" i="16"/>
  <c r="F4" i="16"/>
  <c r="E4" i="16"/>
  <c r="D4" i="16"/>
  <c r="C4" i="16"/>
  <c r="B4" i="16"/>
  <c r="L3" i="16"/>
  <c r="K3" i="16"/>
  <c r="J3" i="16"/>
  <c r="J6" i="16" s="1"/>
  <c r="J9" i="16" s="1"/>
  <c r="J7" i="16" s="1"/>
  <c r="I3" i="16"/>
  <c r="H3" i="16"/>
  <c r="F3" i="16"/>
  <c r="E3" i="16"/>
  <c r="B3" i="16"/>
  <c r="I48" i="15"/>
  <c r="M47" i="15"/>
  <c r="F47" i="15"/>
  <c r="C47" i="15"/>
  <c r="B47" i="15"/>
  <c r="L46" i="15"/>
  <c r="K46" i="15"/>
  <c r="J46" i="15"/>
  <c r="I46" i="15"/>
  <c r="H46" i="15"/>
  <c r="G46" i="15"/>
  <c r="F46" i="15"/>
  <c r="E46" i="15"/>
  <c r="D46" i="15"/>
  <c r="C46" i="15"/>
  <c r="O43" i="15"/>
  <c r="E43" i="15"/>
  <c r="K42" i="15"/>
  <c r="J42" i="15"/>
  <c r="H42" i="15"/>
  <c r="F42" i="15"/>
  <c r="E42" i="15"/>
  <c r="D42" i="15"/>
  <c r="C42" i="15"/>
  <c r="B42" i="15"/>
  <c r="O41" i="15"/>
  <c r="O44" i="15" s="1"/>
  <c r="O40" i="15" s="1"/>
  <c r="E41" i="15"/>
  <c r="D41" i="15"/>
  <c r="H39" i="15"/>
  <c r="H35" i="15" s="1"/>
  <c r="P37" i="15"/>
  <c r="N37" i="15"/>
  <c r="K37" i="15"/>
  <c r="J37" i="15"/>
  <c r="I37" i="15"/>
  <c r="H37" i="15"/>
  <c r="G37" i="15"/>
  <c r="F37" i="15"/>
  <c r="K36" i="15"/>
  <c r="J36" i="15"/>
  <c r="I36" i="15"/>
  <c r="H36" i="15"/>
  <c r="G36" i="15"/>
  <c r="F36" i="15"/>
  <c r="D36" i="15"/>
  <c r="B36" i="15"/>
  <c r="D33" i="15"/>
  <c r="C33" i="15"/>
  <c r="B33" i="15"/>
  <c r="K32" i="15"/>
  <c r="H32" i="15"/>
  <c r="G32" i="15"/>
  <c r="F32" i="15"/>
  <c r="C32" i="15"/>
  <c r="B32" i="15"/>
  <c r="K31" i="15"/>
  <c r="J31" i="15"/>
  <c r="I31" i="15"/>
  <c r="H31" i="15"/>
  <c r="L28" i="15"/>
  <c r="K28" i="15"/>
  <c r="J28" i="15"/>
  <c r="K27" i="15"/>
  <c r="G27" i="15"/>
  <c r="F27" i="15"/>
  <c r="E27" i="15"/>
  <c r="D27" i="15"/>
  <c r="C27" i="15"/>
  <c r="B27" i="15"/>
  <c r="I26" i="15"/>
  <c r="H26" i="15"/>
  <c r="F26" i="15"/>
  <c r="F29" i="15" s="1"/>
  <c r="E26" i="15"/>
  <c r="E29" i="15" s="1"/>
  <c r="D26" i="15"/>
  <c r="C26" i="15"/>
  <c r="B26" i="15"/>
  <c r="P21" i="15"/>
  <c r="O21" i="15"/>
  <c r="N21" i="15"/>
  <c r="M21" i="15"/>
  <c r="L21" i="15"/>
  <c r="K21" i="15"/>
  <c r="J21" i="15"/>
  <c r="I21" i="15"/>
  <c r="H21" i="15"/>
  <c r="G21" i="15"/>
  <c r="F21" i="15"/>
  <c r="E21" i="15"/>
  <c r="D21" i="15"/>
  <c r="C21" i="15"/>
  <c r="B21" i="15"/>
  <c r="P17" i="15"/>
  <c r="O17" i="15"/>
  <c r="N17" i="15"/>
  <c r="M17" i="15"/>
  <c r="L17" i="15"/>
  <c r="K17" i="15"/>
  <c r="J17" i="15"/>
  <c r="I17" i="15"/>
  <c r="H17" i="15"/>
  <c r="G17" i="15"/>
  <c r="F17" i="15"/>
  <c r="E17" i="15"/>
  <c r="D17" i="15"/>
  <c r="C17" i="15"/>
  <c r="B17" i="15"/>
  <c r="P13" i="15"/>
  <c r="O13" i="15"/>
  <c r="N13" i="15"/>
  <c r="M13" i="15"/>
  <c r="L13" i="15"/>
  <c r="K13" i="15"/>
  <c r="J13" i="15"/>
  <c r="I13" i="15"/>
  <c r="H13" i="15"/>
  <c r="G13" i="15"/>
  <c r="F13" i="15"/>
  <c r="E13" i="15"/>
  <c r="D13" i="15"/>
  <c r="C13" i="15"/>
  <c r="B13" i="15"/>
  <c r="P9" i="15"/>
  <c r="O9" i="15"/>
  <c r="N9" i="15"/>
  <c r="M9" i="15"/>
  <c r="L9" i="15"/>
  <c r="K9" i="15"/>
  <c r="J9" i="15"/>
  <c r="I9" i="15"/>
  <c r="H9" i="15"/>
  <c r="G9" i="15"/>
  <c r="F9" i="15"/>
  <c r="E9" i="15"/>
  <c r="D9" i="15"/>
  <c r="C9" i="15"/>
  <c r="B9" i="15"/>
  <c r="P5" i="15"/>
  <c r="O5" i="15"/>
  <c r="N5" i="15"/>
  <c r="M5" i="15"/>
  <c r="L5" i="15"/>
  <c r="K5" i="15"/>
  <c r="J5" i="15"/>
  <c r="I5" i="15"/>
  <c r="H5" i="15"/>
  <c r="G5" i="15"/>
  <c r="F5" i="15"/>
  <c r="F25" i="15" s="1"/>
  <c r="E5" i="15"/>
  <c r="E25" i="15" s="1"/>
  <c r="D5" i="15"/>
  <c r="C5" i="15"/>
  <c r="B5" i="15"/>
  <c r="P193" i="14"/>
  <c r="P189" i="14" s="1"/>
  <c r="O193" i="14"/>
  <c r="O189" i="14" s="1"/>
  <c r="N193" i="14"/>
  <c r="N189" i="14" s="1"/>
  <c r="M193" i="14"/>
  <c r="L193" i="14"/>
  <c r="L189" i="14" s="1"/>
  <c r="K193" i="14"/>
  <c r="J193" i="14"/>
  <c r="I193" i="14"/>
  <c r="H193" i="14"/>
  <c r="G193" i="14"/>
  <c r="F193" i="14"/>
  <c r="E193" i="14"/>
  <c r="D193" i="14"/>
  <c r="D189" i="14" s="1"/>
  <c r="C193" i="14"/>
  <c r="C189" i="14" s="1"/>
  <c r="B193" i="14"/>
  <c r="B189" i="14" s="1"/>
  <c r="M189" i="14"/>
  <c r="K189" i="14"/>
  <c r="J189" i="14"/>
  <c r="I189" i="14"/>
  <c r="H189" i="14"/>
  <c r="G189" i="14"/>
  <c r="F189" i="14"/>
  <c r="E189" i="14"/>
  <c r="P173" i="14"/>
  <c r="O173" i="14"/>
  <c r="N173" i="14"/>
  <c r="M173" i="14"/>
  <c r="L173" i="14"/>
  <c r="L169" i="14" s="1"/>
  <c r="K173" i="14"/>
  <c r="K169" i="14" s="1"/>
  <c r="J173" i="14"/>
  <c r="J169" i="14" s="1"/>
  <c r="I173" i="14"/>
  <c r="I169" i="14" s="1"/>
  <c r="H173" i="14"/>
  <c r="H169" i="14" s="1"/>
  <c r="G173" i="14"/>
  <c r="G169" i="14" s="1"/>
  <c r="F173" i="14"/>
  <c r="F169" i="14" s="1"/>
  <c r="E173" i="14"/>
  <c r="D173" i="14"/>
  <c r="C173" i="14"/>
  <c r="C169" i="14" s="1"/>
  <c r="B173" i="14"/>
  <c r="B169" i="14" s="1"/>
  <c r="P169" i="14"/>
  <c r="O169" i="14"/>
  <c r="N169" i="14"/>
  <c r="M169" i="14"/>
  <c r="E169" i="14"/>
  <c r="D169" i="14"/>
  <c r="P155" i="14"/>
  <c r="P151" i="14" s="1"/>
  <c r="O155" i="14"/>
  <c r="O151" i="14" s="1"/>
  <c r="N155" i="14"/>
  <c r="N151" i="14" s="1"/>
  <c r="M155" i="14"/>
  <c r="L155" i="14"/>
  <c r="K155" i="14"/>
  <c r="K151" i="14" s="1"/>
  <c r="J155" i="14"/>
  <c r="I155" i="14"/>
  <c r="H155" i="14"/>
  <c r="G155" i="14"/>
  <c r="F155" i="14"/>
  <c r="E155" i="14"/>
  <c r="D155" i="14"/>
  <c r="C155" i="14"/>
  <c r="B155" i="14"/>
  <c r="M151" i="14"/>
  <c r="L151" i="14"/>
  <c r="J151" i="14"/>
  <c r="I151" i="14"/>
  <c r="H151" i="14"/>
  <c r="G151" i="14"/>
  <c r="F151" i="14"/>
  <c r="E151" i="14"/>
  <c r="D151" i="14"/>
  <c r="C151" i="14"/>
  <c r="B151" i="14"/>
  <c r="P135" i="14"/>
  <c r="O135" i="14"/>
  <c r="N135" i="14"/>
  <c r="M135" i="14"/>
  <c r="L135" i="14"/>
  <c r="K135" i="14"/>
  <c r="J135" i="14"/>
  <c r="I135" i="14"/>
  <c r="H135" i="14"/>
  <c r="G135" i="14"/>
  <c r="F135" i="14"/>
  <c r="F131" i="14" s="1"/>
  <c r="E135" i="14"/>
  <c r="E131" i="14" s="1"/>
  <c r="D135" i="14"/>
  <c r="D131" i="14" s="1"/>
  <c r="C135" i="14"/>
  <c r="C131" i="14" s="1"/>
  <c r="B135" i="14"/>
  <c r="B131" i="14" s="1"/>
  <c r="P131" i="14"/>
  <c r="O131" i="14"/>
  <c r="N131" i="14"/>
  <c r="M131" i="14"/>
  <c r="L131" i="14"/>
  <c r="K131" i="14"/>
  <c r="J131" i="14"/>
  <c r="I131" i="14"/>
  <c r="H131" i="14"/>
  <c r="G131" i="14"/>
  <c r="P121" i="14"/>
  <c r="O121" i="14"/>
  <c r="N121" i="14"/>
  <c r="N117" i="14" s="1"/>
  <c r="M121" i="14"/>
  <c r="M117" i="14" s="1"/>
  <c r="L121" i="14"/>
  <c r="L117" i="14" s="1"/>
  <c r="K121" i="14"/>
  <c r="K117" i="14" s="1"/>
  <c r="J121" i="14"/>
  <c r="J117" i="14" s="1"/>
  <c r="I121" i="14"/>
  <c r="I117" i="14" s="1"/>
  <c r="H121" i="14"/>
  <c r="H117" i="14" s="1"/>
  <c r="G121" i="14"/>
  <c r="G117" i="14" s="1"/>
  <c r="F121" i="14"/>
  <c r="F117" i="14" s="1"/>
  <c r="E121" i="14"/>
  <c r="E117" i="14" s="1"/>
  <c r="D121" i="14"/>
  <c r="D117" i="14" s="1"/>
  <c r="C121" i="14"/>
  <c r="C117" i="14" s="1"/>
  <c r="B121" i="14"/>
  <c r="B117" i="14" s="1"/>
  <c r="P117" i="14"/>
  <c r="O117" i="14"/>
  <c r="P96" i="14"/>
  <c r="P6" i="13" s="1"/>
  <c r="O96" i="14"/>
  <c r="O6" i="13" s="1"/>
  <c r="N96" i="14"/>
  <c r="M96" i="14"/>
  <c r="M6" i="13" s="1"/>
  <c r="L96" i="14"/>
  <c r="L6" i="13" s="1"/>
  <c r="K96" i="14"/>
  <c r="K6" i="13" s="1"/>
  <c r="J96" i="14"/>
  <c r="I96" i="14"/>
  <c r="H96" i="14"/>
  <c r="G96" i="14"/>
  <c r="G47" i="15" s="1"/>
  <c r="F96" i="14"/>
  <c r="E96" i="14"/>
  <c r="E47" i="15" s="1"/>
  <c r="D96" i="14"/>
  <c r="D47" i="15" s="1"/>
  <c r="C96" i="14"/>
  <c r="B96" i="14"/>
  <c r="P94" i="14"/>
  <c r="O94" i="14"/>
  <c r="N94" i="14"/>
  <c r="M94" i="14"/>
  <c r="L94" i="14"/>
  <c r="P93" i="14"/>
  <c r="O93" i="14"/>
  <c r="N93" i="14"/>
  <c r="M93" i="14"/>
  <c r="L93" i="14"/>
  <c r="P92" i="14"/>
  <c r="O92" i="14"/>
  <c r="N92" i="14"/>
  <c r="M92" i="14"/>
  <c r="L92" i="14"/>
  <c r="P91" i="14"/>
  <c r="O91" i="14"/>
  <c r="N91" i="14"/>
  <c r="M91" i="14"/>
  <c r="L91" i="14"/>
  <c r="P89" i="14"/>
  <c r="O89" i="14"/>
  <c r="N89" i="14"/>
  <c r="M89" i="14"/>
  <c r="L89" i="14"/>
  <c r="P88" i="14"/>
  <c r="O88" i="14"/>
  <c r="N88" i="14"/>
  <c r="M88" i="14"/>
  <c r="L88" i="14"/>
  <c r="P87" i="14"/>
  <c r="O87" i="14"/>
  <c r="N87" i="14"/>
  <c r="M87" i="14"/>
  <c r="L87" i="14"/>
  <c r="L84" i="14" s="1"/>
  <c r="L42" i="15" s="1"/>
  <c r="P86" i="14"/>
  <c r="P84" i="14" s="1"/>
  <c r="P42" i="15" s="1"/>
  <c r="O86" i="14"/>
  <c r="O84" i="14" s="1"/>
  <c r="O42" i="15" s="1"/>
  <c r="N86" i="14"/>
  <c r="M86" i="14"/>
  <c r="L86" i="14"/>
  <c r="P85" i="14"/>
  <c r="O85" i="14"/>
  <c r="N85" i="14"/>
  <c r="M85" i="14"/>
  <c r="L85" i="14"/>
  <c r="K84" i="14"/>
  <c r="J84" i="14"/>
  <c r="J6" i="12" s="1"/>
  <c r="I84" i="14"/>
  <c r="I42" i="15" s="1"/>
  <c r="H84" i="14"/>
  <c r="G84" i="14"/>
  <c r="G6" i="12" s="1"/>
  <c r="F84" i="14"/>
  <c r="F6" i="12" s="1"/>
  <c r="E84" i="14"/>
  <c r="E6" i="12" s="1"/>
  <c r="D84" i="14"/>
  <c r="D6" i="12" s="1"/>
  <c r="C84" i="14"/>
  <c r="B84" i="14"/>
  <c r="B6" i="12" s="1"/>
  <c r="P82" i="14"/>
  <c r="O82" i="14"/>
  <c r="N82" i="14"/>
  <c r="M82" i="14"/>
  <c r="L82" i="14"/>
  <c r="P81" i="14"/>
  <c r="O81" i="14"/>
  <c r="N81" i="14"/>
  <c r="M81" i="14"/>
  <c r="L81" i="14"/>
  <c r="P80" i="14"/>
  <c r="O80" i="14"/>
  <c r="N80" i="14"/>
  <c r="M80" i="14"/>
  <c r="L80" i="14"/>
  <c r="P79" i="14"/>
  <c r="O79" i="14"/>
  <c r="N79" i="14"/>
  <c r="M79" i="14"/>
  <c r="L79" i="14"/>
  <c r="P77" i="14"/>
  <c r="P72" i="14" s="1"/>
  <c r="O77" i="14"/>
  <c r="O72" i="14" s="1"/>
  <c r="N77" i="14"/>
  <c r="M77" i="14"/>
  <c r="L77" i="14"/>
  <c r="P76" i="14"/>
  <c r="O76" i="14"/>
  <c r="N76" i="14"/>
  <c r="M76" i="14"/>
  <c r="L76" i="14"/>
  <c r="P74" i="14"/>
  <c r="O74" i="14"/>
  <c r="N74" i="14"/>
  <c r="M74" i="14"/>
  <c r="L74" i="14"/>
  <c r="P73" i="14"/>
  <c r="O73" i="14"/>
  <c r="N73" i="14"/>
  <c r="M73" i="14"/>
  <c r="M72" i="14" s="1"/>
  <c r="M6" i="11" s="1"/>
  <c r="L73" i="14"/>
  <c r="N72" i="14"/>
  <c r="N6" i="11" s="1"/>
  <c r="K72" i="14"/>
  <c r="J72" i="14"/>
  <c r="I72" i="14"/>
  <c r="H72" i="14"/>
  <c r="G72" i="14"/>
  <c r="F72" i="14"/>
  <c r="E72" i="14"/>
  <c r="E37" i="15" s="1"/>
  <c r="D72" i="14"/>
  <c r="D37" i="15" s="1"/>
  <c r="C72" i="14"/>
  <c r="C37" i="15" s="1"/>
  <c r="B72" i="14"/>
  <c r="B37" i="15" s="1"/>
  <c r="P70" i="14"/>
  <c r="O70" i="14"/>
  <c r="N70" i="14"/>
  <c r="M70" i="14"/>
  <c r="L70" i="14"/>
  <c r="P69" i="14"/>
  <c r="O69" i="14"/>
  <c r="N69" i="14"/>
  <c r="M69" i="14"/>
  <c r="L69" i="14"/>
  <c r="P68" i="14"/>
  <c r="O68" i="14"/>
  <c r="N68" i="14"/>
  <c r="M68" i="14"/>
  <c r="L68" i="14"/>
  <c r="P67" i="14"/>
  <c r="O67" i="14"/>
  <c r="N67" i="14"/>
  <c r="M67" i="14"/>
  <c r="L67" i="14"/>
  <c r="P66" i="14"/>
  <c r="O66" i="14"/>
  <c r="N66" i="14"/>
  <c r="M66" i="14"/>
  <c r="L66" i="14"/>
  <c r="P65" i="14"/>
  <c r="O65" i="14"/>
  <c r="N65" i="14"/>
  <c r="M65" i="14"/>
  <c r="L65" i="14"/>
  <c r="P64" i="14"/>
  <c r="O64" i="14"/>
  <c r="N64" i="14"/>
  <c r="M64" i="14"/>
  <c r="L64" i="14"/>
  <c r="P63" i="14"/>
  <c r="O63" i="14"/>
  <c r="N63" i="14"/>
  <c r="M63" i="14"/>
  <c r="L63" i="14"/>
  <c r="P62" i="14"/>
  <c r="P60" i="14" s="1"/>
  <c r="P6" i="10" s="1"/>
  <c r="O62" i="14"/>
  <c r="N62" i="14"/>
  <c r="M62" i="14"/>
  <c r="L62" i="14"/>
  <c r="C62" i="14"/>
  <c r="C60" i="14" s="1"/>
  <c r="P61" i="14"/>
  <c r="O61" i="14"/>
  <c r="N61" i="14"/>
  <c r="M61" i="14"/>
  <c r="L61" i="14"/>
  <c r="L60" i="14" s="1"/>
  <c r="N60" i="14"/>
  <c r="M60" i="14"/>
  <c r="K60" i="14"/>
  <c r="J60" i="14"/>
  <c r="J32" i="15" s="1"/>
  <c r="I60" i="14"/>
  <c r="I32" i="15" s="1"/>
  <c r="H60" i="14"/>
  <c r="G60" i="14"/>
  <c r="F60" i="14"/>
  <c r="E60" i="14"/>
  <c r="D60" i="14"/>
  <c r="D32" i="15" s="1"/>
  <c r="B60" i="14"/>
  <c r="P56" i="14"/>
  <c r="O56" i="14"/>
  <c r="N56" i="14"/>
  <c r="M56" i="14"/>
  <c r="L56" i="14"/>
  <c r="P55" i="14"/>
  <c r="O55" i="14"/>
  <c r="O48" i="14" s="1"/>
  <c r="O27" i="15" s="1"/>
  <c r="N55" i="14"/>
  <c r="N48" i="14" s="1"/>
  <c r="N27" i="15" s="1"/>
  <c r="M55" i="14"/>
  <c r="M48" i="14" s="1"/>
  <c r="L55" i="14"/>
  <c r="P52" i="14"/>
  <c r="P48" i="14" s="1"/>
  <c r="P27" i="15" s="1"/>
  <c r="O52" i="14"/>
  <c r="N52" i="14"/>
  <c r="M52" i="14"/>
  <c r="L52" i="14"/>
  <c r="L48" i="14"/>
  <c r="K48" i="14"/>
  <c r="J48" i="14"/>
  <c r="I48" i="14"/>
  <c r="H48" i="14"/>
  <c r="G48" i="14"/>
  <c r="F48" i="14"/>
  <c r="E48" i="14"/>
  <c r="D48" i="14"/>
  <c r="C48" i="14"/>
  <c r="C6" i="9" s="1"/>
  <c r="B48" i="14"/>
  <c r="B6" i="9" s="1"/>
  <c r="F47" i="14"/>
  <c r="F12" i="7" s="1"/>
  <c r="B47" i="14"/>
  <c r="B12" i="7" s="1"/>
  <c r="P44" i="14"/>
  <c r="P42" i="14"/>
  <c r="P46" i="15" s="1"/>
  <c r="O42" i="14"/>
  <c r="O46" i="15" s="1"/>
  <c r="N42" i="14"/>
  <c r="M42" i="14"/>
  <c r="L42" i="14"/>
  <c r="L5" i="13" s="1"/>
  <c r="K42" i="14"/>
  <c r="J42" i="14"/>
  <c r="I42" i="14"/>
  <c r="H42" i="14"/>
  <c r="G42" i="14"/>
  <c r="F42" i="14"/>
  <c r="E42" i="14"/>
  <c r="D42" i="14"/>
  <c r="C42" i="14"/>
  <c r="B42" i="14"/>
  <c r="B46" i="15" s="1"/>
  <c r="P41" i="14"/>
  <c r="O41" i="14"/>
  <c r="N41" i="14"/>
  <c r="M41" i="14"/>
  <c r="L41" i="14"/>
  <c r="P40" i="14"/>
  <c r="P38" i="14" s="1"/>
  <c r="O40" i="14"/>
  <c r="N40" i="14"/>
  <c r="M40" i="14"/>
  <c r="M38" i="14" s="1"/>
  <c r="L40" i="14"/>
  <c r="L38" i="14" s="1"/>
  <c r="O38" i="14"/>
  <c r="O5" i="12" s="1"/>
  <c r="K38" i="14"/>
  <c r="K41" i="15" s="1"/>
  <c r="J38" i="14"/>
  <c r="J41" i="15" s="1"/>
  <c r="I38" i="14"/>
  <c r="I41" i="15" s="1"/>
  <c r="H38" i="14"/>
  <c r="H41" i="15" s="1"/>
  <c r="G38" i="14"/>
  <c r="G41" i="15" s="1"/>
  <c r="F38" i="14"/>
  <c r="F41" i="15" s="1"/>
  <c r="E38" i="14"/>
  <c r="D38" i="14"/>
  <c r="C38" i="14"/>
  <c r="C41" i="15" s="1"/>
  <c r="B38" i="14"/>
  <c r="P37" i="14"/>
  <c r="O37" i="14"/>
  <c r="N37" i="14"/>
  <c r="M37" i="14"/>
  <c r="L37" i="14"/>
  <c r="P36" i="14"/>
  <c r="P34" i="14" s="1"/>
  <c r="O36" i="14"/>
  <c r="O34" i="14" s="1"/>
  <c r="N36" i="14"/>
  <c r="M36" i="14"/>
  <c r="L36" i="14"/>
  <c r="K34" i="14"/>
  <c r="J34" i="14"/>
  <c r="I34" i="14"/>
  <c r="H34" i="14"/>
  <c r="G34" i="14"/>
  <c r="F34" i="14"/>
  <c r="E34" i="14"/>
  <c r="E36" i="15" s="1"/>
  <c r="D34" i="14"/>
  <c r="C34" i="14"/>
  <c r="C5" i="11" s="1"/>
  <c r="B34" i="14"/>
  <c r="B5" i="11" s="1"/>
  <c r="P33" i="14"/>
  <c r="O33" i="14"/>
  <c r="N33" i="14"/>
  <c r="M33" i="14"/>
  <c r="L33" i="14"/>
  <c r="P32" i="14"/>
  <c r="P30" i="14" s="1"/>
  <c r="O32" i="14"/>
  <c r="O30" i="14" s="1"/>
  <c r="O31" i="15" s="1"/>
  <c r="N32" i="14"/>
  <c r="N30" i="14" s="1"/>
  <c r="M32" i="14"/>
  <c r="L32" i="14"/>
  <c r="K30" i="14"/>
  <c r="J30" i="14"/>
  <c r="I30" i="14"/>
  <c r="I5" i="10" s="1"/>
  <c r="H30" i="14"/>
  <c r="H5" i="10" s="1"/>
  <c r="G30" i="14"/>
  <c r="G31" i="15" s="1"/>
  <c r="F30" i="14"/>
  <c r="E30" i="14"/>
  <c r="D30" i="14"/>
  <c r="C30" i="14"/>
  <c r="C31" i="15" s="1"/>
  <c r="B30" i="14"/>
  <c r="B31" i="15" s="1"/>
  <c r="P29" i="14"/>
  <c r="O29" i="14"/>
  <c r="N29" i="14"/>
  <c r="N26" i="14" s="1"/>
  <c r="M29" i="14"/>
  <c r="M26" i="14" s="1"/>
  <c r="L29" i="14"/>
  <c r="L26" i="14" s="1"/>
  <c r="P28" i="14"/>
  <c r="P26" i="14" s="1"/>
  <c r="O28" i="14"/>
  <c r="O26" i="14" s="1"/>
  <c r="N28" i="14"/>
  <c r="M28" i="14"/>
  <c r="L28" i="14"/>
  <c r="K26" i="14"/>
  <c r="J26" i="14"/>
  <c r="J25" i="14" s="1"/>
  <c r="I26" i="14"/>
  <c r="H26" i="14"/>
  <c r="G26" i="14"/>
  <c r="F26" i="14"/>
  <c r="E26" i="14"/>
  <c r="D26" i="14"/>
  <c r="C26" i="14"/>
  <c r="B26" i="14"/>
  <c r="E25" i="14"/>
  <c r="E11" i="7" s="1"/>
  <c r="D25" i="14"/>
  <c r="D11" i="7" s="1"/>
  <c r="AX23" i="14"/>
  <c r="AW23" i="14"/>
  <c r="AV23" i="14"/>
  <c r="AU23" i="14"/>
  <c r="AT23" i="14"/>
  <c r="AS23" i="14"/>
  <c r="P23" i="14"/>
  <c r="O23" i="14"/>
  <c r="N23" i="14"/>
  <c r="M23" i="14"/>
  <c r="M20" i="14" s="1"/>
  <c r="L23" i="14"/>
  <c r="K23" i="14"/>
  <c r="J23" i="14"/>
  <c r="I23" i="14"/>
  <c r="H23" i="14"/>
  <c r="G23" i="14"/>
  <c r="F23" i="14"/>
  <c r="E23" i="14"/>
  <c r="D23" i="14"/>
  <c r="C23" i="14"/>
  <c r="B23" i="14"/>
  <c r="AX22" i="14"/>
  <c r="AW22" i="14"/>
  <c r="AV22" i="14"/>
  <c r="AS22" i="14"/>
  <c r="P22" i="14"/>
  <c r="O22" i="14"/>
  <c r="N22" i="14"/>
  <c r="M22" i="14"/>
  <c r="L22" i="14"/>
  <c r="K22" i="14"/>
  <c r="J22" i="14"/>
  <c r="I22" i="14"/>
  <c r="H22" i="14"/>
  <c r="G22" i="14"/>
  <c r="F22" i="14"/>
  <c r="E22" i="14"/>
  <c r="D22" i="14"/>
  <c r="C22" i="14"/>
  <c r="B22" i="14"/>
  <c r="AX21" i="14"/>
  <c r="AW21" i="14"/>
  <c r="AV21" i="14"/>
  <c r="P21" i="14"/>
  <c r="O21" i="14"/>
  <c r="N21" i="14"/>
  <c r="M21" i="14"/>
  <c r="L21" i="14"/>
  <c r="K21" i="14"/>
  <c r="J21" i="14"/>
  <c r="J20" i="14" s="1"/>
  <c r="I21" i="14"/>
  <c r="I20" i="14" s="1"/>
  <c r="I20" i="7" s="1"/>
  <c r="H21" i="14"/>
  <c r="H20" i="14" s="1"/>
  <c r="G21" i="14"/>
  <c r="F21" i="14"/>
  <c r="E21" i="14"/>
  <c r="E20" i="14" s="1"/>
  <c r="D21" i="14"/>
  <c r="C21" i="14"/>
  <c r="B21" i="14"/>
  <c r="P20" i="14"/>
  <c r="O20" i="14"/>
  <c r="N20" i="14"/>
  <c r="AW19" i="14"/>
  <c r="AV19" i="14"/>
  <c r="AC19" i="14"/>
  <c r="P19" i="14"/>
  <c r="O19" i="14"/>
  <c r="N19" i="14"/>
  <c r="M19" i="14"/>
  <c r="L19" i="14"/>
  <c r="K19" i="14"/>
  <c r="J19" i="14"/>
  <c r="I19" i="14"/>
  <c r="H19" i="14"/>
  <c r="G19" i="14"/>
  <c r="F19" i="14"/>
  <c r="E19" i="14"/>
  <c r="D19" i="14"/>
  <c r="C19" i="14"/>
  <c r="B19" i="14"/>
  <c r="AX18" i="14"/>
  <c r="AW18" i="14"/>
  <c r="AV18" i="14"/>
  <c r="P18" i="14"/>
  <c r="O18" i="14"/>
  <c r="N18" i="14"/>
  <c r="M18" i="14"/>
  <c r="L18" i="14"/>
  <c r="K18" i="14"/>
  <c r="J18" i="14"/>
  <c r="I18" i="14"/>
  <c r="H18" i="14"/>
  <c r="G18" i="14"/>
  <c r="F18" i="14"/>
  <c r="E18" i="14"/>
  <c r="D18" i="14"/>
  <c r="C18" i="14"/>
  <c r="B18" i="14"/>
  <c r="AX17" i="14"/>
  <c r="AW17" i="14"/>
  <c r="P17" i="14"/>
  <c r="O17" i="14"/>
  <c r="N17" i="14"/>
  <c r="M17" i="14"/>
  <c r="L17" i="14"/>
  <c r="L16" i="14" s="1"/>
  <c r="L43" i="15" s="1"/>
  <c r="K17" i="14"/>
  <c r="K16" i="14" s="1"/>
  <c r="J17" i="14"/>
  <c r="J16" i="14" s="1"/>
  <c r="I17" i="14"/>
  <c r="I16" i="14" s="1"/>
  <c r="H17" i="14"/>
  <c r="H16" i="14" s="1"/>
  <c r="G17" i="14"/>
  <c r="F17" i="14"/>
  <c r="E17" i="14"/>
  <c r="E16" i="14" s="1"/>
  <c r="D17" i="14"/>
  <c r="C17" i="14"/>
  <c r="B17" i="14"/>
  <c r="O16" i="14"/>
  <c r="G16" i="14"/>
  <c r="F16" i="14"/>
  <c r="D16" i="14"/>
  <c r="D19" i="7" s="1"/>
  <c r="C16" i="14"/>
  <c r="B16" i="14"/>
  <c r="AU15" i="14"/>
  <c r="AT15" i="14"/>
  <c r="AS15" i="14"/>
  <c r="P15" i="14"/>
  <c r="AX15" i="14" s="1"/>
  <c r="O15" i="14"/>
  <c r="AW15" i="14" s="1"/>
  <c r="N15" i="14"/>
  <c r="AV15" i="14" s="1"/>
  <c r="M15" i="14"/>
  <c r="L15" i="14"/>
  <c r="K15" i="14"/>
  <c r="J15" i="14"/>
  <c r="I15" i="14"/>
  <c r="H15" i="14"/>
  <c r="G15" i="14"/>
  <c r="F15" i="14"/>
  <c r="E15" i="14"/>
  <c r="D15" i="14"/>
  <c r="C15" i="14"/>
  <c r="B15" i="14"/>
  <c r="AX14" i="14"/>
  <c r="AW14" i="14"/>
  <c r="AV14" i="14"/>
  <c r="AT14" i="14"/>
  <c r="AC14" i="14"/>
  <c r="P14" i="14"/>
  <c r="O14" i="14"/>
  <c r="N14" i="14"/>
  <c r="M14" i="14"/>
  <c r="L14" i="14"/>
  <c r="K14" i="14"/>
  <c r="J14" i="14"/>
  <c r="I14" i="14"/>
  <c r="H14" i="14"/>
  <c r="G14" i="14"/>
  <c r="F14" i="14"/>
  <c r="E14" i="14"/>
  <c r="D14" i="14"/>
  <c r="C14" i="14"/>
  <c r="B14" i="14"/>
  <c r="AX13" i="14"/>
  <c r="AW13" i="14"/>
  <c r="AV13" i="14"/>
  <c r="P13" i="14"/>
  <c r="O13" i="14"/>
  <c r="N13" i="14"/>
  <c r="M13" i="14"/>
  <c r="L13" i="14"/>
  <c r="K13" i="14"/>
  <c r="K12" i="14" s="1"/>
  <c r="J13" i="14"/>
  <c r="J12" i="14" s="1"/>
  <c r="I13" i="14"/>
  <c r="I12" i="14" s="1"/>
  <c r="H13" i="14"/>
  <c r="H12" i="14" s="1"/>
  <c r="H38" i="15" s="1"/>
  <c r="G13" i="14"/>
  <c r="G12" i="14" s="1"/>
  <c r="F13" i="14"/>
  <c r="E13" i="14"/>
  <c r="D13" i="14"/>
  <c r="C13" i="14"/>
  <c r="C12" i="14" s="1"/>
  <c r="B13" i="14"/>
  <c r="O12" i="14"/>
  <c r="M12" i="14"/>
  <c r="E12" i="14"/>
  <c r="D12" i="14"/>
  <c r="B12" i="14"/>
  <c r="P11" i="14"/>
  <c r="O11" i="14"/>
  <c r="N11" i="14"/>
  <c r="M11" i="14"/>
  <c r="L11" i="14"/>
  <c r="K11" i="14"/>
  <c r="J11" i="14"/>
  <c r="I11" i="14"/>
  <c r="H11" i="14"/>
  <c r="G11" i="14"/>
  <c r="F11" i="14"/>
  <c r="E11" i="14"/>
  <c r="D11" i="14"/>
  <c r="C11" i="14"/>
  <c r="B11" i="14"/>
  <c r="P10" i="14"/>
  <c r="O10" i="14"/>
  <c r="N10" i="14"/>
  <c r="M10" i="14"/>
  <c r="L10" i="14"/>
  <c r="AC10" i="14" s="1"/>
  <c r="AT10" i="14" s="1"/>
  <c r="K10" i="14"/>
  <c r="J10" i="14"/>
  <c r="I10" i="14"/>
  <c r="H10" i="14"/>
  <c r="G10" i="14"/>
  <c r="F10" i="14"/>
  <c r="E10" i="14"/>
  <c r="D10" i="14"/>
  <c r="C10" i="14"/>
  <c r="B10" i="14"/>
  <c r="P9" i="14"/>
  <c r="O9" i="14"/>
  <c r="N9" i="14"/>
  <c r="M9" i="14"/>
  <c r="L9" i="14"/>
  <c r="L8" i="14" s="1"/>
  <c r="K9" i="14"/>
  <c r="K8" i="14" s="1"/>
  <c r="J9" i="14"/>
  <c r="J8" i="14" s="1"/>
  <c r="I9" i="14"/>
  <c r="I8" i="14" s="1"/>
  <c r="H9" i="14"/>
  <c r="H8" i="14" s="1"/>
  <c r="G9" i="14"/>
  <c r="F9" i="14"/>
  <c r="F8" i="14" s="1"/>
  <c r="E9" i="14"/>
  <c r="D9" i="14"/>
  <c r="D8" i="14" s="1"/>
  <c r="C9" i="14"/>
  <c r="B9" i="14"/>
  <c r="O8" i="14"/>
  <c r="C8" i="14"/>
  <c r="B8" i="14"/>
  <c r="B40" i="7" s="1"/>
  <c r="AC7" i="14"/>
  <c r="P7" i="14"/>
  <c r="O7" i="14"/>
  <c r="N7" i="14"/>
  <c r="M7" i="14"/>
  <c r="AD7" i="14" s="1"/>
  <c r="L7" i="14"/>
  <c r="K7" i="14"/>
  <c r="J7" i="14"/>
  <c r="I7" i="14"/>
  <c r="H7" i="14"/>
  <c r="G7" i="14"/>
  <c r="F7" i="14"/>
  <c r="E7" i="14"/>
  <c r="D7" i="14"/>
  <c r="C7" i="14"/>
  <c r="B7" i="14"/>
  <c r="AW6" i="14"/>
  <c r="AV6" i="14"/>
  <c r="AD6" i="14"/>
  <c r="AU6" i="14" s="1"/>
  <c r="AC6" i="14"/>
  <c r="AT6" i="14" s="1"/>
  <c r="P6" i="14"/>
  <c r="O6" i="14"/>
  <c r="N6" i="14"/>
  <c r="M6" i="14"/>
  <c r="L6" i="14"/>
  <c r="K6" i="14"/>
  <c r="J6" i="14"/>
  <c r="I6" i="14"/>
  <c r="H6" i="14"/>
  <c r="G6" i="14"/>
  <c r="F6" i="14"/>
  <c r="E6" i="14"/>
  <c r="D6" i="14"/>
  <c r="C6" i="14"/>
  <c r="B6" i="14"/>
  <c r="AX5" i="14"/>
  <c r="AW5" i="14"/>
  <c r="AV5" i="14"/>
  <c r="P5" i="14"/>
  <c r="O5" i="14"/>
  <c r="N5" i="14"/>
  <c r="M5" i="14"/>
  <c r="L5" i="14"/>
  <c r="K5" i="14"/>
  <c r="K4" i="14" s="1"/>
  <c r="K16" i="7" s="1"/>
  <c r="J5" i="14"/>
  <c r="J4" i="14" s="1"/>
  <c r="J16" i="7" s="1"/>
  <c r="I5" i="14"/>
  <c r="I4" i="14" s="1"/>
  <c r="H5" i="14"/>
  <c r="G5" i="14"/>
  <c r="G4" i="14" s="1"/>
  <c r="F5" i="14"/>
  <c r="F4" i="14" s="1"/>
  <c r="F28" i="15" s="1"/>
  <c r="E5" i="14"/>
  <c r="E4" i="14" s="1"/>
  <c r="E28" i="15" s="1"/>
  <c r="D5" i="14"/>
  <c r="C5" i="14"/>
  <c r="B5" i="14"/>
  <c r="M4" i="14"/>
  <c r="L4" i="14"/>
  <c r="D4" i="14"/>
  <c r="C4" i="14"/>
  <c r="J9" i="13"/>
  <c r="I9" i="13"/>
  <c r="G6" i="13"/>
  <c r="F6" i="13"/>
  <c r="E6" i="13"/>
  <c r="D6" i="13"/>
  <c r="C6" i="13"/>
  <c r="B6" i="13"/>
  <c r="P5" i="13"/>
  <c r="K5" i="13"/>
  <c r="J5" i="13"/>
  <c r="I5" i="13"/>
  <c r="H5" i="13"/>
  <c r="G5" i="13"/>
  <c r="F5" i="13"/>
  <c r="E5" i="13"/>
  <c r="D5" i="13"/>
  <c r="C5" i="13"/>
  <c r="B5" i="13"/>
  <c r="E4" i="13"/>
  <c r="D4" i="13"/>
  <c r="C4" i="13"/>
  <c r="C9" i="12"/>
  <c r="P6" i="12"/>
  <c r="O6" i="12"/>
  <c r="L6" i="12"/>
  <c r="K6" i="12"/>
  <c r="I6" i="12"/>
  <c r="H6" i="12"/>
  <c r="K5" i="12"/>
  <c r="J5" i="12"/>
  <c r="I5" i="12"/>
  <c r="H5" i="12"/>
  <c r="G5" i="12"/>
  <c r="F5" i="12"/>
  <c r="E5" i="12"/>
  <c r="D5" i="12"/>
  <c r="C5" i="12"/>
  <c r="E4" i="12"/>
  <c r="D4" i="12"/>
  <c r="C4" i="12"/>
  <c r="H9" i="11"/>
  <c r="P6" i="11"/>
  <c r="K6" i="11"/>
  <c r="J6" i="11"/>
  <c r="I6" i="11"/>
  <c r="H6" i="11"/>
  <c r="G6" i="11"/>
  <c r="F6" i="11"/>
  <c r="D6" i="11"/>
  <c r="C6" i="11"/>
  <c r="B6" i="11"/>
  <c r="K5" i="11"/>
  <c r="J5" i="11"/>
  <c r="I5" i="11"/>
  <c r="H5" i="11"/>
  <c r="G5" i="11"/>
  <c r="F5" i="11"/>
  <c r="E5" i="11"/>
  <c r="D5" i="11"/>
  <c r="E4" i="11"/>
  <c r="D4" i="11"/>
  <c r="C4" i="11"/>
  <c r="O9" i="10"/>
  <c r="B9" i="10"/>
  <c r="K6" i="10"/>
  <c r="J6" i="10"/>
  <c r="I6" i="10"/>
  <c r="H6" i="10"/>
  <c r="G6" i="10"/>
  <c r="F6" i="10"/>
  <c r="E6" i="10"/>
  <c r="D6" i="10"/>
  <c r="C6" i="10"/>
  <c r="B6" i="10"/>
  <c r="O5" i="10"/>
  <c r="K5" i="10"/>
  <c r="J5" i="10"/>
  <c r="C5" i="10"/>
  <c r="B5" i="10"/>
  <c r="E4" i="10"/>
  <c r="D4" i="10"/>
  <c r="C4" i="10"/>
  <c r="K9" i="9"/>
  <c r="J9" i="9"/>
  <c r="G9" i="9"/>
  <c r="F9" i="9"/>
  <c r="F54" i="7" s="1"/>
  <c r="E9" i="9"/>
  <c r="E54" i="7" s="1"/>
  <c r="D9" i="9"/>
  <c r="D54" i="7" s="1"/>
  <c r="C9" i="9"/>
  <c r="C54" i="7" s="1"/>
  <c r="P6" i="9"/>
  <c r="O6" i="9"/>
  <c r="N6" i="9"/>
  <c r="L6" i="9"/>
  <c r="K6" i="9"/>
  <c r="J6" i="9"/>
  <c r="I6" i="9"/>
  <c r="H6" i="9"/>
  <c r="G6" i="9"/>
  <c r="F6" i="9"/>
  <c r="E6" i="9"/>
  <c r="K5" i="9"/>
  <c r="J5" i="9"/>
  <c r="I5" i="9"/>
  <c r="H5" i="9"/>
  <c r="F5" i="9"/>
  <c r="E5" i="9"/>
  <c r="D5" i="9"/>
  <c r="C5" i="9"/>
  <c r="B5" i="9"/>
  <c r="E4" i="9"/>
  <c r="D4" i="9"/>
  <c r="C4" i="9"/>
  <c r="D37" i="8"/>
  <c r="C37" i="8"/>
  <c r="B37" i="8"/>
  <c r="E36" i="8"/>
  <c r="D36" i="8"/>
  <c r="C36" i="8"/>
  <c r="B36" i="8"/>
  <c r="H35" i="8"/>
  <c r="G35" i="8"/>
  <c r="F35" i="8"/>
  <c r="C35" i="8"/>
  <c r="B35" i="8"/>
  <c r="I34" i="8"/>
  <c r="H34" i="8"/>
  <c r="G34" i="8"/>
  <c r="E34" i="8"/>
  <c r="C34" i="8"/>
  <c r="B34" i="8"/>
  <c r="H31" i="8"/>
  <c r="G31" i="8"/>
  <c r="F31" i="8"/>
  <c r="E31" i="8"/>
  <c r="D31" i="8"/>
  <c r="C31" i="8"/>
  <c r="B31" i="8"/>
  <c r="I30" i="8"/>
  <c r="H30" i="8"/>
  <c r="G30" i="8"/>
  <c r="F30" i="8"/>
  <c r="E30" i="8"/>
  <c r="D30" i="8"/>
  <c r="C30" i="8"/>
  <c r="B30" i="8"/>
  <c r="P29" i="8"/>
  <c r="O29" i="8"/>
  <c r="N29" i="8"/>
  <c r="M29" i="8"/>
  <c r="L29" i="8"/>
  <c r="K29" i="8"/>
  <c r="J29" i="8"/>
  <c r="I29" i="8"/>
  <c r="I28" i="8"/>
  <c r="H28" i="8"/>
  <c r="G28" i="8"/>
  <c r="F28" i="8"/>
  <c r="E28" i="8"/>
  <c r="D28" i="8"/>
  <c r="C28" i="8"/>
  <c r="B28" i="8"/>
  <c r="I25" i="8"/>
  <c r="H25" i="8"/>
  <c r="H37" i="8" s="1"/>
  <c r="G25" i="8"/>
  <c r="G37" i="8" s="1"/>
  <c r="G28" i="7" s="1"/>
  <c r="F25" i="8"/>
  <c r="E25" i="8"/>
  <c r="E37" i="8" s="1"/>
  <c r="E28" i="7" s="1"/>
  <c r="D25" i="8"/>
  <c r="I24" i="8"/>
  <c r="I36" i="8" s="1"/>
  <c r="H24" i="8"/>
  <c r="G24" i="8"/>
  <c r="F24" i="8"/>
  <c r="F36" i="8" s="1"/>
  <c r="E24" i="8"/>
  <c r="D24" i="8"/>
  <c r="I23" i="8"/>
  <c r="I35" i="8" s="1"/>
  <c r="H23" i="8"/>
  <c r="G23" i="8"/>
  <c r="F23" i="8"/>
  <c r="E23" i="8"/>
  <c r="E35" i="8" s="1"/>
  <c r="D23" i="8"/>
  <c r="D35" i="8" s="1"/>
  <c r="I22" i="8"/>
  <c r="H22" i="8"/>
  <c r="G22" i="8"/>
  <c r="F22" i="8"/>
  <c r="F34" i="8" s="1"/>
  <c r="E22" i="8"/>
  <c r="D22" i="8"/>
  <c r="D34" i="8" s="1"/>
  <c r="I20" i="8"/>
  <c r="H20" i="8"/>
  <c r="G20" i="8"/>
  <c r="F20" i="8"/>
  <c r="E20" i="8"/>
  <c r="D20" i="8"/>
  <c r="N79" i="7"/>
  <c r="M79" i="7"/>
  <c r="L79" i="7"/>
  <c r="J79" i="7"/>
  <c r="F79" i="7"/>
  <c r="E79" i="7"/>
  <c r="I78" i="7"/>
  <c r="I79" i="7" s="1"/>
  <c r="H78" i="7"/>
  <c r="H79" i="7" s="1"/>
  <c r="G78" i="7"/>
  <c r="G79" i="7" s="1"/>
  <c r="F78" i="7"/>
  <c r="E78" i="7"/>
  <c r="D78" i="7"/>
  <c r="D79" i="7" s="1"/>
  <c r="C78" i="7"/>
  <c r="C79" i="7" s="1"/>
  <c r="B78" i="7"/>
  <c r="B79" i="7" s="1"/>
  <c r="N73" i="7"/>
  <c r="N78" i="7" s="1"/>
  <c r="M73" i="7"/>
  <c r="M78" i="7" s="1"/>
  <c r="L73" i="7"/>
  <c r="L78" i="7" s="1"/>
  <c r="K73" i="7"/>
  <c r="K78" i="7" s="1"/>
  <c r="K79" i="7" s="1"/>
  <c r="J73" i="7"/>
  <c r="J78" i="7" s="1"/>
  <c r="I73" i="7"/>
  <c r="H73" i="7"/>
  <c r="G73" i="7"/>
  <c r="F73" i="7"/>
  <c r="E73" i="7"/>
  <c r="D73" i="7"/>
  <c r="C73" i="7"/>
  <c r="B73" i="7"/>
  <c r="N68" i="7"/>
  <c r="M68" i="7"/>
  <c r="L68" i="7"/>
  <c r="L24" i="7" s="1"/>
  <c r="K68" i="7"/>
  <c r="K24" i="7" s="1"/>
  <c r="J68" i="7"/>
  <c r="J24" i="7" s="1"/>
  <c r="I68" i="7"/>
  <c r="I24" i="7" s="1"/>
  <c r="H68" i="7"/>
  <c r="H24" i="7" s="1"/>
  <c r="G68" i="7"/>
  <c r="G24" i="7" s="1"/>
  <c r="F68" i="7"/>
  <c r="E68" i="7"/>
  <c r="D68" i="7"/>
  <c r="C68" i="7"/>
  <c r="B68" i="7"/>
  <c r="N63" i="7"/>
  <c r="M63" i="7"/>
  <c r="L63" i="7"/>
  <c r="K63" i="7"/>
  <c r="J63" i="7"/>
  <c r="I63" i="7"/>
  <c r="H63" i="7"/>
  <c r="G63" i="7"/>
  <c r="F63" i="7"/>
  <c r="E63" i="7"/>
  <c r="D63" i="7"/>
  <c r="D23" i="7" s="1"/>
  <c r="C63" i="7"/>
  <c r="B63" i="7"/>
  <c r="B23" i="7" s="1"/>
  <c r="K54" i="7"/>
  <c r="J54" i="7"/>
  <c r="G54" i="7"/>
  <c r="H48" i="7"/>
  <c r="I43" i="7"/>
  <c r="I50" i="7" s="1"/>
  <c r="H43" i="7"/>
  <c r="D42" i="7"/>
  <c r="D49" i="7" s="1"/>
  <c r="C42" i="7"/>
  <c r="I41" i="7"/>
  <c r="I48" i="7" s="1"/>
  <c r="H41" i="7"/>
  <c r="H40" i="7"/>
  <c r="F40" i="7"/>
  <c r="F39" i="7"/>
  <c r="F46" i="7" s="1"/>
  <c r="E39" i="7"/>
  <c r="D39" i="7"/>
  <c r="D46" i="7" s="1"/>
  <c r="C39" i="7"/>
  <c r="I32" i="7"/>
  <c r="H32" i="7"/>
  <c r="G32" i="7"/>
  <c r="F32" i="7"/>
  <c r="E32" i="7"/>
  <c r="R28" i="7"/>
  <c r="Q28" i="7"/>
  <c r="H28" i="7"/>
  <c r="D28" i="7"/>
  <c r="C28" i="7"/>
  <c r="B28" i="7"/>
  <c r="L23" i="7"/>
  <c r="K23" i="7"/>
  <c r="J23" i="7"/>
  <c r="I23" i="7"/>
  <c r="H23" i="7"/>
  <c r="G23" i="7"/>
  <c r="F23" i="7"/>
  <c r="E23" i="7"/>
  <c r="C23" i="7"/>
  <c r="E20" i="7"/>
  <c r="L19" i="7"/>
  <c r="K18" i="7"/>
  <c r="J18" i="7"/>
  <c r="I18" i="7"/>
  <c r="H18" i="7"/>
  <c r="D17" i="7"/>
  <c r="C17" i="7"/>
  <c r="B17" i="7"/>
  <c r="B47" i="7" s="1"/>
  <c r="I16" i="7"/>
  <c r="G16" i="7"/>
  <c r="F16" i="7"/>
  <c r="D16" i="7"/>
  <c r="R12" i="7"/>
  <c r="Q12" i="7"/>
  <c r="P12" i="7"/>
  <c r="O12" i="7"/>
  <c r="R11" i="7"/>
  <c r="Q11" i="7"/>
  <c r="J11" i="7"/>
  <c r="E10" i="7"/>
  <c r="D10" i="7"/>
  <c r="C10" i="7"/>
  <c r="J2" i="7"/>
  <c r="I2" i="7"/>
  <c r="H2" i="7"/>
  <c r="G2" i="7"/>
  <c r="F2" i="7"/>
  <c r="E2" i="7"/>
  <c r="O87" i="6"/>
  <c r="N87" i="6"/>
  <c r="M87" i="6"/>
  <c r="L87" i="6"/>
  <c r="K87" i="6"/>
  <c r="J87" i="6"/>
  <c r="I87" i="6"/>
  <c r="H87" i="6"/>
  <c r="G87" i="6"/>
  <c r="F87" i="6"/>
  <c r="E87" i="6"/>
  <c r="D87" i="6"/>
  <c r="C87" i="6"/>
  <c r="B87" i="6"/>
  <c r="N58" i="6"/>
  <c r="N59" i="6" s="1"/>
  <c r="M58" i="6"/>
  <c r="M59" i="6" s="1"/>
  <c r="C51" i="6"/>
  <c r="B51" i="6"/>
  <c r="AP50" i="6"/>
  <c r="AO50" i="6"/>
  <c r="AN50" i="6"/>
  <c r="AM50" i="6"/>
  <c r="AL50" i="6"/>
  <c r="AK50" i="6"/>
  <c r="AJ50" i="6"/>
  <c r="AI50" i="6"/>
  <c r="H49" i="6"/>
  <c r="G49" i="6"/>
  <c r="H31" i="2" s="1"/>
  <c r="F49" i="6"/>
  <c r="E49" i="6"/>
  <c r="D49" i="6"/>
  <c r="D51" i="6" s="1"/>
  <c r="C49" i="6"/>
  <c r="D31" i="2" s="1"/>
  <c r="B49" i="6"/>
  <c r="D20" i="6"/>
  <c r="C20" i="6"/>
  <c r="B20" i="6"/>
  <c r="D16" i="6"/>
  <c r="C16" i="6"/>
  <c r="B16" i="6"/>
  <c r="D12" i="6"/>
  <c r="C12" i="6"/>
  <c r="B12" i="6"/>
  <c r="I5" i="5"/>
  <c r="H6" i="5" s="1"/>
  <c r="K91" i="4"/>
  <c r="J91" i="4"/>
  <c r="J90" i="4"/>
  <c r="K89" i="4"/>
  <c r="M89" i="4" s="1"/>
  <c r="J89" i="4"/>
  <c r="M88" i="4"/>
  <c r="L88" i="4"/>
  <c r="K88" i="4"/>
  <c r="J88" i="4"/>
  <c r="K87" i="4"/>
  <c r="J87" i="4"/>
  <c r="K86" i="4"/>
  <c r="L86" i="4" s="1"/>
  <c r="J86" i="4"/>
  <c r="M86" i="4" s="1"/>
  <c r="K85" i="4"/>
  <c r="M85" i="4" s="1"/>
  <c r="J85" i="4"/>
  <c r="K81" i="4"/>
  <c r="J81" i="4"/>
  <c r="J80" i="4"/>
  <c r="M79" i="4"/>
  <c r="L79" i="4"/>
  <c r="K79" i="4"/>
  <c r="J79" i="4"/>
  <c r="K78" i="4"/>
  <c r="J78" i="4"/>
  <c r="M77" i="4"/>
  <c r="L77" i="4"/>
  <c r="K77" i="4"/>
  <c r="J77" i="4"/>
  <c r="K76" i="4"/>
  <c r="J76" i="4"/>
  <c r="L75" i="4"/>
  <c r="K75" i="4"/>
  <c r="M75" i="4" s="1"/>
  <c r="J75" i="4"/>
  <c r="K71" i="4"/>
  <c r="J71" i="4"/>
  <c r="J70" i="4"/>
  <c r="K69" i="4"/>
  <c r="J69" i="4"/>
  <c r="M69" i="4" s="1"/>
  <c r="K68" i="4"/>
  <c r="J68" i="4"/>
  <c r="O67" i="4"/>
  <c r="P68" i="4" s="1"/>
  <c r="K67" i="4"/>
  <c r="O66" i="4" s="1"/>
  <c r="P67" i="4" s="1"/>
  <c r="J67" i="4"/>
  <c r="K66" i="4"/>
  <c r="J66" i="4"/>
  <c r="M66" i="4" s="1"/>
  <c r="M65" i="4"/>
  <c r="K65" i="4"/>
  <c r="J65" i="4"/>
  <c r="I61" i="4"/>
  <c r="I60" i="4"/>
  <c r="W59" i="4"/>
  <c r="T59" i="4"/>
  <c r="W58" i="4"/>
  <c r="T58" i="4"/>
  <c r="AG57" i="4"/>
  <c r="AF57" i="4"/>
  <c r="AD57" i="4"/>
  <c r="AA57" i="4"/>
  <c r="W57" i="4"/>
  <c r="T57" i="4"/>
  <c r="P57" i="4"/>
  <c r="M57" i="4"/>
  <c r="AG56" i="4"/>
  <c r="AF56" i="4"/>
  <c r="AD56" i="4"/>
  <c r="AA56" i="4"/>
  <c r="W56" i="4"/>
  <c r="T56" i="4"/>
  <c r="P56" i="4"/>
  <c r="M56" i="4"/>
  <c r="AF55" i="4"/>
  <c r="AG55" i="4" s="1"/>
  <c r="AD55" i="4"/>
  <c r="AA55" i="4"/>
  <c r="W55" i="4"/>
  <c r="T55" i="4"/>
  <c r="M55" i="4"/>
  <c r="P55" i="4" s="1"/>
  <c r="AF54" i="4"/>
  <c r="AG54" i="4" s="1"/>
  <c r="AD54" i="4"/>
  <c r="AA54" i="4"/>
  <c r="W54" i="4"/>
  <c r="T54" i="4"/>
  <c r="P54" i="4"/>
  <c r="M54" i="4"/>
  <c r="AF53" i="4"/>
  <c r="AG53" i="4" s="1"/>
  <c r="AD53" i="4"/>
  <c r="AA53" i="4"/>
  <c r="W53" i="4"/>
  <c r="T53" i="4"/>
  <c r="P53" i="4"/>
  <c r="M53" i="4"/>
  <c r="AD52" i="4"/>
  <c r="AA52" i="4"/>
  <c r="T52" i="4"/>
  <c r="M52" i="4"/>
  <c r="P52" i="4" s="1"/>
  <c r="AD51" i="4"/>
  <c r="AA51" i="4"/>
  <c r="T51" i="4"/>
  <c r="M51" i="4"/>
  <c r="P51" i="4" s="1"/>
  <c r="AB50" i="4"/>
  <c r="AA50" i="4"/>
  <c r="T50" i="4"/>
  <c r="M50" i="4"/>
  <c r="P50" i="4" s="1"/>
  <c r="T49" i="4"/>
  <c r="T48" i="4"/>
  <c r="T47" i="4"/>
  <c r="T46" i="4"/>
  <c r="I125" i="3"/>
  <c r="F85" i="3"/>
  <c r="G84" i="3"/>
  <c r="G83" i="3"/>
  <c r="G82" i="3"/>
  <c r="G81" i="3"/>
  <c r="G80" i="3"/>
  <c r="G79" i="3"/>
  <c r="G78" i="3"/>
  <c r="G77" i="3"/>
  <c r="G85" i="3" s="1"/>
  <c r="G88" i="3" s="1"/>
  <c r="G76" i="3"/>
  <c r="G75" i="3"/>
  <c r="H74" i="3"/>
  <c r="H75" i="3" s="1"/>
  <c r="I75" i="3" s="1"/>
  <c r="G74" i="3"/>
  <c r="F73" i="3"/>
  <c r="G73" i="3" s="1"/>
  <c r="I72" i="3"/>
  <c r="H72" i="3"/>
  <c r="H73" i="3" s="1"/>
  <c r="I73" i="3" s="1"/>
  <c r="N69" i="3"/>
  <c r="M69" i="3"/>
  <c r="N68" i="3"/>
  <c r="M68" i="3"/>
  <c r="Q64" i="3"/>
  <c r="Q63" i="3"/>
  <c r="R55" i="3"/>
  <c r="Q55" i="3"/>
  <c r="S55" i="3" s="1"/>
  <c r="T55" i="3" s="1"/>
  <c r="M55" i="3"/>
  <c r="R54" i="3"/>
  <c r="Q54" i="3"/>
  <c r="S54" i="3" s="1"/>
  <c r="T54" i="3" s="1"/>
  <c r="M54" i="3"/>
  <c r="F29" i="3"/>
  <c r="I27" i="3"/>
  <c r="H27" i="3"/>
  <c r="G27" i="3"/>
  <c r="F27" i="3"/>
  <c r="E27" i="3"/>
  <c r="D27" i="3"/>
  <c r="I26" i="3"/>
  <c r="H26" i="3"/>
  <c r="G26" i="3"/>
  <c r="F26" i="3"/>
  <c r="E26" i="3"/>
  <c r="D26" i="3"/>
  <c r="I25" i="3"/>
  <c r="H25" i="3"/>
  <c r="G25" i="3"/>
  <c r="F25" i="3"/>
  <c r="I24" i="3"/>
  <c r="H24" i="3"/>
  <c r="G24" i="3"/>
  <c r="F24" i="3"/>
  <c r="E24" i="3"/>
  <c r="D24" i="3"/>
  <c r="I23" i="3"/>
  <c r="H23" i="3"/>
  <c r="G23" i="3"/>
  <c r="G29" i="3" s="1"/>
  <c r="F23" i="3"/>
  <c r="E23" i="3"/>
  <c r="D23" i="3"/>
  <c r="I22" i="3"/>
  <c r="H22" i="3"/>
  <c r="G22" i="3"/>
  <c r="F22" i="3"/>
  <c r="D22" i="3"/>
  <c r="I20" i="3"/>
  <c r="H20" i="3"/>
  <c r="G20" i="3"/>
  <c r="F20" i="3"/>
  <c r="B20" i="3"/>
  <c r="D11" i="3"/>
  <c r="D10" i="3"/>
  <c r="D9" i="3"/>
  <c r="E8" i="3"/>
  <c r="E22" i="3" s="1"/>
  <c r="D8" i="3"/>
  <c r="C10" i="3" s="1"/>
  <c r="I5" i="3"/>
  <c r="H5" i="3"/>
  <c r="G5" i="3"/>
  <c r="F5" i="3"/>
  <c r="D5" i="3"/>
  <c r="H57" i="2"/>
  <c r="G57" i="2"/>
  <c r="G60" i="2" s="1"/>
  <c r="G63" i="2" s="1"/>
  <c r="F57" i="2"/>
  <c r="F60" i="2" s="1"/>
  <c r="F63" i="2" s="1"/>
  <c r="I54" i="2"/>
  <c r="H54" i="2"/>
  <c r="G54" i="2"/>
  <c r="F54" i="2"/>
  <c r="E54" i="2"/>
  <c r="D54" i="2"/>
  <c r="C54" i="2"/>
  <c r="H51" i="2"/>
  <c r="G51" i="2"/>
  <c r="F51" i="2"/>
  <c r="C51" i="2"/>
  <c r="C57" i="2" s="1"/>
  <c r="N47" i="2"/>
  <c r="M47" i="2"/>
  <c r="L47" i="2"/>
  <c r="N46" i="2"/>
  <c r="M46" i="2"/>
  <c r="L46" i="2"/>
  <c r="N45" i="2"/>
  <c r="M45" i="2"/>
  <c r="L45" i="2"/>
  <c r="N44" i="2"/>
  <c r="M44" i="2"/>
  <c r="L44" i="2"/>
  <c r="O43" i="2"/>
  <c r="N43" i="2"/>
  <c r="M43" i="2"/>
  <c r="K43" i="2"/>
  <c r="J43" i="2"/>
  <c r="I43" i="2"/>
  <c r="H43" i="2"/>
  <c r="G43" i="2"/>
  <c r="F43" i="2"/>
  <c r="E43" i="2"/>
  <c r="D43" i="2"/>
  <c r="C43" i="2"/>
  <c r="R32" i="2"/>
  <c r="Q32" i="2"/>
  <c r="P32" i="2"/>
  <c r="O32" i="2"/>
  <c r="N32" i="2"/>
  <c r="M32" i="2"/>
  <c r="L32" i="2"/>
  <c r="K32" i="2"/>
  <c r="J32" i="2"/>
  <c r="I32" i="2"/>
  <c r="H32" i="2"/>
  <c r="G32" i="2"/>
  <c r="F32" i="2"/>
  <c r="E32" i="2"/>
  <c r="D32" i="2"/>
  <c r="C32" i="2"/>
  <c r="I31" i="2"/>
  <c r="G31" i="2"/>
  <c r="F31" i="2"/>
  <c r="E31" i="2"/>
  <c r="C31" i="2"/>
  <c r="I30" i="2"/>
  <c r="F30" i="2"/>
  <c r="I29" i="2"/>
  <c r="H29" i="2"/>
  <c r="G29" i="2"/>
  <c r="F29" i="2"/>
  <c r="E29" i="2"/>
  <c r="D29" i="2"/>
  <c r="C29" i="2"/>
  <c r="J28" i="2"/>
  <c r="I28" i="2"/>
  <c r="H28" i="2"/>
  <c r="C28" i="2"/>
  <c r="H27" i="2"/>
  <c r="C27" i="2"/>
  <c r="Q18" i="2"/>
  <c r="P18" i="2"/>
  <c r="O18" i="2"/>
  <c r="N18" i="2"/>
  <c r="M18" i="2"/>
  <c r="L18" i="2"/>
  <c r="K18" i="2"/>
  <c r="J18" i="2"/>
  <c r="I18" i="2"/>
  <c r="H18" i="2"/>
  <c r="G18" i="2"/>
  <c r="F18" i="2"/>
  <c r="E18" i="2"/>
  <c r="D18" i="2"/>
  <c r="C18" i="2"/>
  <c r="D11" i="2"/>
  <c r="C11" i="2"/>
  <c r="R9" i="2"/>
  <c r="Q9" i="2"/>
  <c r="P9" i="2"/>
  <c r="O9" i="2"/>
  <c r="N9" i="2"/>
  <c r="M9" i="2"/>
  <c r="L9" i="2"/>
  <c r="K9" i="2"/>
  <c r="J9" i="2"/>
  <c r="I9" i="2"/>
  <c r="H9" i="2"/>
  <c r="G9" i="2"/>
  <c r="F9" i="2"/>
  <c r="E9" i="2"/>
  <c r="D9" i="2"/>
  <c r="C9" i="2"/>
  <c r="J6" i="2"/>
  <c r="J27" i="2" s="1"/>
  <c r="I6" i="2"/>
  <c r="I27" i="2" s="1"/>
  <c r="H6" i="2"/>
  <c r="G6" i="2"/>
  <c r="G27" i="2" s="1"/>
  <c r="F6" i="2"/>
  <c r="F27" i="2" s="1"/>
  <c r="E6" i="2"/>
  <c r="E27" i="2" s="1"/>
  <c r="D6" i="2"/>
  <c r="D27" i="2" s="1"/>
  <c r="C6" i="2"/>
  <c r="J5" i="2"/>
  <c r="I5" i="2"/>
  <c r="H5" i="2"/>
  <c r="G5" i="2"/>
  <c r="G28" i="2" s="1"/>
  <c r="F5" i="2"/>
  <c r="F28" i="2" s="1"/>
  <c r="E5" i="2"/>
  <c r="E28" i="2" s="1"/>
  <c r="D5" i="2"/>
  <c r="D28" i="2" s="1"/>
  <c r="C5" i="2"/>
  <c r="I3" i="2"/>
  <c r="H3" i="2"/>
  <c r="H30" i="2" s="1"/>
  <c r="G3" i="2"/>
  <c r="F3" i="2"/>
  <c r="F7" i="2" s="1"/>
  <c r="E3" i="2"/>
  <c r="D3" i="2"/>
  <c r="C3" i="2"/>
  <c r="R2" i="2"/>
  <c r="Q2" i="2"/>
  <c r="Q43" i="2" s="1"/>
  <c r="P2" i="2"/>
  <c r="P43" i="2" s="1"/>
  <c r="O2" i="2"/>
  <c r="N2" i="2"/>
  <c r="M2" i="2"/>
  <c r="L2" i="2"/>
  <c r="L43" i="2" s="1"/>
  <c r="K2" i="2"/>
  <c r="J2" i="2"/>
  <c r="I2" i="2"/>
  <c r="H2" i="2"/>
  <c r="G2" i="2"/>
  <c r="F2" i="2"/>
  <c r="E2" i="2"/>
  <c r="D2" i="2"/>
  <c r="C2" i="2"/>
  <c r="BG52" i="1"/>
  <c r="BG51" i="1"/>
  <c r="BG50" i="1"/>
  <c r="I38" i="1"/>
  <c r="I50" i="6" s="1"/>
  <c r="H38" i="1"/>
  <c r="H11" i="2" s="1"/>
  <c r="I37" i="1"/>
  <c r="H37" i="1"/>
  <c r="G37" i="1"/>
  <c r="F37" i="1"/>
  <c r="E37" i="1"/>
  <c r="I35" i="1"/>
  <c r="H35" i="1"/>
  <c r="H20" i="2" s="1"/>
  <c r="G35" i="1"/>
  <c r="G20" i="2" s="1"/>
  <c r="F35" i="1"/>
  <c r="E35" i="1"/>
  <c r="E20" i="2" s="1"/>
  <c r="I34" i="1"/>
  <c r="I41" i="1" s="1"/>
  <c r="I15" i="6" s="1"/>
  <c r="I16" i="6" s="1"/>
  <c r="H34" i="1"/>
  <c r="H41" i="1" s="1"/>
  <c r="H48" i="1" s="1"/>
  <c r="I4" i="9" s="1"/>
  <c r="G34" i="1"/>
  <c r="G41" i="1" s="1"/>
  <c r="G48" i="1" s="1"/>
  <c r="F34" i="1"/>
  <c r="F41" i="1" s="1"/>
  <c r="F15" i="6" s="1"/>
  <c r="F16" i="6" s="1"/>
  <c r="E34" i="1"/>
  <c r="E41" i="1" s="1"/>
  <c r="E48" i="1" s="1"/>
  <c r="F4" i="9" s="1"/>
  <c r="G29" i="1"/>
  <c r="G38" i="1" s="1"/>
  <c r="F29" i="1"/>
  <c r="F38" i="1" s="1"/>
  <c r="F50" i="6" s="1"/>
  <c r="E29" i="1"/>
  <c r="E38" i="1" s="1"/>
  <c r="E11" i="2" s="1"/>
  <c r="I21" i="1"/>
  <c r="H21" i="1"/>
  <c r="G21" i="1"/>
  <c r="F21" i="1"/>
  <c r="E21" i="1"/>
  <c r="J20" i="1"/>
  <c r="I20" i="1"/>
  <c r="H20" i="1"/>
  <c r="G20" i="1"/>
  <c r="F20" i="1"/>
  <c r="E20" i="1"/>
  <c r="D20" i="1"/>
  <c r="BH19" i="1"/>
  <c r="J19" i="1"/>
  <c r="I19" i="1"/>
  <c r="H19" i="1"/>
  <c r="G19" i="1"/>
  <c r="F19" i="1"/>
  <c r="E19" i="1"/>
  <c r="D19" i="1"/>
  <c r="BH18" i="1"/>
  <c r="V18" i="1"/>
  <c r="U18" i="1"/>
  <c r="J18" i="1"/>
  <c r="I18" i="1"/>
  <c r="H18" i="1"/>
  <c r="G18" i="1"/>
  <c r="F18" i="1"/>
  <c r="E18" i="1"/>
  <c r="D18" i="1"/>
  <c r="BH17" i="1"/>
  <c r="BH16" i="1"/>
  <c r="BI16" i="1" s="1"/>
  <c r="BG16" i="1"/>
  <c r="BG17" i="1" s="1"/>
  <c r="BG18" i="1" s="1"/>
  <c r="BH15" i="1"/>
  <c r="AP9" i="1"/>
  <c r="AO9" i="1"/>
  <c r="AN9" i="1"/>
  <c r="AM9" i="1"/>
  <c r="AL9" i="1"/>
  <c r="AK9" i="1"/>
  <c r="AJ9" i="1"/>
  <c r="AI9" i="1"/>
  <c r="AH9" i="1"/>
  <c r="AG9" i="1"/>
  <c r="AF9" i="1"/>
  <c r="AE9" i="1"/>
  <c r="AD9" i="1"/>
  <c r="AC9" i="1"/>
  <c r="AB9" i="1"/>
  <c r="AA9" i="1"/>
  <c r="Z9" i="1"/>
  <c r="Y9" i="1"/>
  <c r="X9" i="1"/>
  <c r="W9" i="1"/>
  <c r="V9" i="1"/>
  <c r="U9" i="1"/>
  <c r="T9" i="1"/>
  <c r="S9" i="1"/>
  <c r="R9" i="1"/>
  <c r="Q9" i="1"/>
  <c r="P9" i="1"/>
  <c r="O9" i="1"/>
  <c r="N9" i="1"/>
  <c r="M9" i="1"/>
  <c r="L9" i="1"/>
  <c r="K9" i="1"/>
  <c r="J9" i="1"/>
  <c r="I9" i="1"/>
  <c r="H9" i="1"/>
  <c r="G9" i="1"/>
  <c r="F9" i="1"/>
  <c r="E9" i="1"/>
  <c r="D9" i="1"/>
  <c r="C9" i="1"/>
  <c r="O7" i="1"/>
  <c r="N7" i="1"/>
  <c r="M7" i="1"/>
  <c r="L7" i="1"/>
  <c r="K7" i="1"/>
  <c r="J7" i="1"/>
  <c r="I7" i="1"/>
  <c r="H7" i="1"/>
  <c r="G7" i="1"/>
  <c r="F7" i="1"/>
  <c r="E7" i="1"/>
  <c r="D7" i="1"/>
  <c r="C7" i="1"/>
  <c r="O6" i="1"/>
  <c r="N6" i="1"/>
  <c r="M6" i="1"/>
  <c r="L6" i="1"/>
  <c r="K6" i="1"/>
  <c r="J6" i="1"/>
  <c r="I6" i="1"/>
  <c r="H6" i="1"/>
  <c r="G6" i="1"/>
  <c r="F6" i="1"/>
  <c r="E6" i="1"/>
  <c r="D6" i="1"/>
  <c r="C6" i="1"/>
  <c r="M3" i="1"/>
  <c r="M35" i="1" s="1"/>
  <c r="L3" i="1"/>
  <c r="L35" i="1" s="1"/>
  <c r="K3" i="1"/>
  <c r="J3" i="1"/>
  <c r="I3" i="1"/>
  <c r="H3" i="1"/>
  <c r="G3" i="1"/>
  <c r="F3" i="1"/>
  <c r="E3" i="1"/>
  <c r="D3" i="1"/>
  <c r="C3" i="1"/>
  <c r="O2" i="1"/>
  <c r="N2" i="1"/>
  <c r="M2" i="1"/>
  <c r="L2" i="1"/>
  <c r="K2" i="1"/>
  <c r="J2" i="1"/>
  <c r="I2" i="1"/>
  <c r="H2" i="1"/>
  <c r="G2" i="1"/>
  <c r="F2" i="1"/>
  <c r="E2" i="1"/>
  <c r="D2" i="1"/>
  <c r="C2" i="1"/>
  <c r="H60" i="2" l="1"/>
  <c r="H63" i="2" s="1"/>
  <c r="BH73" i="1"/>
  <c r="BH74" i="1"/>
  <c r="R6" i="2"/>
  <c r="R27" i="2" s="1"/>
  <c r="C60" i="2"/>
  <c r="C63" i="2" s="1"/>
  <c r="R33" i="6"/>
  <c r="F24" i="16"/>
  <c r="D7" i="12"/>
  <c r="U33" i="6"/>
  <c r="E24" i="16"/>
  <c r="V33" i="6"/>
  <c r="E7" i="12"/>
  <c r="K24" i="16"/>
  <c r="D34" i="16"/>
  <c r="N5" i="2"/>
  <c r="N28" i="2" s="1"/>
  <c r="O19" i="1"/>
  <c r="P19" i="1"/>
  <c r="K6" i="2"/>
  <c r="K27" i="2" s="1"/>
  <c r="Q5" i="2"/>
  <c r="Q28" i="2" s="1"/>
  <c r="G34" i="16"/>
  <c r="B6" i="6"/>
  <c r="B22" i="6" s="1"/>
  <c r="B75" i="6" s="1"/>
  <c r="B77" i="6" s="1"/>
  <c r="B79" i="6" s="1"/>
  <c r="C5" i="6"/>
  <c r="C82" i="6" s="1"/>
  <c r="H28" i="16"/>
  <c r="H15" i="16" s="1"/>
  <c r="H34" i="16"/>
  <c r="J24" i="16"/>
  <c r="B4" i="7"/>
  <c r="B13" i="7" s="1"/>
  <c r="T33" i="6"/>
  <c r="D6" i="6"/>
  <c r="D22" i="6" s="1"/>
  <c r="C4" i="7"/>
  <c r="L24" i="16"/>
  <c r="M31" i="8"/>
  <c r="F6" i="6"/>
  <c r="G42" i="1" s="1"/>
  <c r="G11" i="6" s="1"/>
  <c r="G12" i="6" s="1"/>
  <c r="N63" i="6"/>
  <c r="B28" i="16"/>
  <c r="B15" i="16" s="1"/>
  <c r="G6" i="6"/>
  <c r="G22" i="6" s="1"/>
  <c r="G75" i="6" s="1"/>
  <c r="G77" i="6" s="1"/>
  <c r="G79" i="6" s="1"/>
  <c r="C28" i="16"/>
  <c r="C15" i="16" s="1"/>
  <c r="AI51" i="6"/>
  <c r="B24" i="16"/>
  <c r="B34" i="16"/>
  <c r="C24" i="16"/>
  <c r="C34" i="16"/>
  <c r="E28" i="16"/>
  <c r="E15" i="16" s="1"/>
  <c r="J5" i="6"/>
  <c r="J82" i="6" s="1"/>
  <c r="D24" i="16"/>
  <c r="F28" i="16"/>
  <c r="F15" i="16" s="1"/>
  <c r="M5" i="6"/>
  <c r="M82" i="6" s="1"/>
  <c r="I5" i="6"/>
  <c r="I82" i="6" s="1"/>
  <c r="L5" i="2"/>
  <c r="L28" i="2" s="1"/>
  <c r="C4" i="5"/>
  <c r="C12" i="2"/>
  <c r="C13" i="2" s="1"/>
  <c r="M5" i="2"/>
  <c r="M28" i="2" s="1"/>
  <c r="R2" i="1"/>
  <c r="R7" i="1" s="1"/>
  <c r="Q4" i="1"/>
  <c r="X26" i="1"/>
  <c r="Y27" i="1"/>
  <c r="F22" i="1"/>
  <c r="G22" i="1"/>
  <c r="O3" i="1"/>
  <c r="F48" i="1"/>
  <c r="G4" i="9" s="1"/>
  <c r="G7" i="9" s="1"/>
  <c r="G12" i="9" s="1"/>
  <c r="U27" i="1"/>
  <c r="H22" i="1"/>
  <c r="N54" i="2"/>
  <c r="AO22" i="1"/>
  <c r="AO29" i="1" s="1"/>
  <c r="AN22" i="1"/>
  <c r="AN29" i="1" s="1"/>
  <c r="T27" i="1"/>
  <c r="U26" i="1"/>
  <c r="S25" i="1"/>
  <c r="AP25" i="1"/>
  <c r="AD25" i="1"/>
  <c r="AG27" i="1"/>
  <c r="AE25" i="1"/>
  <c r="W27" i="1"/>
  <c r="AM25" i="1"/>
  <c r="AD27" i="1"/>
  <c r="AE27" i="1"/>
  <c r="AF25" i="1"/>
  <c r="W26" i="1"/>
  <c r="V25" i="1"/>
  <c r="I48" i="1"/>
  <c r="J4" i="9" s="1"/>
  <c r="J7" i="9" s="1"/>
  <c r="J12" i="9" s="1"/>
  <c r="T26" i="1"/>
  <c r="Y26" i="1"/>
  <c r="T25" i="1"/>
  <c r="X25" i="1"/>
  <c r="AC25" i="1"/>
  <c r="U25" i="1"/>
  <c r="R25" i="1"/>
  <c r="AO25" i="1"/>
  <c r="AP32" i="1"/>
  <c r="D8" i="1"/>
  <c r="E8" i="1"/>
  <c r="C8" i="1"/>
  <c r="I45" i="1"/>
  <c r="H15" i="6"/>
  <c r="H16" i="6" s="1"/>
  <c r="F51" i="1"/>
  <c r="V32" i="1"/>
  <c r="I51" i="1"/>
  <c r="F11" i="2"/>
  <c r="F12" i="2" s="1"/>
  <c r="F13" i="2" s="1"/>
  <c r="I11" i="2"/>
  <c r="I12" i="2" s="1"/>
  <c r="I13" i="2" s="1"/>
  <c r="AD32" i="1"/>
  <c r="Y32" i="1"/>
  <c r="Z32" i="1"/>
  <c r="H45" i="1"/>
  <c r="AI32" i="1"/>
  <c r="W32" i="1"/>
  <c r="AJ32" i="1"/>
  <c r="X32" i="1"/>
  <c r="D34" i="1"/>
  <c r="Q51" i="2"/>
  <c r="Q57" i="2" s="1"/>
  <c r="Q60" i="2" s="1"/>
  <c r="Q63" i="2" s="1"/>
  <c r="Q30" i="2"/>
  <c r="M28" i="8"/>
  <c r="K4" i="7"/>
  <c r="N21" i="1"/>
  <c r="E39" i="16"/>
  <c r="E16" i="16" s="1"/>
  <c r="G28" i="16"/>
  <c r="G15" i="16" s="1"/>
  <c r="O29" i="2"/>
  <c r="B5" i="6"/>
  <c r="B82" i="6" s="1"/>
  <c r="F39" i="16"/>
  <c r="F16" i="16" s="1"/>
  <c r="Q21" i="1"/>
  <c r="Q22" i="1" s="1"/>
  <c r="P29" i="2"/>
  <c r="G39" i="16"/>
  <c r="G16" i="16" s="1"/>
  <c r="AN25" i="1"/>
  <c r="R21" i="1"/>
  <c r="R22" i="1" s="1"/>
  <c r="R29" i="1" s="1"/>
  <c r="K54" i="2"/>
  <c r="L3" i="2"/>
  <c r="L30" i="2" s="1"/>
  <c r="AM51" i="6"/>
  <c r="H39" i="16"/>
  <c r="H16" i="16" s="1"/>
  <c r="I28" i="16"/>
  <c r="I15" i="16" s="1"/>
  <c r="P31" i="2"/>
  <c r="L28" i="8"/>
  <c r="B39" i="16"/>
  <c r="B16" i="16" s="1"/>
  <c r="N29" i="2"/>
  <c r="O21" i="1"/>
  <c r="O22" i="1" s="1"/>
  <c r="F34" i="16"/>
  <c r="O75" i="6"/>
  <c r="Q6" i="6"/>
  <c r="Q30" i="6" s="1"/>
  <c r="M54" i="2"/>
  <c r="P33" i="6"/>
  <c r="T22" i="1"/>
  <c r="L4" i="7"/>
  <c r="D39" i="16"/>
  <c r="D16" i="16" s="1"/>
  <c r="P28" i="8"/>
  <c r="E34" i="16"/>
  <c r="J39" i="16"/>
  <c r="J16" i="16" s="1"/>
  <c r="K39" i="16"/>
  <c r="K16" i="16" s="1"/>
  <c r="G4" i="7"/>
  <c r="AP22" i="1"/>
  <c r="AP29" i="1" s="1"/>
  <c r="L28" i="16"/>
  <c r="L15" i="16" s="1"/>
  <c r="N28" i="8"/>
  <c r="O28" i="8"/>
  <c r="L6" i="2"/>
  <c r="L27" i="2" s="1"/>
  <c r="D7" i="16"/>
  <c r="S33" i="6"/>
  <c r="O63" i="6"/>
  <c r="C39" i="16"/>
  <c r="C16" i="16" s="1"/>
  <c r="H4" i="7"/>
  <c r="I4" i="7"/>
  <c r="M18" i="1"/>
  <c r="E7" i="16"/>
  <c r="D28" i="16"/>
  <c r="D15" i="16" s="1"/>
  <c r="D4" i="7"/>
  <c r="D13" i="7" s="1"/>
  <c r="I39" i="16"/>
  <c r="I16" i="16" s="1"/>
  <c r="F4" i="7"/>
  <c r="O31" i="2"/>
  <c r="J28" i="16"/>
  <c r="J15" i="16" s="1"/>
  <c r="L39" i="16"/>
  <c r="L16" i="16" s="1"/>
  <c r="O18" i="1"/>
  <c r="H7" i="16"/>
  <c r="N18" i="1"/>
  <c r="Q18" i="1"/>
  <c r="K28" i="16"/>
  <c r="K15" i="16" s="1"/>
  <c r="D7" i="13"/>
  <c r="I7" i="16"/>
  <c r="K75" i="6"/>
  <c r="E7" i="13"/>
  <c r="S22" i="1"/>
  <c r="S29" i="1" s="1"/>
  <c r="Y22" i="1"/>
  <c r="Y29" i="1" s="1"/>
  <c r="AA22" i="1"/>
  <c r="AA29" i="1" s="1"/>
  <c r="P20" i="1"/>
  <c r="J54" i="2"/>
  <c r="AM22" i="1"/>
  <c r="AM29" i="1" s="1"/>
  <c r="K19" i="1"/>
  <c r="L19" i="1"/>
  <c r="O5" i="2"/>
  <c r="O28" i="2" s="1"/>
  <c r="Q19" i="1"/>
  <c r="AK22" i="1"/>
  <c r="AK29" i="1" s="1"/>
  <c r="L18" i="1"/>
  <c r="L33" i="6"/>
  <c r="M22" i="1"/>
  <c r="N19" i="1"/>
  <c r="K18" i="1"/>
  <c r="R7" i="2"/>
  <c r="M33" i="6"/>
  <c r="M19" i="1"/>
  <c r="AC22" i="1"/>
  <c r="AC29" i="1" s="1"/>
  <c r="L54" i="2"/>
  <c r="N33" i="6"/>
  <c r="K33" i="6"/>
  <c r="K5" i="2"/>
  <c r="K28" i="2" s="1"/>
  <c r="P5" i="2"/>
  <c r="P28" i="2" s="1"/>
  <c r="E36" i="1"/>
  <c r="E43" i="1" s="1"/>
  <c r="E19" i="6" s="1"/>
  <c r="E20" i="6" s="1"/>
  <c r="E42" i="1"/>
  <c r="E11" i="6" s="1"/>
  <c r="E12" i="6" s="1"/>
  <c r="D5" i="6"/>
  <c r="D82" i="6" s="1"/>
  <c r="A1" i="6"/>
  <c r="C7" i="10"/>
  <c r="C6" i="6"/>
  <c r="C22" i="6" s="1"/>
  <c r="C75" i="6" s="1"/>
  <c r="C77" i="6" s="1"/>
  <c r="C79" i="6" s="1"/>
  <c r="E21" i="2"/>
  <c r="E22" i="2" s="1"/>
  <c r="G21" i="2"/>
  <c r="G22" i="2" s="1"/>
  <c r="M75" i="6"/>
  <c r="B7" i="9"/>
  <c r="C7" i="9"/>
  <c r="C12" i="9" s="1"/>
  <c r="N75" i="6"/>
  <c r="BH75" i="1"/>
  <c r="B75" i="1" s="1"/>
  <c r="AB18" i="1"/>
  <c r="AB25" i="1" s="1"/>
  <c r="O68" i="4"/>
  <c r="P69" i="4" s="1"/>
  <c r="P70" i="4" s="1"/>
  <c r="K70" i="4" s="1"/>
  <c r="M68" i="4"/>
  <c r="J30" i="8"/>
  <c r="C6" i="5"/>
  <c r="AH27" i="1"/>
  <c r="J38" i="1"/>
  <c r="BI31" i="1"/>
  <c r="J34" i="1"/>
  <c r="J36" i="1"/>
  <c r="J37" i="1"/>
  <c r="BI37" i="1" s="1"/>
  <c r="I20" i="2"/>
  <c r="I21" i="2" s="1"/>
  <c r="I22" i="2" s="1"/>
  <c r="W22" i="1"/>
  <c r="W29" i="1" s="1"/>
  <c r="J8" i="1"/>
  <c r="K8" i="1"/>
  <c r="AL22" i="1"/>
  <c r="AL29" i="1" s="1"/>
  <c r="BK31" i="1"/>
  <c r="K38" i="1"/>
  <c r="K37" i="1"/>
  <c r="BK37" i="1" s="1"/>
  <c r="L8" i="1"/>
  <c r="K20" i="1"/>
  <c r="AK27" i="1"/>
  <c r="Q5" i="6"/>
  <c r="Q36" i="6" s="1"/>
  <c r="U22" i="1"/>
  <c r="L68" i="4"/>
  <c r="O8" i="1"/>
  <c r="L20" i="2"/>
  <c r="L21" i="2" s="1"/>
  <c r="L22" i="2" s="1"/>
  <c r="F34" i="3"/>
  <c r="F42" i="3" s="1"/>
  <c r="F98" i="3" s="1"/>
  <c r="F105" i="3" s="1"/>
  <c r="F30" i="3"/>
  <c r="F35" i="3" s="1"/>
  <c r="F43" i="3" s="1"/>
  <c r="F36" i="3"/>
  <c r="F32" i="3"/>
  <c r="F40" i="3" s="1"/>
  <c r="F96" i="3" s="1"/>
  <c r="F107" i="3" s="1"/>
  <c r="Q29" i="2"/>
  <c r="M20" i="2"/>
  <c r="M21" i="2" s="1"/>
  <c r="M22" i="2" s="1"/>
  <c r="E30" i="2"/>
  <c r="E7" i="2"/>
  <c r="Y18" i="1"/>
  <c r="Y25" i="1" s="1"/>
  <c r="N51" i="2"/>
  <c r="N57" i="2" s="1"/>
  <c r="G15" i="6"/>
  <c r="G16" i="6" s="1"/>
  <c r="G52" i="1"/>
  <c r="D7" i="2"/>
  <c r="D30" i="2"/>
  <c r="L89" i="4"/>
  <c r="M78" i="4"/>
  <c r="L78" i="4"/>
  <c r="F20" i="2"/>
  <c r="F21" i="2" s="1"/>
  <c r="F22" i="2" s="1"/>
  <c r="D35" i="1"/>
  <c r="H8" i="1"/>
  <c r="AC11" i="14"/>
  <c r="AT11" i="14" s="1"/>
  <c r="I8" i="1"/>
  <c r="AC27" i="1"/>
  <c r="J35" i="1"/>
  <c r="M38" i="1"/>
  <c r="M37" i="1"/>
  <c r="D51" i="2"/>
  <c r="D57" i="2" s="1"/>
  <c r="D60" i="2" s="1"/>
  <c r="D63" i="2" s="1"/>
  <c r="Z18" i="1"/>
  <c r="Z25" i="1" s="1"/>
  <c r="G8" i="1"/>
  <c r="F8" i="1"/>
  <c r="AE26" i="1"/>
  <c r="AD26" i="1"/>
  <c r="AA26" i="1"/>
  <c r="AI26" i="1"/>
  <c r="AH26" i="1"/>
  <c r="AC26" i="1"/>
  <c r="V26" i="1"/>
  <c r="AL26" i="1"/>
  <c r="AP26" i="1"/>
  <c r="AO26" i="1"/>
  <c r="AN26" i="1"/>
  <c r="Z26" i="1"/>
  <c r="AM26" i="1"/>
  <c r="AK26" i="1"/>
  <c r="AJ26" i="1"/>
  <c r="AG26" i="1"/>
  <c r="AF26" i="1"/>
  <c r="AB26" i="1"/>
  <c r="AM27" i="1"/>
  <c r="L65" i="1"/>
  <c r="L34" i="1"/>
  <c r="L41" i="1" s="1"/>
  <c r="L48" i="1" s="1"/>
  <c r="L67" i="1"/>
  <c r="L64" i="1"/>
  <c r="L37" i="1"/>
  <c r="L38" i="1"/>
  <c r="N35" i="1"/>
  <c r="N34" i="1"/>
  <c r="N41" i="1" s="1"/>
  <c r="N48" i="1" s="1"/>
  <c r="N38" i="1"/>
  <c r="N37" i="1"/>
  <c r="AP27" i="1"/>
  <c r="E51" i="2"/>
  <c r="E57" i="2" s="1"/>
  <c r="E60" i="2" s="1"/>
  <c r="E63" i="2" s="1"/>
  <c r="AA18" i="1"/>
  <c r="AA25" i="1" s="1"/>
  <c r="AI22" i="1"/>
  <c r="AI29" i="1" s="1"/>
  <c r="AI27" i="1"/>
  <c r="P8" i="1"/>
  <c r="P6" i="1"/>
  <c r="R27" i="1"/>
  <c r="L6" i="6"/>
  <c r="L53" i="6" s="1"/>
  <c r="L5" i="6"/>
  <c r="I31" i="8"/>
  <c r="I37" i="8" s="1"/>
  <c r="I28" i="7" s="1"/>
  <c r="I49" i="6"/>
  <c r="J21" i="1"/>
  <c r="AK28" i="1" s="1"/>
  <c r="J3" i="2"/>
  <c r="AF22" i="1"/>
  <c r="AF29" i="1" s="1"/>
  <c r="O6" i="6"/>
  <c r="O30" i="6" s="1"/>
  <c r="O5" i="6"/>
  <c r="W18" i="1"/>
  <c r="W25" i="1" s="1"/>
  <c r="P6" i="6"/>
  <c r="P30" i="6" s="1"/>
  <c r="P5" i="6"/>
  <c r="P36" i="6" s="1"/>
  <c r="O62" i="6"/>
  <c r="AF27" i="1"/>
  <c r="V27" i="1"/>
  <c r="S27" i="1"/>
  <c r="AN27" i="1"/>
  <c r="AO27" i="1"/>
  <c r="V22" i="1"/>
  <c r="V29" i="1" s="1"/>
  <c r="AL27" i="1"/>
  <c r="J31" i="8"/>
  <c r="C8" i="5"/>
  <c r="J49" i="6"/>
  <c r="K21" i="1"/>
  <c r="K3" i="2"/>
  <c r="AG22" i="1"/>
  <c r="AG29" i="1" s="1"/>
  <c r="AB27" i="1"/>
  <c r="AB22" i="1"/>
  <c r="AB29" i="1" s="1"/>
  <c r="AD22" i="1"/>
  <c r="AD29" i="1" s="1"/>
  <c r="K34" i="1"/>
  <c r="F33" i="3"/>
  <c r="F41" i="3" s="1"/>
  <c r="J6" i="3"/>
  <c r="J7" i="3" s="1"/>
  <c r="G36" i="3"/>
  <c r="G34" i="3"/>
  <c r="G42" i="3" s="1"/>
  <c r="G33" i="3"/>
  <c r="G41" i="3" s="1"/>
  <c r="G32" i="3"/>
  <c r="G40" i="3" s="1"/>
  <c r="G30" i="3"/>
  <c r="G35" i="3" s="1"/>
  <c r="G43" i="3" s="1"/>
  <c r="G44" i="3" s="1"/>
  <c r="S26" i="1"/>
  <c r="M34" i="1"/>
  <c r="M41" i="1" s="1"/>
  <c r="M48" i="1" s="1"/>
  <c r="AH22" i="1"/>
  <c r="AH29" i="1" s="1"/>
  <c r="AK32" i="1"/>
  <c r="AL32" i="1"/>
  <c r="E45" i="1"/>
  <c r="I34" i="15"/>
  <c r="I30" i="15" s="1"/>
  <c r="AM32" i="1"/>
  <c r="F45" i="1"/>
  <c r="E51" i="1"/>
  <c r="I51" i="2"/>
  <c r="I57" i="2" s="1"/>
  <c r="I60" i="2" s="1"/>
  <c r="I63" i="2" s="1"/>
  <c r="I7" i="2"/>
  <c r="O51" i="2"/>
  <c r="O57" i="2" s="1"/>
  <c r="O60" i="2" s="1"/>
  <c r="O63" i="2" s="1"/>
  <c r="O30" i="2"/>
  <c r="G50" i="6"/>
  <c r="G51" i="6" s="1"/>
  <c r="G51" i="1"/>
  <c r="AN32" i="1"/>
  <c r="G45" i="1"/>
  <c r="AO32" i="1"/>
  <c r="G11" i="2"/>
  <c r="G12" i="2" s="1"/>
  <c r="G13" i="2" s="1"/>
  <c r="L69" i="4"/>
  <c r="E22" i="1"/>
  <c r="AE22" i="1"/>
  <c r="AE29" i="1" s="1"/>
  <c r="E55" i="1"/>
  <c r="K31" i="8"/>
  <c r="K49" i="6"/>
  <c r="BH66" i="1"/>
  <c r="BH68" i="1" s="1"/>
  <c r="B68" i="1" s="1"/>
  <c r="L68" i="1" s="1"/>
  <c r="AG32" i="1"/>
  <c r="AF32" i="1"/>
  <c r="AC32" i="1"/>
  <c r="AH32" i="1"/>
  <c r="AE32" i="1"/>
  <c r="AB32" i="1"/>
  <c r="AA32" i="1"/>
  <c r="M3" i="2"/>
  <c r="I30" i="3"/>
  <c r="I35" i="3" s="1"/>
  <c r="E6" i="6"/>
  <c r="E5" i="6"/>
  <c r="E82" i="6" s="1"/>
  <c r="Z20" i="1"/>
  <c r="Z27" i="1" s="1"/>
  <c r="E50" i="6"/>
  <c r="E51" i="6" s="1"/>
  <c r="P31" i="15"/>
  <c r="P5" i="10"/>
  <c r="P48" i="15"/>
  <c r="P9" i="13"/>
  <c r="G7" i="2"/>
  <c r="G30" i="2"/>
  <c r="E52" i="1"/>
  <c r="H50" i="6"/>
  <c r="H51" i="6" s="1"/>
  <c r="H51" i="1"/>
  <c r="H55" i="1"/>
  <c r="H7" i="2"/>
  <c r="P5" i="12"/>
  <c r="P41" i="15"/>
  <c r="P44" i="15" s="1"/>
  <c r="P40" i="15" s="1"/>
  <c r="K34" i="15"/>
  <c r="K30" i="15" s="1"/>
  <c r="AH25" i="1"/>
  <c r="AJ25" i="1"/>
  <c r="I74" i="3"/>
  <c r="H36" i="1"/>
  <c r="H43" i="1" s="1"/>
  <c r="AG25" i="1"/>
  <c r="H5" i="6"/>
  <c r="H82" i="6" s="1"/>
  <c r="H6" i="6"/>
  <c r="I42" i="1" s="1"/>
  <c r="H52" i="1"/>
  <c r="X20" i="1"/>
  <c r="X27" i="1" s="1"/>
  <c r="M87" i="4"/>
  <c r="L87" i="4"/>
  <c r="I6" i="6"/>
  <c r="M4" i="7"/>
  <c r="P3" i="2"/>
  <c r="P21" i="1"/>
  <c r="L21" i="1"/>
  <c r="L22" i="1" s="1"/>
  <c r="H29" i="3"/>
  <c r="H76" i="3"/>
  <c r="J6" i="6"/>
  <c r="J53" i="6" s="1"/>
  <c r="N4" i="7"/>
  <c r="AI25" i="1"/>
  <c r="AK25" i="1"/>
  <c r="AA27" i="1"/>
  <c r="I29" i="3"/>
  <c r="M76" i="4"/>
  <c r="L76" i="4"/>
  <c r="K5" i="6"/>
  <c r="K6" i="6"/>
  <c r="N5" i="6"/>
  <c r="E15" i="6"/>
  <c r="E16" i="6" s="1"/>
  <c r="N5" i="10"/>
  <c r="N31" i="15"/>
  <c r="P5" i="11"/>
  <c r="P36" i="15"/>
  <c r="E49" i="15"/>
  <c r="E45" i="15" s="1"/>
  <c r="L91" i="4"/>
  <c r="C49" i="7"/>
  <c r="E7" i="10"/>
  <c r="I19" i="7"/>
  <c r="I42" i="7"/>
  <c r="I43" i="15"/>
  <c r="O26" i="15"/>
  <c r="O5" i="9"/>
  <c r="O25" i="14"/>
  <c r="O11" i="7" s="1"/>
  <c r="D29" i="15"/>
  <c r="D25" i="15" s="1"/>
  <c r="N30" i="8"/>
  <c r="B18" i="7"/>
  <c r="B41" i="7"/>
  <c r="B48" i="7" s="1"/>
  <c r="B9" i="11"/>
  <c r="J43" i="15"/>
  <c r="J19" i="7"/>
  <c r="AX19" i="14"/>
  <c r="P16" i="14"/>
  <c r="P43" i="15" s="1"/>
  <c r="P26" i="15"/>
  <c r="P5" i="9"/>
  <c r="P25" i="14"/>
  <c r="P11" i="7" s="1"/>
  <c r="E8" i="14"/>
  <c r="D18" i="7"/>
  <c r="D41" i="7"/>
  <c r="D48" i="7" s="1"/>
  <c r="D38" i="15"/>
  <c r="D9" i="11"/>
  <c r="AD14" i="14"/>
  <c r="AU14" i="14" s="1"/>
  <c r="K43" i="15"/>
  <c r="K44" i="15" s="1"/>
  <c r="K40" i="15" s="1"/>
  <c r="K19" i="7"/>
  <c r="AT19" i="14"/>
  <c r="AE19" i="14"/>
  <c r="AF19" i="14" s="1"/>
  <c r="AG19" i="14" s="1"/>
  <c r="L25" i="14"/>
  <c r="L11" i="7" s="1"/>
  <c r="L26" i="15"/>
  <c r="L5" i="9"/>
  <c r="B38" i="15"/>
  <c r="D12" i="2"/>
  <c r="D13" i="2" s="1"/>
  <c r="F9" i="10"/>
  <c r="F9" i="12"/>
  <c r="F33" i="15"/>
  <c r="F17" i="7"/>
  <c r="F47" i="7" s="1"/>
  <c r="E41" i="7"/>
  <c r="E18" i="7"/>
  <c r="E38" i="15"/>
  <c r="E39" i="15" s="1"/>
  <c r="E35" i="15" s="1"/>
  <c r="AE14" i="14"/>
  <c r="AG14" i="14" s="1"/>
  <c r="AD19" i="14"/>
  <c r="AU19" i="14" s="1"/>
  <c r="M26" i="15"/>
  <c r="M29" i="15" s="1"/>
  <c r="M25" i="15" s="1"/>
  <c r="M5" i="9"/>
  <c r="M25" i="14"/>
  <c r="M11" i="7" s="1"/>
  <c r="B41" i="15"/>
  <c r="B44" i="15" s="1"/>
  <c r="B40" i="15" s="1"/>
  <c r="B5" i="12"/>
  <c r="B7" i="12" s="1"/>
  <c r="B25" i="14"/>
  <c r="B11" i="7" s="1"/>
  <c r="M8" i="1"/>
  <c r="E12" i="2"/>
  <c r="E13" i="2" s="1"/>
  <c r="O33" i="6"/>
  <c r="G8" i="14"/>
  <c r="M9" i="11"/>
  <c r="M38" i="15"/>
  <c r="AF14" i="14"/>
  <c r="M16" i="14"/>
  <c r="M43" i="15" s="1"/>
  <c r="C44" i="15"/>
  <c r="C40" i="15" s="1"/>
  <c r="P66" i="4"/>
  <c r="L65" i="4"/>
  <c r="H9" i="10"/>
  <c r="H9" i="12"/>
  <c r="H33" i="15"/>
  <c r="H17" i="7"/>
  <c r="H47" i="7" s="1"/>
  <c r="N12" i="14"/>
  <c r="N16" i="14"/>
  <c r="N43" i="15" s="1"/>
  <c r="AV17" i="14"/>
  <c r="O6" i="11"/>
  <c r="O37" i="15"/>
  <c r="I9" i="10"/>
  <c r="I9" i="12"/>
  <c r="I3" i="14"/>
  <c r="I40" i="7"/>
  <c r="I47" i="7" s="1"/>
  <c r="I33" i="15"/>
  <c r="I17" i="7"/>
  <c r="O9" i="11"/>
  <c r="O38" i="15"/>
  <c r="R18" i="2"/>
  <c r="H12" i="2"/>
  <c r="H13" i="2" s="1"/>
  <c r="D25" i="3"/>
  <c r="D29" i="3" s="1"/>
  <c r="O65" i="4"/>
  <c r="F5" i="6"/>
  <c r="F82" i="6" s="1"/>
  <c r="R19" i="1"/>
  <c r="R26" i="1" s="1"/>
  <c r="J9" i="12"/>
  <c r="J3" i="14"/>
  <c r="J33" i="15"/>
  <c r="J34" i="15" s="1"/>
  <c r="J30" i="15" s="1"/>
  <c r="J9" i="10"/>
  <c r="J17" i="7"/>
  <c r="P12" i="14"/>
  <c r="N20" i="1"/>
  <c r="AJ20" i="1"/>
  <c r="AJ27" i="1" s="1"/>
  <c r="C7" i="2"/>
  <c r="C30" i="2"/>
  <c r="H21" i="2"/>
  <c r="H22" i="2" s="1"/>
  <c r="G5" i="6"/>
  <c r="G82" i="6" s="1"/>
  <c r="M30" i="8"/>
  <c r="E9" i="11"/>
  <c r="M9" i="9"/>
  <c r="M28" i="15"/>
  <c r="K33" i="15"/>
  <c r="K9" i="12"/>
  <c r="K9" i="10"/>
  <c r="K17" i="7"/>
  <c r="K30" i="8"/>
  <c r="F51" i="6"/>
  <c r="J4" i="7"/>
  <c r="O4" i="7"/>
  <c r="L33" i="15"/>
  <c r="L9" i="12"/>
  <c r="L9" i="10"/>
  <c r="C18" i="7"/>
  <c r="C38" i="15"/>
  <c r="C41" i="7"/>
  <c r="C48" i="7" s="1"/>
  <c r="C9" i="11"/>
  <c r="N48" i="15"/>
  <c r="N9" i="13"/>
  <c r="L30" i="8"/>
  <c r="M8" i="14"/>
  <c r="B43" i="15"/>
  <c r="B9" i="12"/>
  <c r="B42" i="7"/>
  <c r="B49" i="7" s="1"/>
  <c r="B19" i="7"/>
  <c r="O48" i="15"/>
  <c r="O9" i="13"/>
  <c r="AC22" i="14"/>
  <c r="H49" i="15"/>
  <c r="H45" i="15" s="1"/>
  <c r="P30" i="8"/>
  <c r="J49" i="15"/>
  <c r="J45" i="15" s="1"/>
  <c r="L67" i="4"/>
  <c r="L85" i="4"/>
  <c r="B39" i="15"/>
  <c r="B35" i="15" s="1"/>
  <c r="M67" i="4"/>
  <c r="C36" i="15"/>
  <c r="C39" i="15" s="1"/>
  <c r="C35" i="15" s="1"/>
  <c r="P31" i="8"/>
  <c r="D12" i="12"/>
  <c r="D6" i="8" s="1"/>
  <c r="R31" i="2"/>
  <c r="L17" i="7"/>
  <c r="N8" i="1"/>
  <c r="P18" i="1"/>
  <c r="AL18" i="1"/>
  <c r="AL25" i="1" s="1"/>
  <c r="H34" i="15"/>
  <c r="F37" i="8"/>
  <c r="F28" i="7" s="1"/>
  <c r="AE7" i="14"/>
  <c r="AF7" i="14" s="1"/>
  <c r="N4" i="14"/>
  <c r="Q33" i="6"/>
  <c r="G42" i="15"/>
  <c r="M32" i="15"/>
  <c r="M6" i="10"/>
  <c r="N32" i="15"/>
  <c r="N6" i="10"/>
  <c r="N47" i="14"/>
  <c r="N12" i="7" s="1"/>
  <c r="H30" i="15"/>
  <c r="M5" i="13"/>
  <c r="M46" i="15"/>
  <c r="M49" i="15" s="1"/>
  <c r="M45" i="15" s="1"/>
  <c r="L32" i="15"/>
  <c r="L6" i="10"/>
  <c r="L41" i="15"/>
  <c r="L44" i="15" s="1"/>
  <c r="L40" i="15" s="1"/>
  <c r="L5" i="12"/>
  <c r="N5" i="13"/>
  <c r="N46" i="15"/>
  <c r="M34" i="14"/>
  <c r="M5" i="12"/>
  <c r="M41" i="15"/>
  <c r="O49" i="15"/>
  <c r="O45" i="15" s="1"/>
  <c r="M47" i="14"/>
  <c r="M12" i="7" s="1"/>
  <c r="M27" i="15"/>
  <c r="M6" i="9"/>
  <c r="M37" i="15"/>
  <c r="M6" i="6"/>
  <c r="N36" i="1" s="1"/>
  <c r="N43" i="1" s="1"/>
  <c r="L75" i="6"/>
  <c r="E4" i="7"/>
  <c r="I7" i="9"/>
  <c r="I12" i="9" s="1"/>
  <c r="N34" i="14"/>
  <c r="N38" i="14"/>
  <c r="D40" i="15"/>
  <c r="N62" i="6"/>
  <c r="N64" i="6" s="1"/>
  <c r="N6" i="6"/>
  <c r="N53" i="6" s="1"/>
  <c r="O5" i="13"/>
  <c r="M30" i="14"/>
  <c r="O5" i="11"/>
  <c r="O36" i="15"/>
  <c r="C7" i="13"/>
  <c r="B20" i="14"/>
  <c r="D39" i="15"/>
  <c r="D35" i="15" s="1"/>
  <c r="AX6" i="14"/>
  <c r="P4" i="14"/>
  <c r="G38" i="15"/>
  <c r="G41" i="7"/>
  <c r="G18" i="7"/>
  <c r="G9" i="11"/>
  <c r="F19" i="7"/>
  <c r="F42" i="7"/>
  <c r="F43" i="15"/>
  <c r="C20" i="14"/>
  <c r="P32" i="15"/>
  <c r="B7" i="10"/>
  <c r="B12" i="10" s="1"/>
  <c r="B4" i="8" s="1"/>
  <c r="E6" i="11"/>
  <c r="E7" i="11" s="1"/>
  <c r="E12" i="11" s="1"/>
  <c r="E5" i="8" s="1"/>
  <c r="C3" i="14"/>
  <c r="C28" i="15"/>
  <c r="C29" i="15" s="1"/>
  <c r="C25" i="15" s="1"/>
  <c r="C16" i="7"/>
  <c r="D20" i="14"/>
  <c r="N84" i="14"/>
  <c r="H47" i="15"/>
  <c r="H6" i="13"/>
  <c r="G39" i="15"/>
  <c r="G35" i="15" s="1"/>
  <c r="D3" i="14"/>
  <c r="D28" i="15"/>
  <c r="E9" i="13"/>
  <c r="E48" i="15"/>
  <c r="H47" i="14"/>
  <c r="H12" i="7" s="1"/>
  <c r="H27" i="15"/>
  <c r="I47" i="15"/>
  <c r="I49" i="15" s="1"/>
  <c r="I45" i="15" s="1"/>
  <c r="I6" i="13"/>
  <c r="K25" i="15"/>
  <c r="D7" i="10"/>
  <c r="D12" i="10" s="1"/>
  <c r="D4" i="8" s="1"/>
  <c r="L16" i="7"/>
  <c r="L9" i="9"/>
  <c r="L3" i="14"/>
  <c r="AE6" i="14"/>
  <c r="AF6" i="14" s="1"/>
  <c r="F20" i="14"/>
  <c r="I47" i="14"/>
  <c r="I12" i="7" s="1"/>
  <c r="I27" i="15"/>
  <c r="E32" i="15"/>
  <c r="E47" i="14"/>
  <c r="E12" i="7" s="1"/>
  <c r="J6" i="13"/>
  <c r="J47" i="15"/>
  <c r="G20" i="14"/>
  <c r="J47" i="14"/>
  <c r="J12" i="7" s="1"/>
  <c r="J27" i="15"/>
  <c r="H20" i="7"/>
  <c r="H50" i="7" s="1"/>
  <c r="H9" i="13"/>
  <c r="K47" i="14"/>
  <c r="K12" i="7" s="1"/>
  <c r="M84" i="14"/>
  <c r="K47" i="15"/>
  <c r="P4" i="7"/>
  <c r="O4" i="14"/>
  <c r="L27" i="15"/>
  <c r="L31" i="8"/>
  <c r="E43" i="7"/>
  <c r="E50" i="7" s="1"/>
  <c r="C6" i="12"/>
  <c r="C7" i="12" s="1"/>
  <c r="C12" i="12" s="1"/>
  <c r="C6" i="8" s="1"/>
  <c r="C47" i="14"/>
  <c r="C12" i="7" s="1"/>
  <c r="N6" i="13"/>
  <c r="N47" i="15"/>
  <c r="L66" i="4"/>
  <c r="K20" i="14"/>
  <c r="AS21" i="14"/>
  <c r="M48" i="15"/>
  <c r="M9" i="13"/>
  <c r="I29" i="15"/>
  <c r="I25" i="15" s="1"/>
  <c r="H48" i="15"/>
  <c r="D40" i="7"/>
  <c r="D47" i="7" s="1"/>
  <c r="D9" i="10"/>
  <c r="D9" i="12"/>
  <c r="H19" i="7"/>
  <c r="H42" i="7"/>
  <c r="H49" i="7" s="1"/>
  <c r="H43" i="15"/>
  <c r="AC18" i="14"/>
  <c r="AD18" i="14" s="1"/>
  <c r="AU18" i="14" s="1"/>
  <c r="K25" i="14"/>
  <c r="K11" i="7" s="1"/>
  <c r="K26" i="15"/>
  <c r="K29" i="15" s="1"/>
  <c r="L30" i="14"/>
  <c r="L34" i="14"/>
  <c r="O60" i="14"/>
  <c r="N8" i="14"/>
  <c r="C43" i="15"/>
  <c r="C19" i="7"/>
  <c r="N26" i="15"/>
  <c r="N5" i="9"/>
  <c r="B4" i="14"/>
  <c r="F12" i="14"/>
  <c r="F3" i="14" s="1"/>
  <c r="J20" i="7"/>
  <c r="J48" i="15"/>
  <c r="L72" i="14"/>
  <c r="D43" i="15"/>
  <c r="G19" i="7"/>
  <c r="G42" i="7"/>
  <c r="G49" i="7" s="1"/>
  <c r="L20" i="14"/>
  <c r="AC21" i="14"/>
  <c r="AT21" i="14" s="1"/>
  <c r="B34" i="15"/>
  <c r="B30" i="15" s="1"/>
  <c r="L47" i="15"/>
  <c r="C40" i="7"/>
  <c r="C47" i="7" s="1"/>
  <c r="C9" i="10"/>
  <c r="I38" i="15"/>
  <c r="I39" i="15" s="1"/>
  <c r="I35" i="15" s="1"/>
  <c r="I9" i="11"/>
  <c r="C34" i="15"/>
  <c r="C30" i="15" s="1"/>
  <c r="G43" i="15"/>
  <c r="J38" i="15"/>
  <c r="J39" i="15" s="1"/>
  <c r="J35" i="15" s="1"/>
  <c r="J9" i="11"/>
  <c r="C25" i="14"/>
  <c r="C11" i="7" s="1"/>
  <c r="D31" i="15"/>
  <c r="D34" i="15" s="1"/>
  <c r="D30" i="15" s="1"/>
  <c r="D5" i="10"/>
  <c r="P47" i="14"/>
  <c r="G28" i="15"/>
  <c r="G39" i="7"/>
  <c r="G46" i="7" s="1"/>
  <c r="K38" i="15"/>
  <c r="K39" i="15" s="1"/>
  <c r="K35" i="15" s="1"/>
  <c r="K9" i="11"/>
  <c r="E31" i="15"/>
  <c r="E5" i="10"/>
  <c r="F44" i="15"/>
  <c r="F40" i="15" s="1"/>
  <c r="O47" i="15"/>
  <c r="E16" i="7"/>
  <c r="E46" i="7" s="1"/>
  <c r="G36" i="8"/>
  <c r="H4" i="14"/>
  <c r="L12" i="14"/>
  <c r="AC13" i="14"/>
  <c r="F31" i="15"/>
  <c r="F34" i="15" s="1"/>
  <c r="F30" i="15" s="1"/>
  <c r="F5" i="10"/>
  <c r="G44" i="15"/>
  <c r="G40" i="15" s="1"/>
  <c r="D44" i="15"/>
  <c r="P47" i="15"/>
  <c r="P49" i="15" s="1"/>
  <c r="P45" i="15" s="1"/>
  <c r="H36" i="8"/>
  <c r="B7" i="11"/>
  <c r="B12" i="11" s="1"/>
  <c r="B5" i="8" s="1"/>
  <c r="I39" i="7"/>
  <c r="I46" i="7" s="1"/>
  <c r="I9" i="9"/>
  <c r="I54" i="7" s="1"/>
  <c r="O33" i="15"/>
  <c r="O9" i="12"/>
  <c r="F25" i="14"/>
  <c r="F11" i="7" s="1"/>
  <c r="H44" i="15"/>
  <c r="H40" i="15" s="1"/>
  <c r="D6" i="9"/>
  <c r="D7" i="9" s="1"/>
  <c r="D12" i="9" s="1"/>
  <c r="D47" i="14"/>
  <c r="D12" i="7" s="1"/>
  <c r="E44" i="15"/>
  <c r="E40" i="15" s="1"/>
  <c r="E7" i="9"/>
  <c r="E12" i="9" s="1"/>
  <c r="C7" i="11"/>
  <c r="C12" i="11" s="1"/>
  <c r="C5" i="8" s="1"/>
  <c r="P8" i="14"/>
  <c r="E19" i="7"/>
  <c r="E42" i="7"/>
  <c r="E49" i="7" s="1"/>
  <c r="G25" i="14"/>
  <c r="G11" i="7" s="1"/>
  <c r="G26" i="15"/>
  <c r="I44" i="15"/>
  <c r="I40" i="15" s="1"/>
  <c r="F7" i="9"/>
  <c r="F12" i="9" s="1"/>
  <c r="D7" i="11"/>
  <c r="AD10" i="14"/>
  <c r="AU10" i="14" s="1"/>
  <c r="H25" i="14"/>
  <c r="H11" i="7" s="1"/>
  <c r="J44" i="15"/>
  <c r="J40" i="15" s="1"/>
  <c r="I15" i="7"/>
  <c r="G5" i="9"/>
  <c r="AC5" i="14"/>
  <c r="I25" i="14"/>
  <c r="I11" i="7" s="1"/>
  <c r="G47" i="14"/>
  <c r="G12" i="7" s="1"/>
  <c r="I28" i="15"/>
  <c r="J26" i="15"/>
  <c r="J29" i="15" s="1"/>
  <c r="J25" i="15" s="1"/>
  <c r="AC9" i="14"/>
  <c r="AC17" i="14"/>
  <c r="AT17" i="14" s="1"/>
  <c r="G5" i="10"/>
  <c r="N60" i="2" l="1"/>
  <c r="N63" i="2" s="1"/>
  <c r="Q7" i="2"/>
  <c r="N7" i="2"/>
  <c r="B23" i="6"/>
  <c r="B42" i="6" s="1"/>
  <c r="B43" i="6" s="1"/>
  <c r="B39" i="6" s="1"/>
  <c r="G53" i="6"/>
  <c r="M36" i="6"/>
  <c r="O64" i="6"/>
  <c r="F52" i="1"/>
  <c r="F59" i="1" s="1"/>
  <c r="H42" i="1"/>
  <c r="H11" i="6" s="1"/>
  <c r="H12" i="6" s="1"/>
  <c r="D53" i="6"/>
  <c r="I22" i="7"/>
  <c r="I26" i="7" s="1"/>
  <c r="G36" i="1"/>
  <c r="G43" i="1" s="1"/>
  <c r="G19" i="6" s="1"/>
  <c r="G23" i="6" s="1"/>
  <c r="F53" i="6"/>
  <c r="C13" i="7"/>
  <c r="F22" i="6"/>
  <c r="F75" i="6" s="1"/>
  <c r="F77" i="6" s="1"/>
  <c r="F79" i="6" s="1"/>
  <c r="Q53" i="6"/>
  <c r="Q34" i="6"/>
  <c r="R4" i="1"/>
  <c r="N22" i="1"/>
  <c r="T29" i="1"/>
  <c r="F55" i="1"/>
  <c r="E12" i="13"/>
  <c r="E7" i="8" s="1"/>
  <c r="U29" i="1"/>
  <c r="E54" i="6"/>
  <c r="G4" i="13"/>
  <c r="G7" i="13" s="1"/>
  <c r="I55" i="1"/>
  <c r="I52" i="1"/>
  <c r="H54" i="6" s="1"/>
  <c r="G49" i="1"/>
  <c r="G56" i="1" s="1"/>
  <c r="J4" i="12"/>
  <c r="J7" i="12" s="1"/>
  <c r="I58" i="1"/>
  <c r="E44" i="1"/>
  <c r="F10" i="7" s="1"/>
  <c r="F13" i="7" s="1"/>
  <c r="G4" i="12"/>
  <c r="G7" i="12" s="1"/>
  <c r="F58" i="1"/>
  <c r="G24" i="2"/>
  <c r="G40" i="2" s="1"/>
  <c r="L7" i="2"/>
  <c r="I24" i="2"/>
  <c r="I25" i="2" s="1"/>
  <c r="L51" i="2"/>
  <c r="L57" i="2" s="1"/>
  <c r="L60" i="2" s="1"/>
  <c r="L63" i="2" s="1"/>
  <c r="C12" i="10"/>
  <c r="C4" i="8" s="1"/>
  <c r="E49" i="1"/>
  <c r="F4" i="10" s="1"/>
  <c r="F7" i="10" s="1"/>
  <c r="F12" i="10" s="1"/>
  <c r="F4" i="8" s="1"/>
  <c r="K77" i="6"/>
  <c r="K79" i="6" s="1"/>
  <c r="H49" i="1"/>
  <c r="I4" i="10" s="1"/>
  <c r="I7" i="10" s="1"/>
  <c r="I12" i="10" s="1"/>
  <c r="I4" i="8" s="1"/>
  <c r="M77" i="6"/>
  <c r="M79" i="6" s="1"/>
  <c r="E24" i="2"/>
  <c r="E40" i="2" s="1"/>
  <c r="M36" i="1"/>
  <c r="M43" i="1" s="1"/>
  <c r="M19" i="6" s="1"/>
  <c r="R28" i="1"/>
  <c r="O77" i="6"/>
  <c r="O79" i="6" s="1"/>
  <c r="O53" i="6"/>
  <c r="P34" i="6"/>
  <c r="Z22" i="1"/>
  <c r="Z29" i="1" s="1"/>
  <c r="AJ22" i="1"/>
  <c r="AJ29" i="1" s="1"/>
  <c r="O7" i="2"/>
  <c r="K35" i="1"/>
  <c r="K42" i="1" s="1"/>
  <c r="K30" i="6"/>
  <c r="D75" i="6"/>
  <c r="D77" i="6" s="1"/>
  <c r="D79" i="6" s="1"/>
  <c r="D23" i="6"/>
  <c r="C3" i="8"/>
  <c r="C13" i="9"/>
  <c r="L66" i="1"/>
  <c r="H24" i="2"/>
  <c r="H40" i="2" s="1"/>
  <c r="C23" i="6"/>
  <c r="C27" i="6" s="1"/>
  <c r="C28" i="6" s="1"/>
  <c r="L42" i="1"/>
  <c r="L11" i="6" s="1"/>
  <c r="L12" i="6" s="1"/>
  <c r="O34" i="6"/>
  <c r="N19" i="6"/>
  <c r="D32" i="3"/>
  <c r="D40" i="3" s="1"/>
  <c r="D43" i="3"/>
  <c r="D30" i="3"/>
  <c r="D36" i="3"/>
  <c r="D34" i="3"/>
  <c r="D42" i="3" s="1"/>
  <c r="D33" i="3"/>
  <c r="D41" i="3" s="1"/>
  <c r="O69" i="4"/>
  <c r="L70" i="4"/>
  <c r="D13" i="9"/>
  <c r="D3" i="8"/>
  <c r="G13" i="9"/>
  <c r="G3" i="8"/>
  <c r="F20" i="7"/>
  <c r="F43" i="7"/>
  <c r="F48" i="15"/>
  <c r="F49" i="15" s="1"/>
  <c r="F45" i="15" s="1"/>
  <c r="F9" i="13"/>
  <c r="AT9" i="14"/>
  <c r="M5" i="11"/>
  <c r="M36" i="15"/>
  <c r="M39" i="15" s="1"/>
  <c r="M35" i="15" s="1"/>
  <c r="M33" i="15"/>
  <c r="M9" i="12"/>
  <c r="M9" i="10"/>
  <c r="M3" i="14"/>
  <c r="F24" i="2"/>
  <c r="L5" i="10"/>
  <c r="L31" i="15"/>
  <c r="L34" i="15" s="1"/>
  <c r="L30" i="15" s="1"/>
  <c r="BI35" i="1"/>
  <c r="J42" i="1"/>
  <c r="J20" i="2"/>
  <c r="J21" i="2" s="1"/>
  <c r="J22" i="2" s="1"/>
  <c r="H28" i="15"/>
  <c r="H39" i="7"/>
  <c r="H3" i="14"/>
  <c r="H9" i="9"/>
  <c r="H54" i="7" s="1"/>
  <c r="H16" i="7"/>
  <c r="AE21" i="14"/>
  <c r="AG6" i="14"/>
  <c r="H29" i="15"/>
  <c r="H25" i="15" s="1"/>
  <c r="E13" i="7"/>
  <c r="E22" i="7" s="1"/>
  <c r="E26" i="7" s="1"/>
  <c r="AI28" i="1"/>
  <c r="U28" i="1"/>
  <c r="P9" i="9"/>
  <c r="P28" i="15"/>
  <c r="P3" i="14"/>
  <c r="AH28" i="1"/>
  <c r="H4" i="12"/>
  <c r="H7" i="12" s="1"/>
  <c r="H12" i="12" s="1"/>
  <c r="H6" i="8" s="1"/>
  <c r="G58" i="1"/>
  <c r="W28" i="1"/>
  <c r="AD17" i="14"/>
  <c r="AU17" i="14" s="1"/>
  <c r="T28" i="1"/>
  <c r="L20" i="7"/>
  <c r="L15" i="7" s="1"/>
  <c r="L22" i="7" s="1"/>
  <c r="L48" i="15"/>
  <c r="L49" i="15" s="1"/>
  <c r="L45" i="15" s="1"/>
  <c r="L9" i="13"/>
  <c r="N30" i="6"/>
  <c r="N5" i="11"/>
  <c r="N36" i="15"/>
  <c r="N39" i="15" s="1"/>
  <c r="N35" i="15" s="1"/>
  <c r="L77" i="6"/>
  <c r="L79" i="6" s="1"/>
  <c r="N49" i="15"/>
  <c r="N45" i="15" s="1"/>
  <c r="E40" i="7"/>
  <c r="E47" i="7" s="1"/>
  <c r="E9" i="10"/>
  <c r="E9" i="12"/>
  <c r="E12" i="12" s="1"/>
  <c r="E6" i="8" s="1"/>
  <c r="E3" i="14"/>
  <c r="E33" i="15"/>
  <c r="E17" i="7"/>
  <c r="I49" i="7"/>
  <c r="M17" i="7"/>
  <c r="N17" i="7" s="1"/>
  <c r="K51" i="2"/>
  <c r="K57" i="2" s="1"/>
  <c r="K60" i="2" s="1"/>
  <c r="K63" i="2" s="1"/>
  <c r="K7" i="2"/>
  <c r="K30" i="2"/>
  <c r="BI17" i="1"/>
  <c r="M42" i="1"/>
  <c r="K51" i="1"/>
  <c r="K11" i="2"/>
  <c r="K12" i="2" s="1"/>
  <c r="K13" i="2" s="1"/>
  <c r="K45" i="1"/>
  <c r="BK38" i="1"/>
  <c r="K50" i="6"/>
  <c r="K51" i="6" s="1"/>
  <c r="BI36" i="1"/>
  <c r="BH28" i="1"/>
  <c r="J43" i="1"/>
  <c r="I4" i="12"/>
  <c r="I7" i="12" s="1"/>
  <c r="I12" i="12" s="1"/>
  <c r="I6" i="8" s="1"/>
  <c r="H58" i="1"/>
  <c r="M42" i="15"/>
  <c r="M44" i="15" s="1"/>
  <c r="M40" i="15" s="1"/>
  <c r="M6" i="12"/>
  <c r="P51" i="2"/>
  <c r="P57" i="2" s="1"/>
  <c r="P60" i="2" s="1"/>
  <c r="P63" i="2" s="1"/>
  <c r="P7" i="2"/>
  <c r="P30" i="2"/>
  <c r="AE17" i="14"/>
  <c r="AF17" i="14" s="1"/>
  <c r="AT13" i="14"/>
  <c r="E48" i="7"/>
  <c r="N9" i="11"/>
  <c r="N38" i="15"/>
  <c r="Z28" i="1"/>
  <c r="BI34" i="1"/>
  <c r="J41" i="1"/>
  <c r="J48" i="1" s="1"/>
  <c r="E15" i="7"/>
  <c r="J12" i="12"/>
  <c r="J6" i="8" s="1"/>
  <c r="L6" i="11"/>
  <c r="L37" i="15"/>
  <c r="L30" i="6"/>
  <c r="K53" i="6"/>
  <c r="C7" i="5"/>
  <c r="K31" i="2"/>
  <c r="N51" i="1"/>
  <c r="N11" i="2"/>
  <c r="N12" i="2" s="1"/>
  <c r="N13" i="2" s="1"/>
  <c r="N50" i="6"/>
  <c r="N51" i="6" s="1"/>
  <c r="N45" i="1"/>
  <c r="N44" i="1" s="1"/>
  <c r="O10" i="7" s="1"/>
  <c r="O13" i="7" s="1"/>
  <c r="X28" i="1"/>
  <c r="K36" i="1"/>
  <c r="AB28" i="1"/>
  <c r="C46" i="7"/>
  <c r="J31" i="2"/>
  <c r="I51" i="6"/>
  <c r="AT5" i="14"/>
  <c r="G9" i="10"/>
  <c r="G9" i="12"/>
  <c r="G3" i="14"/>
  <c r="G40" i="7"/>
  <c r="G33" i="15"/>
  <c r="G34" i="15" s="1"/>
  <c r="G30" i="15" s="1"/>
  <c r="G17" i="7"/>
  <c r="G15" i="7" s="1"/>
  <c r="G22" i="7" s="1"/>
  <c r="G26" i="7" s="1"/>
  <c r="P29" i="15"/>
  <c r="P25" i="15" s="1"/>
  <c r="E12" i="10"/>
  <c r="E4" i="8" s="1"/>
  <c r="J100" i="3"/>
  <c r="J104" i="3" s="1"/>
  <c r="F97" i="3"/>
  <c r="F102" i="3" s="1"/>
  <c r="F106" i="3" s="1"/>
  <c r="N15" i="6"/>
  <c r="N16" i="6" s="1"/>
  <c r="N52" i="1"/>
  <c r="J11" i="2"/>
  <c r="J12" i="2" s="1"/>
  <c r="J13" i="2" s="1"/>
  <c r="J45" i="1"/>
  <c r="BI38" i="1"/>
  <c r="BI39" i="1" s="1"/>
  <c r="J50" i="6"/>
  <c r="J51" i="6" s="1"/>
  <c r="J51" i="1"/>
  <c r="J39" i="1"/>
  <c r="J22" i="7"/>
  <c r="J26" i="7" s="1"/>
  <c r="J31" i="7" s="1"/>
  <c r="O29" i="15"/>
  <c r="O25" i="15" s="1"/>
  <c r="O39" i="15"/>
  <c r="O35" i="15" s="1"/>
  <c r="N25" i="14"/>
  <c r="N11" i="7" s="1"/>
  <c r="AD13" i="14"/>
  <c r="AE10" i="14"/>
  <c r="N42" i="1"/>
  <c r="N20" i="2"/>
  <c r="N21" i="2" s="1"/>
  <c r="N22" i="2" s="1"/>
  <c r="N29" i="15"/>
  <c r="N25" i="15" s="1"/>
  <c r="AD9" i="14"/>
  <c r="AU9" i="14" s="1"/>
  <c r="AE9" i="14"/>
  <c r="AV9" i="14" s="1"/>
  <c r="BH4" i="1"/>
  <c r="P22" i="1"/>
  <c r="M15" i="6"/>
  <c r="M16" i="6" s="1"/>
  <c r="O6" i="10"/>
  <c r="O32" i="15"/>
  <c r="O34" i="15" s="1"/>
  <c r="O30" i="15" s="1"/>
  <c r="O47" i="14"/>
  <c r="AT18" i="14"/>
  <c r="AE18" i="14"/>
  <c r="AG7" i="14"/>
  <c r="L31" i="2"/>
  <c r="K22" i="1"/>
  <c r="X22" i="1"/>
  <c r="X29" i="1" s="1"/>
  <c r="C43" i="7"/>
  <c r="C9" i="13"/>
  <c r="C12" i="13" s="1"/>
  <c r="C48" i="15"/>
  <c r="C49" i="15" s="1"/>
  <c r="C45" i="15" s="1"/>
  <c r="C20" i="7"/>
  <c r="C15" i="7" s="1"/>
  <c r="C22" i="7" s="1"/>
  <c r="M19" i="7"/>
  <c r="N19" i="7" s="1"/>
  <c r="AD21" i="14"/>
  <c r="F49" i="7"/>
  <c r="J13" i="9"/>
  <c r="J3" i="8"/>
  <c r="N82" i="6"/>
  <c r="N36" i="6"/>
  <c r="N66" i="6"/>
  <c r="O82" i="6"/>
  <c r="O66" i="6"/>
  <c r="O36" i="6"/>
  <c r="L51" i="1"/>
  <c r="L11" i="2"/>
  <c r="L12" i="2" s="1"/>
  <c r="L13" i="2" s="1"/>
  <c r="L24" i="2" s="1"/>
  <c r="L50" i="6"/>
  <c r="L51" i="6" s="1"/>
  <c r="L45" i="1"/>
  <c r="AD11" i="14"/>
  <c r="F54" i="6"/>
  <c r="F55" i="6" s="1"/>
  <c r="H4" i="13"/>
  <c r="H7" i="13" s="1"/>
  <c r="H12" i="13" s="1"/>
  <c r="G59" i="1"/>
  <c r="L34" i="6"/>
  <c r="K34" i="6"/>
  <c r="I34" i="3"/>
  <c r="I36" i="3"/>
  <c r="I33" i="3"/>
  <c r="I32" i="3"/>
  <c r="P33" i="15"/>
  <c r="P34" i="15" s="1"/>
  <c r="P30" i="15" s="1"/>
  <c r="P9" i="12"/>
  <c r="P9" i="10"/>
  <c r="O34" i="1"/>
  <c r="O41" i="1" s="1"/>
  <c r="O48" i="1" s="1"/>
  <c r="O37" i="1"/>
  <c r="O36" i="1"/>
  <c r="O43" i="1" s="1"/>
  <c r="O35" i="1"/>
  <c r="O38" i="1"/>
  <c r="K20" i="7"/>
  <c r="K48" i="15"/>
  <c r="K49" i="15" s="1"/>
  <c r="K45" i="15" s="1"/>
  <c r="K9" i="13"/>
  <c r="E13" i="9"/>
  <c r="E3" i="8"/>
  <c r="N41" i="15"/>
  <c r="N5" i="12"/>
  <c r="L36" i="6"/>
  <c r="L82" i="6"/>
  <c r="I11" i="6"/>
  <c r="I12" i="6" s="1"/>
  <c r="H53" i="6"/>
  <c r="I36" i="1"/>
  <c r="I43" i="1" s="1"/>
  <c r="H22" i="6"/>
  <c r="G48" i="15"/>
  <c r="G49" i="15" s="1"/>
  <c r="G45" i="15" s="1"/>
  <c r="G43" i="7"/>
  <c r="G50" i="7" s="1"/>
  <c r="G9" i="13"/>
  <c r="G20" i="7"/>
  <c r="K15" i="7"/>
  <c r="K22" i="7" s="1"/>
  <c r="F38" i="15"/>
  <c r="F39" i="15" s="1"/>
  <c r="F35" i="15" s="1"/>
  <c r="F9" i="11"/>
  <c r="F41" i="7"/>
  <c r="F18" i="7"/>
  <c r="F15" i="7" s="1"/>
  <c r="F22" i="7" s="1"/>
  <c r="F26" i="7" s="1"/>
  <c r="AT22" i="14"/>
  <c r="I53" i="6"/>
  <c r="I22" i="6"/>
  <c r="AE11" i="14"/>
  <c r="AV11" i="14" s="1"/>
  <c r="H4" i="9"/>
  <c r="H7" i="9" s="1"/>
  <c r="H12" i="9" s="1"/>
  <c r="G55" i="1"/>
  <c r="N9" i="9"/>
  <c r="N28" i="15"/>
  <c r="N3" i="14"/>
  <c r="I57" i="3"/>
  <c r="I50" i="3"/>
  <c r="I43" i="3"/>
  <c r="J7" i="2"/>
  <c r="J51" i="2"/>
  <c r="J57" i="2" s="1"/>
  <c r="J60" i="2" s="1"/>
  <c r="J63" i="2" s="1"/>
  <c r="J30" i="2"/>
  <c r="M30" i="2"/>
  <c r="M7" i="2"/>
  <c r="AP28" i="1"/>
  <c r="S28" i="1"/>
  <c r="AM28" i="1"/>
  <c r="AJ28" i="1"/>
  <c r="AG28" i="1"/>
  <c r="AD28" i="1"/>
  <c r="AC28" i="1"/>
  <c r="AO28" i="1"/>
  <c r="AE28" i="1"/>
  <c r="N77" i="6"/>
  <c r="N79" i="6" s="1"/>
  <c r="N9" i="10"/>
  <c r="N33" i="15"/>
  <c r="N34" i="15" s="1"/>
  <c r="N30" i="15" s="1"/>
  <c r="N9" i="12"/>
  <c r="G54" i="6"/>
  <c r="G55" i="6" s="1"/>
  <c r="I4" i="13"/>
  <c r="I7" i="13" s="1"/>
  <c r="I12" i="13" s="1"/>
  <c r="H59" i="1"/>
  <c r="L5" i="11"/>
  <c r="L36" i="15"/>
  <c r="L38" i="15"/>
  <c r="L9" i="11"/>
  <c r="L18" i="7"/>
  <c r="M5" i="10"/>
  <c r="M31" i="15"/>
  <c r="M34" i="15" s="1"/>
  <c r="M30" i="15" s="1"/>
  <c r="M34" i="6"/>
  <c r="M30" i="6"/>
  <c r="P38" i="15"/>
  <c r="P39" i="15" s="1"/>
  <c r="P35" i="15" s="1"/>
  <c r="P9" i="11"/>
  <c r="H19" i="6"/>
  <c r="H20" i="6" s="1"/>
  <c r="H44" i="1"/>
  <c r="I10" i="7" s="1"/>
  <c r="I13" i="7" s="1"/>
  <c r="BK34" i="1"/>
  <c r="K41" i="1"/>
  <c r="K48" i="1" s="1"/>
  <c r="V28" i="1"/>
  <c r="J22" i="6"/>
  <c r="H36" i="3"/>
  <c r="H34" i="3"/>
  <c r="H33" i="3"/>
  <c r="H32" i="3"/>
  <c r="H30" i="3"/>
  <c r="H35" i="3" s="1"/>
  <c r="AA28" i="1"/>
  <c r="F4" i="13"/>
  <c r="F7" i="13" s="1"/>
  <c r="F12" i="13" s="1"/>
  <c r="D54" i="6"/>
  <c r="E59" i="1"/>
  <c r="D12" i="11"/>
  <c r="D5" i="8" s="1"/>
  <c r="F13" i="9"/>
  <c r="F3" i="8"/>
  <c r="B3" i="14"/>
  <c r="B28" i="15"/>
  <c r="B29" i="15" s="1"/>
  <c r="B25" i="15" s="1"/>
  <c r="B9" i="9"/>
  <c r="B16" i="7"/>
  <c r="B15" i="7" s="1"/>
  <c r="B22" i="7" s="1"/>
  <c r="B26" i="7" s="1"/>
  <c r="C2" i="7" s="1"/>
  <c r="B39" i="7"/>
  <c r="M53" i="6"/>
  <c r="F4" i="12"/>
  <c r="F7" i="12" s="1"/>
  <c r="F12" i="12" s="1"/>
  <c r="F6" i="8" s="1"/>
  <c r="E58" i="1"/>
  <c r="C35" i="1"/>
  <c r="C20" i="2" s="1"/>
  <c r="C21" i="2" s="1"/>
  <c r="C22" i="2" s="1"/>
  <c r="C24" i="2" s="1"/>
  <c r="D20" i="2"/>
  <c r="D21" i="2" s="1"/>
  <c r="D22" i="2" s="1"/>
  <c r="D24" i="2" s="1"/>
  <c r="D40" i="2" s="1"/>
  <c r="F99" i="3"/>
  <c r="F44" i="3"/>
  <c r="F100" i="3" s="1"/>
  <c r="AD5" i="14"/>
  <c r="AU5" i="14" s="1"/>
  <c r="I13" i="9"/>
  <c r="I3" i="8"/>
  <c r="E34" i="15"/>
  <c r="E30" i="15" s="1"/>
  <c r="L47" i="14"/>
  <c r="L12" i="7" s="1"/>
  <c r="N42" i="15"/>
  <c r="N6" i="12"/>
  <c r="G48" i="7"/>
  <c r="K3" i="14"/>
  <c r="J15" i="7"/>
  <c r="K82" i="6"/>
  <c r="K36" i="6"/>
  <c r="AF28" i="1"/>
  <c r="L36" i="1"/>
  <c r="L43" i="1" s="1"/>
  <c r="F108" i="3"/>
  <c r="F111" i="3" s="1"/>
  <c r="AN28" i="1"/>
  <c r="B43" i="7"/>
  <c r="B50" i="7" s="1"/>
  <c r="B9" i="13"/>
  <c r="B12" i="13" s="1"/>
  <c r="B48" i="15"/>
  <c r="B49" i="15" s="1"/>
  <c r="B45" i="15" s="1"/>
  <c r="B20" i="7"/>
  <c r="M50" i="6"/>
  <c r="M51" i="6" s="1"/>
  <c r="M51" i="1"/>
  <c r="M45" i="1"/>
  <c r="M11" i="2"/>
  <c r="M12" i="2" s="1"/>
  <c r="M13" i="2" s="1"/>
  <c r="M24" i="2" s="1"/>
  <c r="M25" i="2" s="1"/>
  <c r="P53" i="6"/>
  <c r="G29" i="15"/>
  <c r="G25" i="15" s="1"/>
  <c r="O9" i="9"/>
  <c r="O28" i="15"/>
  <c r="O3" i="14"/>
  <c r="D9" i="13"/>
  <c r="D12" i="13" s="1"/>
  <c r="D48" i="15"/>
  <c r="D49" i="15" s="1"/>
  <c r="D45" i="15" s="1"/>
  <c r="D20" i="7"/>
  <c r="D15" i="7" s="1"/>
  <c r="D22" i="7" s="1"/>
  <c r="D43" i="7"/>
  <c r="D50" i="7" s="1"/>
  <c r="B12" i="12"/>
  <c r="B6" i="8" s="1"/>
  <c r="L29" i="15"/>
  <c r="L25" i="15" s="1"/>
  <c r="I76" i="3"/>
  <c r="H77" i="3"/>
  <c r="E53" i="6"/>
  <c r="E22" i="6"/>
  <c r="F36" i="1"/>
  <c r="F42" i="1"/>
  <c r="Y28" i="1"/>
  <c r="N34" i="6"/>
  <c r="L52" i="1"/>
  <c r="L15" i="6"/>
  <c r="L16" i="6" s="1"/>
  <c r="AD22" i="14"/>
  <c r="M51" i="2"/>
  <c r="M57" i="2" s="1"/>
  <c r="M60" i="2" s="1"/>
  <c r="M63" i="2" s="1"/>
  <c r="AL28" i="1"/>
  <c r="B27" i="6" l="1"/>
  <c r="B28" i="6" s="1"/>
  <c r="D55" i="6"/>
  <c r="G44" i="1"/>
  <c r="H10" i="7" s="1"/>
  <c r="H13" i="7" s="1"/>
  <c r="E55" i="6"/>
  <c r="I49" i="1"/>
  <c r="J4" i="10" s="1"/>
  <c r="J7" i="10" s="1"/>
  <c r="J12" i="10" s="1"/>
  <c r="G20" i="6"/>
  <c r="G36" i="2"/>
  <c r="G35" i="2"/>
  <c r="E13" i="13"/>
  <c r="G50" i="1"/>
  <c r="H4" i="11" s="1"/>
  <c r="H7" i="11" s="1"/>
  <c r="H12" i="11" s="1"/>
  <c r="H5" i="8" s="1"/>
  <c r="G12" i="13"/>
  <c r="G13" i="13" s="1"/>
  <c r="G37" i="2"/>
  <c r="G12" i="12"/>
  <c r="G6" i="8" s="1"/>
  <c r="G38" i="2"/>
  <c r="E50" i="1"/>
  <c r="F4" i="11" s="1"/>
  <c r="F7" i="11" s="1"/>
  <c r="F12" i="11" s="1"/>
  <c r="F5" i="8" s="1"/>
  <c r="I35" i="2"/>
  <c r="I36" i="2"/>
  <c r="I59" i="1"/>
  <c r="J4" i="13"/>
  <c r="J7" i="13" s="1"/>
  <c r="J12" i="13" s="1"/>
  <c r="J10" i="8" s="1"/>
  <c r="J22" i="8" s="1"/>
  <c r="J34" i="8" s="1"/>
  <c r="H4" i="10"/>
  <c r="H7" i="10" s="1"/>
  <c r="H12" i="10" s="1"/>
  <c r="H4" i="8" s="1"/>
  <c r="E56" i="1"/>
  <c r="I40" i="2"/>
  <c r="C42" i="6"/>
  <c r="C43" i="6" s="1"/>
  <c r="C39" i="6" s="1"/>
  <c r="C40" i="6" s="1"/>
  <c r="I37" i="2"/>
  <c r="H50" i="1"/>
  <c r="H53" i="1" s="1"/>
  <c r="M44" i="1"/>
  <c r="N10" i="7" s="1"/>
  <c r="N13" i="7" s="1"/>
  <c r="K20" i="2"/>
  <c r="K21" i="2" s="1"/>
  <c r="K22" i="2" s="1"/>
  <c r="K24" i="2" s="1"/>
  <c r="K25" i="2" s="1"/>
  <c r="E37" i="2"/>
  <c r="BK35" i="1"/>
  <c r="E35" i="2"/>
  <c r="E36" i="2"/>
  <c r="H56" i="1"/>
  <c r="H35" i="2"/>
  <c r="H37" i="2"/>
  <c r="H36" i="2"/>
  <c r="H55" i="6"/>
  <c r="O19" i="7"/>
  <c r="P19" i="7" s="1"/>
  <c r="D27" i="6"/>
  <c r="D28" i="6" s="1"/>
  <c r="D42" i="6"/>
  <c r="D43" i="6" s="1"/>
  <c r="D39" i="6" s="1"/>
  <c r="C7" i="8"/>
  <c r="C13" i="13"/>
  <c r="L25" i="2"/>
  <c r="L36" i="2"/>
  <c r="L37" i="2"/>
  <c r="L35" i="2"/>
  <c r="L40" i="2"/>
  <c r="M4" i="13"/>
  <c r="M7" i="13" s="1"/>
  <c r="M12" i="13" s="1"/>
  <c r="K54" i="6"/>
  <c r="K55" i="6" s="1"/>
  <c r="L59" i="1"/>
  <c r="L49" i="1"/>
  <c r="L50" i="1" s="1"/>
  <c r="AG18" i="14"/>
  <c r="C26" i="7"/>
  <c r="D2" i="7" s="1"/>
  <c r="D26" i="7" s="1"/>
  <c r="O51" i="1"/>
  <c r="O11" i="2"/>
  <c r="O12" i="2" s="1"/>
  <c r="O13" i="2" s="1"/>
  <c r="O50" i="6"/>
  <c r="O51" i="6" s="1"/>
  <c r="O45" i="1"/>
  <c r="O44" i="1" s="1"/>
  <c r="P10" i="7" s="1"/>
  <c r="P13" i="7" s="1"/>
  <c r="AU22" i="14"/>
  <c r="AE22" i="14"/>
  <c r="H54" i="3"/>
  <c r="H40" i="3"/>
  <c r="H47" i="3"/>
  <c r="L39" i="15"/>
  <c r="L35" i="15" s="1"/>
  <c r="AF22" i="14"/>
  <c r="I51" i="3"/>
  <c r="I58" i="3"/>
  <c r="AF18" i="14"/>
  <c r="AU13" i="14"/>
  <c r="AE13" i="14"/>
  <c r="AF13" i="14"/>
  <c r="B7" i="8"/>
  <c r="B13" i="13"/>
  <c r="H23" i="6"/>
  <c r="H75" i="6"/>
  <c r="H77" i="6" s="1"/>
  <c r="H79" i="6" s="1"/>
  <c r="O4" i="9"/>
  <c r="O7" i="9" s="1"/>
  <c r="O12" i="9" s="1"/>
  <c r="N55" i="1"/>
  <c r="C36" i="2"/>
  <c r="C37" i="2"/>
  <c r="C35" i="2"/>
  <c r="H57" i="3"/>
  <c r="H43" i="3"/>
  <c r="H50" i="3"/>
  <c r="I41" i="3"/>
  <c r="I48" i="3"/>
  <c r="I55" i="3"/>
  <c r="AV10" i="14"/>
  <c r="H55" i="3"/>
  <c r="H48" i="3"/>
  <c r="H64" i="3"/>
  <c r="H41" i="3"/>
  <c r="AG22" i="14"/>
  <c r="N44" i="15"/>
  <c r="N40" i="15" s="1"/>
  <c r="I49" i="3"/>
  <c r="I42" i="3"/>
  <c r="I44" i="3" s="1"/>
  <c r="I56" i="3"/>
  <c r="AG9" i="14"/>
  <c r="AX9" i="14" s="1"/>
  <c r="AG13" i="14"/>
  <c r="BK45" i="1"/>
  <c r="M4" i="12"/>
  <c r="M7" i="12" s="1"/>
  <c r="M12" i="12" s="1"/>
  <c r="M6" i="8" s="1"/>
  <c r="L58" i="1"/>
  <c r="BI45" i="1"/>
  <c r="J44" i="1"/>
  <c r="AG17" i="14"/>
  <c r="H49" i="3"/>
  <c r="H42" i="3"/>
  <c r="H56" i="3"/>
  <c r="M40" i="2"/>
  <c r="O4" i="12"/>
  <c r="O7" i="12" s="1"/>
  <c r="O12" i="12" s="1"/>
  <c r="O6" i="8" s="1"/>
  <c r="N58" i="1"/>
  <c r="H78" i="3"/>
  <c r="I77" i="3"/>
  <c r="O42" i="1"/>
  <c r="O20" i="2"/>
  <c r="O21" i="2" s="1"/>
  <c r="O22" i="2" s="1"/>
  <c r="O4" i="13"/>
  <c r="O7" i="13" s="1"/>
  <c r="O12" i="13" s="1"/>
  <c r="M54" i="6"/>
  <c r="M55" i="6" s="1"/>
  <c r="N59" i="1"/>
  <c r="M4" i="9"/>
  <c r="M7" i="9" s="1"/>
  <c r="M12" i="9" s="1"/>
  <c r="L55" i="1"/>
  <c r="L4" i="12"/>
  <c r="L7" i="12" s="1"/>
  <c r="L12" i="12" s="1"/>
  <c r="L6" i="8" s="1"/>
  <c r="K58" i="1"/>
  <c r="BK51" i="1"/>
  <c r="M11" i="6"/>
  <c r="M12" i="6" s="1"/>
  <c r="K80" i="4"/>
  <c r="K90" i="4"/>
  <c r="N4" i="12"/>
  <c r="N7" i="12" s="1"/>
  <c r="N12" i="12" s="1"/>
  <c r="N6" i="8" s="1"/>
  <c r="M58" i="1"/>
  <c r="G42" i="6"/>
  <c r="G43" i="6" s="1"/>
  <c r="G39" i="6" s="1"/>
  <c r="G27" i="6"/>
  <c r="G28" i="6" s="1"/>
  <c r="I7" i="8"/>
  <c r="I13" i="13"/>
  <c r="F48" i="7"/>
  <c r="BK42" i="1"/>
  <c r="K11" i="6"/>
  <c r="K12" i="6" s="1"/>
  <c r="H7" i="8"/>
  <c r="H13" i="13"/>
  <c r="G47" i="7"/>
  <c r="I19" i="6"/>
  <c r="I20" i="6" s="1"/>
  <c r="I50" i="1"/>
  <c r="I53" i="1" s="1"/>
  <c r="I44" i="1"/>
  <c r="J10" i="7" s="1"/>
  <c r="J13" i="7" s="1"/>
  <c r="BI41" i="1"/>
  <c r="J52" i="1"/>
  <c r="J49" i="1" s="1"/>
  <c r="J15" i="6"/>
  <c r="J16" i="6" s="1"/>
  <c r="D13" i="13"/>
  <c r="D7" i="8"/>
  <c r="AF10" i="14"/>
  <c r="AW10" i="14" s="1"/>
  <c r="M20" i="6"/>
  <c r="H51" i="3"/>
  <c r="H58" i="3"/>
  <c r="B78" i="6"/>
  <c r="B80" i="6" s="1"/>
  <c r="B83" i="6" s="1"/>
  <c r="B40" i="6"/>
  <c r="J75" i="6"/>
  <c r="J77" i="6" s="1"/>
  <c r="J79" i="6" s="1"/>
  <c r="K2" i="7"/>
  <c r="K26" i="7" s="1"/>
  <c r="K31" i="7" s="1"/>
  <c r="F49" i="1"/>
  <c r="F11" i="6"/>
  <c r="F12" i="6" s="1"/>
  <c r="F43" i="1"/>
  <c r="D36" i="1"/>
  <c r="B46" i="7"/>
  <c r="AU11" i="14"/>
  <c r="AF11" i="14"/>
  <c r="AW11" i="14" s="1"/>
  <c r="AG11" i="14"/>
  <c r="AX11" i="14" s="1"/>
  <c r="N4" i="9"/>
  <c r="N7" i="9" s="1"/>
  <c r="N12" i="9" s="1"/>
  <c r="M55" i="1"/>
  <c r="O17" i="7"/>
  <c r="L44" i="1"/>
  <c r="M10" i="7" s="1"/>
  <c r="M13" i="7" s="1"/>
  <c r="AU21" i="14"/>
  <c r="AF21" i="14"/>
  <c r="AG21" i="14" s="1"/>
  <c r="M52" i="1"/>
  <c r="M49" i="1" s="1"/>
  <c r="K4" i="12"/>
  <c r="K7" i="12" s="1"/>
  <c r="K12" i="12" s="1"/>
  <c r="K6" i="8" s="1"/>
  <c r="J58" i="1"/>
  <c r="BI51" i="1"/>
  <c r="F37" i="2"/>
  <c r="F35" i="2"/>
  <c r="F40" i="2"/>
  <c r="F36" i="2"/>
  <c r="C50" i="7"/>
  <c r="M37" i="2"/>
  <c r="M36" i="2"/>
  <c r="M35" i="2"/>
  <c r="O19" i="6"/>
  <c r="H15" i="7"/>
  <c r="H22" i="7" s="1"/>
  <c r="H26" i="7" s="1"/>
  <c r="M16" i="7"/>
  <c r="E75" i="6"/>
  <c r="E77" i="6" s="1"/>
  <c r="E79" i="6" s="1"/>
  <c r="E23" i="6"/>
  <c r="K52" i="1"/>
  <c r="BK41" i="1"/>
  <c r="K15" i="6"/>
  <c r="K16" i="6" s="1"/>
  <c r="C40" i="2"/>
  <c r="B54" i="7"/>
  <c r="B12" i="9"/>
  <c r="M20" i="7"/>
  <c r="N20" i="7" s="1"/>
  <c r="AE5" i="14"/>
  <c r="P7" i="1"/>
  <c r="P3" i="1" s="1"/>
  <c r="D44" i="3"/>
  <c r="BH9" i="1"/>
  <c r="BH8" i="1"/>
  <c r="H13" i="9"/>
  <c r="H3" i="8"/>
  <c r="O15" i="6"/>
  <c r="O16" i="6" s="1"/>
  <c r="H46" i="7"/>
  <c r="N24" i="2"/>
  <c r="BI43" i="1"/>
  <c r="J19" i="6"/>
  <c r="J20" i="6" s="1"/>
  <c r="K43" i="1"/>
  <c r="BK36" i="1"/>
  <c r="J24" i="2"/>
  <c r="F50" i="7"/>
  <c r="N20" i="6"/>
  <c r="L35" i="6"/>
  <c r="L37" i="6" s="1"/>
  <c r="L19" i="6"/>
  <c r="I75" i="6"/>
  <c r="I77" i="6" s="1"/>
  <c r="I79" i="6" s="1"/>
  <c r="F7" i="8"/>
  <c r="F13" i="13"/>
  <c r="M18" i="7"/>
  <c r="N18" i="7" s="1"/>
  <c r="N11" i="6"/>
  <c r="N12" i="6" s="1"/>
  <c r="N49" i="1"/>
  <c r="D35" i="2"/>
  <c r="D36" i="2"/>
  <c r="D37" i="2"/>
  <c r="I54" i="3"/>
  <c r="I47" i="3"/>
  <c r="I40" i="3"/>
  <c r="J11" i="6"/>
  <c r="J12" i="6" s="1"/>
  <c r="BI42" i="1"/>
  <c r="AF9" i="14"/>
  <c r="AW9" i="14" s="1"/>
  <c r="G57" i="1" l="1"/>
  <c r="C78" i="6"/>
  <c r="C80" i="6" s="1"/>
  <c r="C83" i="6" s="1"/>
  <c r="G7" i="8"/>
  <c r="I56" i="1"/>
  <c r="I38" i="2"/>
  <c r="E57" i="1"/>
  <c r="K35" i="2"/>
  <c r="K36" i="2"/>
  <c r="I23" i="6"/>
  <c r="K37" i="2"/>
  <c r="J7" i="8"/>
  <c r="J13" i="13"/>
  <c r="M38" i="2"/>
  <c r="I4" i="11"/>
  <c r="I7" i="11" s="1"/>
  <c r="I12" i="11" s="1"/>
  <c r="I5" i="8" s="1"/>
  <c r="K40" i="2"/>
  <c r="H57" i="1"/>
  <c r="Q3" i="1"/>
  <c r="D38" i="2"/>
  <c r="L38" i="2"/>
  <c r="M23" i="6"/>
  <c r="M27" i="6" s="1"/>
  <c r="M28" i="6" s="1"/>
  <c r="Q19" i="7"/>
  <c r="R19" i="7" s="1"/>
  <c r="E38" i="2"/>
  <c r="F38" i="2"/>
  <c r="D40" i="6"/>
  <c r="D78" i="6"/>
  <c r="D80" i="6" s="1"/>
  <c r="D83" i="6" s="1"/>
  <c r="C38" i="2"/>
  <c r="N23" i="6"/>
  <c r="N27" i="6" s="1"/>
  <c r="N28" i="6" s="1"/>
  <c r="H38" i="2"/>
  <c r="L2" i="7"/>
  <c r="L26" i="7" s="1"/>
  <c r="L31" i="7" s="1"/>
  <c r="Q8" i="1"/>
  <c r="P4" i="12"/>
  <c r="P7" i="12" s="1"/>
  <c r="P12" i="12" s="1"/>
  <c r="P6" i="8" s="1"/>
  <c r="O58" i="1"/>
  <c r="F19" i="6"/>
  <c r="F50" i="1"/>
  <c r="F44" i="1"/>
  <c r="G10" i="7" s="1"/>
  <c r="G13" i="7" s="1"/>
  <c r="F56" i="1"/>
  <c r="G4" i="10"/>
  <c r="G7" i="10" s="1"/>
  <c r="G12" i="10" s="1"/>
  <c r="G4" i="8" s="1"/>
  <c r="AG10" i="14"/>
  <c r="AX10" i="14" s="1"/>
  <c r="B3" i="8"/>
  <c r="B13" i="9"/>
  <c r="H79" i="3"/>
  <c r="I78" i="3"/>
  <c r="L90" i="4"/>
  <c r="M90" i="4"/>
  <c r="K4" i="13"/>
  <c r="K7" i="13" s="1"/>
  <c r="K12" i="13" s="1"/>
  <c r="I54" i="6"/>
  <c r="I55" i="6" s="1"/>
  <c r="BI52" i="1"/>
  <c r="J59" i="1"/>
  <c r="M7" i="8"/>
  <c r="M13" i="13"/>
  <c r="P4" i="9"/>
  <c r="P7" i="9" s="1"/>
  <c r="P12" i="9" s="1"/>
  <c r="O55" i="1"/>
  <c r="M80" i="4"/>
  <c r="L80" i="4"/>
  <c r="L4" i="9"/>
  <c r="L7" i="9" s="1"/>
  <c r="L12" i="9" s="1"/>
  <c r="K55" i="1"/>
  <c r="BK48" i="1"/>
  <c r="O4" i="10"/>
  <c r="O7" i="10" s="1"/>
  <c r="O12" i="10" s="1"/>
  <c r="N56" i="1"/>
  <c r="N50" i="1"/>
  <c r="J23" i="6"/>
  <c r="K10" i="7"/>
  <c r="K13" i="7" s="1"/>
  <c r="BI44" i="1"/>
  <c r="I42" i="6"/>
  <c r="I43" i="6" s="1"/>
  <c r="I39" i="6" s="1"/>
  <c r="I27" i="6"/>
  <c r="I28" i="6" s="1"/>
  <c r="K4" i="10"/>
  <c r="K7" i="10" s="1"/>
  <c r="K12" i="10" s="1"/>
  <c r="BI49" i="1"/>
  <c r="J56" i="1"/>
  <c r="L20" i="6"/>
  <c r="L23" i="6"/>
  <c r="H42" i="6"/>
  <c r="H43" i="6" s="1"/>
  <c r="H39" i="6" s="1"/>
  <c r="H27" i="6"/>
  <c r="H28" i="6" s="1"/>
  <c r="J11" i="8"/>
  <c r="J23" i="8" s="1"/>
  <c r="J35" i="8" s="1"/>
  <c r="J4" i="8"/>
  <c r="J37" i="2"/>
  <c r="J36" i="2"/>
  <c r="J35" i="2"/>
  <c r="J25" i="2"/>
  <c r="M15" i="7"/>
  <c r="M22" i="7" s="1"/>
  <c r="N16" i="7"/>
  <c r="N15" i="7" s="1"/>
  <c r="N22" i="7" s="1"/>
  <c r="N4" i="13"/>
  <c r="N7" i="13" s="1"/>
  <c r="N12" i="13" s="1"/>
  <c r="L54" i="6"/>
  <c r="L55" i="6" s="1"/>
  <c r="M59" i="1"/>
  <c r="E42" i="6"/>
  <c r="E43" i="6" s="1"/>
  <c r="E39" i="6" s="1"/>
  <c r="E27" i="6"/>
  <c r="E28" i="6" s="1"/>
  <c r="J4" i="11"/>
  <c r="J7" i="11" s="1"/>
  <c r="J12" i="11" s="1"/>
  <c r="J5" i="8" s="1"/>
  <c r="I57" i="1"/>
  <c r="BH10" i="1"/>
  <c r="BH11" i="1" s="1"/>
  <c r="BI11" i="1" s="1"/>
  <c r="BJ11" i="1" s="1"/>
  <c r="P17" i="7"/>
  <c r="N4" i="10"/>
  <c r="N7" i="10" s="1"/>
  <c r="N12" i="10" s="1"/>
  <c r="M56" i="1"/>
  <c r="M50" i="1"/>
  <c r="M4" i="11"/>
  <c r="M7" i="11" s="1"/>
  <c r="M12" i="11" s="1"/>
  <c r="M5" i="8" s="1"/>
  <c r="L57" i="1"/>
  <c r="K4" i="9"/>
  <c r="K7" i="9" s="1"/>
  <c r="K12" i="9" s="1"/>
  <c r="BI48" i="1"/>
  <c r="J55" i="1"/>
  <c r="BK43" i="1"/>
  <c r="K19" i="6"/>
  <c r="O20" i="6"/>
  <c r="J40" i="2"/>
  <c r="K35" i="6"/>
  <c r="K37" i="6" s="1"/>
  <c r="H44" i="3"/>
  <c r="O11" i="6"/>
  <c r="O12" i="6" s="1"/>
  <c r="O52" i="1"/>
  <c r="O49" i="1" s="1"/>
  <c r="G78" i="6"/>
  <c r="G80" i="6" s="1"/>
  <c r="G83" i="6" s="1"/>
  <c r="G40" i="6"/>
  <c r="O3" i="8"/>
  <c r="O13" i="9"/>
  <c r="O10" i="8"/>
  <c r="N35" i="6"/>
  <c r="N37" i="6" s="1"/>
  <c r="L4" i="13"/>
  <c r="L7" i="13" s="1"/>
  <c r="L12" i="13" s="1"/>
  <c r="J54" i="6"/>
  <c r="J55" i="6" s="1"/>
  <c r="K59" i="1"/>
  <c r="BK52" i="1"/>
  <c r="M35" i="6"/>
  <c r="M37" i="6" s="1"/>
  <c r="L56" i="1"/>
  <c r="M4" i="10"/>
  <c r="M7" i="10" s="1"/>
  <c r="M12" i="10" s="1"/>
  <c r="M3" i="8"/>
  <c r="M10" i="8"/>
  <c r="M13" i="9"/>
  <c r="AF5" i="14"/>
  <c r="AG5" i="14" s="1"/>
  <c r="K49" i="1"/>
  <c r="K50" i="1" s="1"/>
  <c r="O7" i="8"/>
  <c r="O13" i="13"/>
  <c r="K44" i="1"/>
  <c r="J50" i="1"/>
  <c r="N37" i="2"/>
  <c r="N25" i="2"/>
  <c r="N36" i="2"/>
  <c r="N35" i="2"/>
  <c r="N40" i="2"/>
  <c r="O18" i="7"/>
  <c r="P18" i="7" s="1"/>
  <c r="N3" i="8"/>
  <c r="N13" i="9"/>
  <c r="O24" i="2"/>
  <c r="O20" i="7"/>
  <c r="P20" i="7" s="1"/>
  <c r="Q20" i="7" s="1"/>
  <c r="M42" i="6" l="1"/>
  <c r="M43" i="6" s="1"/>
  <c r="M39" i="6" s="1"/>
  <c r="K38" i="2"/>
  <c r="Q32" i="1"/>
  <c r="R8" i="1"/>
  <c r="N42" i="6"/>
  <c r="N43" i="6" s="1"/>
  <c r="N39" i="6" s="1"/>
  <c r="J12" i="8"/>
  <c r="J24" i="8" s="1"/>
  <c r="J36" i="8" s="1"/>
  <c r="J13" i="8"/>
  <c r="J25" i="8" s="1"/>
  <c r="J37" i="8" s="1"/>
  <c r="J28" i="7" s="1"/>
  <c r="M13" i="8"/>
  <c r="M19" i="8" s="1"/>
  <c r="M25" i="8" s="1"/>
  <c r="M37" i="8" s="1"/>
  <c r="M28" i="7" s="1"/>
  <c r="J38" i="2"/>
  <c r="N38" i="2"/>
  <c r="P4" i="10"/>
  <c r="P7" i="10" s="1"/>
  <c r="P12" i="10" s="1"/>
  <c r="O56" i="1"/>
  <c r="O50" i="1"/>
  <c r="M2" i="7"/>
  <c r="M26" i="7" s="1"/>
  <c r="M31" i="7" s="1"/>
  <c r="J27" i="6"/>
  <c r="J28" i="6" s="1"/>
  <c r="J42" i="6"/>
  <c r="J43" i="6" s="1"/>
  <c r="J39" i="6" s="1"/>
  <c r="O4" i="11"/>
  <c r="O7" i="11" s="1"/>
  <c r="O12" i="11" s="1"/>
  <c r="N57" i="1"/>
  <c r="P3" i="8"/>
  <c r="P13" i="9"/>
  <c r="P10" i="8"/>
  <c r="F20" i="6"/>
  <c r="F23" i="6"/>
  <c r="P41" i="1"/>
  <c r="P48" i="1" s="1"/>
  <c r="P35" i="1"/>
  <c r="P37" i="1"/>
  <c r="P36" i="1"/>
  <c r="P43" i="1" s="1"/>
  <c r="P38" i="1"/>
  <c r="M23" i="7"/>
  <c r="N23" i="7" s="1"/>
  <c r="M24" i="7"/>
  <c r="N24" i="7" s="1"/>
  <c r="P4" i="13"/>
  <c r="P7" i="13" s="1"/>
  <c r="P12" i="13" s="1"/>
  <c r="N54" i="6"/>
  <c r="N55" i="6" s="1"/>
  <c r="O59" i="1"/>
  <c r="O23" i="6"/>
  <c r="L27" i="6"/>
  <c r="L28" i="6" s="1"/>
  <c r="L42" i="6"/>
  <c r="L43" i="6" s="1"/>
  <c r="L39" i="6" s="1"/>
  <c r="L7" i="8"/>
  <c r="L13" i="13"/>
  <c r="N40" i="6"/>
  <c r="N78" i="6"/>
  <c r="N80" i="6" s="1"/>
  <c r="N83" i="6" s="1"/>
  <c r="M78" i="6"/>
  <c r="M80" i="6" s="1"/>
  <c r="M83" i="6" s="1"/>
  <c r="M40" i="6"/>
  <c r="K20" i="6"/>
  <c r="K23" i="6"/>
  <c r="E78" i="6"/>
  <c r="E80" i="6" s="1"/>
  <c r="E83" i="6" s="1"/>
  <c r="E40" i="6"/>
  <c r="K10" i="8"/>
  <c r="K22" i="8" s="1"/>
  <c r="K34" i="8" s="1"/>
  <c r="K3" i="8"/>
  <c r="K13" i="9"/>
  <c r="N4" i="11"/>
  <c r="N7" i="11" s="1"/>
  <c r="N12" i="11" s="1"/>
  <c r="M57" i="1"/>
  <c r="M12" i="8"/>
  <c r="M4" i="8"/>
  <c r="M11" i="8"/>
  <c r="G4" i="11"/>
  <c r="G7" i="11" s="1"/>
  <c r="G12" i="11" s="1"/>
  <c r="G5" i="8" s="1"/>
  <c r="F57" i="1"/>
  <c r="R20" i="7"/>
  <c r="L3" i="8"/>
  <c r="L10" i="8"/>
  <c r="L13" i="9"/>
  <c r="H78" i="6"/>
  <c r="H80" i="6" s="1"/>
  <c r="H83" i="6" s="1"/>
  <c r="H40" i="6"/>
  <c r="L4" i="11"/>
  <c r="L7" i="11" s="1"/>
  <c r="L12" i="11" s="1"/>
  <c r="L5" i="8" s="1"/>
  <c r="K57" i="1"/>
  <c r="BK50" i="1"/>
  <c r="K11" i="8"/>
  <c r="K23" i="8" s="1"/>
  <c r="K35" i="8" s="1"/>
  <c r="K4" i="8"/>
  <c r="K4" i="11"/>
  <c r="K7" i="11" s="1"/>
  <c r="K12" i="11" s="1"/>
  <c r="K5" i="8" s="1"/>
  <c r="J57" i="1"/>
  <c r="BI50" i="1"/>
  <c r="N7" i="8"/>
  <c r="N13" i="13"/>
  <c r="K7" i="8"/>
  <c r="K13" i="13"/>
  <c r="N4" i="8"/>
  <c r="N11" i="8"/>
  <c r="H80" i="3"/>
  <c r="I79" i="3"/>
  <c r="O4" i="8"/>
  <c r="O11" i="8"/>
  <c r="R10" i="1"/>
  <c r="S2" i="1" s="1"/>
  <c r="S4" i="1" s="1"/>
  <c r="O35" i="6"/>
  <c r="O37" i="6" s="1"/>
  <c r="O16" i="7"/>
  <c r="P16" i="7" s="1"/>
  <c r="P15" i="7" s="1"/>
  <c r="P22" i="7" s="1"/>
  <c r="M16" i="8"/>
  <c r="M22" i="8" s="1"/>
  <c r="M34" i="8" s="1"/>
  <c r="L10" i="7"/>
  <c r="L13" i="7" s="1"/>
  <c r="BK44" i="1"/>
  <c r="O37" i="2"/>
  <c r="O35" i="2"/>
  <c r="O36" i="2"/>
  <c r="O25" i="2"/>
  <c r="O40" i="2"/>
  <c r="O16" i="8"/>
  <c r="O22" i="8" s="1"/>
  <c r="O34" i="8" s="1"/>
  <c r="I40" i="6"/>
  <c r="I78" i="6"/>
  <c r="I80" i="6" s="1"/>
  <c r="I83" i="6" s="1"/>
  <c r="N10" i="8"/>
  <c r="L4" i="10"/>
  <c r="L7" i="10" s="1"/>
  <c r="L12" i="10" s="1"/>
  <c r="K56" i="1"/>
  <c r="BK49" i="1"/>
  <c r="J53" i="1"/>
  <c r="L13" i="8" l="1"/>
  <c r="O38" i="2"/>
  <c r="L12" i="8"/>
  <c r="L18" i="8" s="1"/>
  <c r="L24" i="8" s="1"/>
  <c r="L36" i="8" s="1"/>
  <c r="N2" i="7"/>
  <c r="N26" i="7" s="1"/>
  <c r="N31" i="7" s="1"/>
  <c r="L19" i="8"/>
  <c r="L25" i="8" s="1"/>
  <c r="L37" i="8" s="1"/>
  <c r="L28" i="7" s="1"/>
  <c r="L16" i="8"/>
  <c r="L22" i="8" s="1"/>
  <c r="L34" i="8" s="1"/>
  <c r="F42" i="6"/>
  <c r="F43" i="6" s="1"/>
  <c r="F39" i="6" s="1"/>
  <c r="F27" i="6"/>
  <c r="F28" i="6" s="1"/>
  <c r="P20" i="2"/>
  <c r="P21" i="2" s="1"/>
  <c r="P22" i="2" s="1"/>
  <c r="P42" i="1"/>
  <c r="K27" i="6"/>
  <c r="K28" i="6" s="1"/>
  <c r="K42" i="6"/>
  <c r="K43" i="6" s="1"/>
  <c r="K39" i="6" s="1"/>
  <c r="N16" i="8"/>
  <c r="N22" i="8" s="1"/>
  <c r="N34" i="8" s="1"/>
  <c r="P19" i="6"/>
  <c r="P16" i="8"/>
  <c r="P22" i="8" s="1"/>
  <c r="P34" i="8" s="1"/>
  <c r="J78" i="6"/>
  <c r="J80" i="6" s="1"/>
  <c r="J83" i="6" s="1"/>
  <c r="J40" i="6"/>
  <c r="N5" i="8"/>
  <c r="N12" i="8"/>
  <c r="N13" i="8"/>
  <c r="O15" i="7"/>
  <c r="O22" i="7" s="1"/>
  <c r="L4" i="8"/>
  <c r="L11" i="8"/>
  <c r="O17" i="8"/>
  <c r="O23" i="8" s="1"/>
  <c r="O35" i="8" s="1"/>
  <c r="M18" i="8"/>
  <c r="M24" i="8" s="1"/>
  <c r="M36" i="8" s="1"/>
  <c r="L78" i="6"/>
  <c r="L80" i="6" s="1"/>
  <c r="L83" i="6" s="1"/>
  <c r="L40" i="6"/>
  <c r="M17" i="8"/>
  <c r="M23" i="8" s="1"/>
  <c r="M35" i="8" s="1"/>
  <c r="P7" i="8"/>
  <c r="P13" i="13"/>
  <c r="N17" i="8"/>
  <c r="N23" i="8" s="1"/>
  <c r="N35" i="8" s="1"/>
  <c r="K12" i="8"/>
  <c r="K24" i="8" s="1"/>
  <c r="K36" i="8" s="1"/>
  <c r="P4" i="11"/>
  <c r="P7" i="11" s="1"/>
  <c r="P12" i="11" s="1"/>
  <c r="O57" i="1"/>
  <c r="P15" i="6"/>
  <c r="P16" i="6" s="1"/>
  <c r="P55" i="1"/>
  <c r="O42" i="6"/>
  <c r="O43" i="6" s="1"/>
  <c r="O39" i="6" s="1"/>
  <c r="O27" i="6"/>
  <c r="O28" i="6" s="1"/>
  <c r="O5" i="8"/>
  <c r="O12" i="8"/>
  <c r="O13" i="8"/>
  <c r="I80" i="3"/>
  <c r="H81" i="3"/>
  <c r="K13" i="8"/>
  <c r="K25" i="8" s="1"/>
  <c r="K37" i="8" s="1"/>
  <c r="K28" i="7" s="1"/>
  <c r="P51" i="1"/>
  <c r="P58" i="1" s="1"/>
  <c r="P45" i="1"/>
  <c r="P44" i="1" s="1"/>
  <c r="Q10" i="7" s="1"/>
  <c r="P50" i="6"/>
  <c r="P51" i="6" s="1"/>
  <c r="P11" i="2"/>
  <c r="P12" i="2" s="1"/>
  <c r="P13" i="2" s="1"/>
  <c r="P4" i="8"/>
  <c r="P11" i="8"/>
  <c r="S7" i="1" l="1"/>
  <c r="S13" i="1" s="1"/>
  <c r="S15" i="1"/>
  <c r="S10" i="1"/>
  <c r="T2" i="1" s="1"/>
  <c r="T4" i="1" s="1"/>
  <c r="P24" i="2"/>
  <c r="P20" i="6"/>
  <c r="O78" i="6"/>
  <c r="O80" i="6" s="1"/>
  <c r="O83" i="6" s="1"/>
  <c r="O40" i="6"/>
  <c r="N19" i="8"/>
  <c r="N25" i="8" s="1"/>
  <c r="N37" i="8" s="1"/>
  <c r="N28" i="7" s="1"/>
  <c r="N18" i="8"/>
  <c r="N24" i="8" s="1"/>
  <c r="N36" i="8" s="1"/>
  <c r="P37" i="2"/>
  <c r="P35" i="2"/>
  <c r="P36" i="2"/>
  <c r="P25" i="2"/>
  <c r="P40" i="2"/>
  <c r="L17" i="8"/>
  <c r="L23" i="8" s="1"/>
  <c r="L35" i="8" s="1"/>
  <c r="R3" i="1"/>
  <c r="P52" i="1"/>
  <c r="P49" i="1" s="1"/>
  <c r="O19" i="8"/>
  <c r="O25" i="8" s="1"/>
  <c r="O37" i="8" s="1"/>
  <c r="O28" i="7" s="1"/>
  <c r="P11" i="6"/>
  <c r="P12" i="6" s="1"/>
  <c r="P35" i="6" s="1"/>
  <c r="P37" i="6" s="1"/>
  <c r="I81" i="3"/>
  <c r="H82" i="3"/>
  <c r="O18" i="8"/>
  <c r="O24" i="8" s="1"/>
  <c r="O36" i="8" s="1"/>
  <c r="F78" i="6"/>
  <c r="F80" i="6" s="1"/>
  <c r="F83" i="6" s="1"/>
  <c r="F40" i="6"/>
  <c r="O24" i="7"/>
  <c r="P24" i="7" s="1"/>
  <c r="O23" i="7"/>
  <c r="P23" i="7" s="1"/>
  <c r="K78" i="6"/>
  <c r="K80" i="6" s="1"/>
  <c r="K83" i="6" s="1"/>
  <c r="K40" i="6"/>
  <c r="P17" i="8"/>
  <c r="P23" i="8" s="1"/>
  <c r="P35" i="8" s="1"/>
  <c r="P5" i="8"/>
  <c r="P13" i="8"/>
  <c r="P12" i="8"/>
  <c r="O2" i="7"/>
  <c r="O26" i="7" s="1"/>
  <c r="O31" i="7" s="1"/>
  <c r="R31" i="1" l="1"/>
  <c r="R32" i="1" s="1"/>
  <c r="P38" i="2"/>
  <c r="S8" i="1"/>
  <c r="H83" i="3"/>
  <c r="I82" i="3"/>
  <c r="P2" i="7"/>
  <c r="P26" i="7" s="1"/>
  <c r="P31" i="7" s="1"/>
  <c r="O54" i="6"/>
  <c r="O55" i="6" s="1"/>
  <c r="P59" i="1"/>
  <c r="P18" i="8"/>
  <c r="P24" i="8" s="1"/>
  <c r="P36" i="8" s="1"/>
  <c r="P56" i="1"/>
  <c r="P50" i="1"/>
  <c r="P57" i="1" s="1"/>
  <c r="P19" i="8"/>
  <c r="P25" i="8" s="1"/>
  <c r="P37" i="8" s="1"/>
  <c r="P28" i="7" s="1"/>
  <c r="P23" i="6"/>
  <c r="S3" i="1" l="1"/>
  <c r="T7" i="1"/>
  <c r="T13" i="1" s="1"/>
  <c r="T10" i="1"/>
  <c r="U2" i="1" s="1"/>
  <c r="U4" i="1" s="1"/>
  <c r="P27" i="6"/>
  <c r="P28" i="6" s="1"/>
  <c r="P42" i="6"/>
  <c r="P43" i="6" s="1"/>
  <c r="P39" i="6" s="1"/>
  <c r="P40" i="6" s="1"/>
  <c r="Q2" i="7"/>
  <c r="I83" i="3"/>
  <c r="H84" i="3"/>
  <c r="R35" i="1"/>
  <c r="R37" i="1"/>
  <c r="R36" i="1"/>
  <c r="R43" i="1" s="1"/>
  <c r="R38" i="1"/>
  <c r="R34" i="1"/>
  <c r="R41" i="1" s="1"/>
  <c r="S31" i="1" l="1"/>
  <c r="S32" i="1" s="1"/>
  <c r="T8" i="1"/>
  <c r="U7" i="1" s="1"/>
  <c r="U13" i="1" s="1"/>
  <c r="S11" i="1"/>
  <c r="R15" i="6"/>
  <c r="R16" i="6" s="1"/>
  <c r="R51" i="1"/>
  <c r="R58" i="1" s="1"/>
  <c r="R50" i="6"/>
  <c r="R51" i="6" s="1"/>
  <c r="R45" i="1"/>
  <c r="R44" i="1" s="1"/>
  <c r="R11" i="2"/>
  <c r="R20" i="2"/>
  <c r="R42" i="1"/>
  <c r="I84" i="3"/>
  <c r="I85" i="3" s="1"/>
  <c r="H85" i="3"/>
  <c r="R19" i="6"/>
  <c r="S14" i="1" l="1"/>
  <c r="T3" i="1"/>
  <c r="U10" i="1"/>
  <c r="V2" i="1" s="1"/>
  <c r="S37" i="1"/>
  <c r="S38" i="1"/>
  <c r="S34" i="1"/>
  <c r="S41" i="1" s="1"/>
  <c r="S15" i="6" s="1"/>
  <c r="S16" i="6" s="1"/>
  <c r="S35" i="1"/>
  <c r="T15" i="1"/>
  <c r="R11" i="6"/>
  <c r="R12" i="6" s="1"/>
  <c r="R20" i="6"/>
  <c r="E9" i="3"/>
  <c r="E25" i="3" s="1"/>
  <c r="E29" i="3" s="1"/>
  <c r="I88" i="3"/>
  <c r="T31" i="1" l="1"/>
  <c r="T32" i="1" s="1"/>
  <c r="S45" i="1"/>
  <c r="S50" i="6"/>
  <c r="S51" i="6" s="1"/>
  <c r="S51" i="1"/>
  <c r="S58" i="1" s="1"/>
  <c r="U15" i="1"/>
  <c r="E42" i="3"/>
  <c r="E98" i="3" s="1"/>
  <c r="E105" i="3" s="1"/>
  <c r="E43" i="3"/>
  <c r="E40" i="3"/>
  <c r="E96" i="3" s="1"/>
  <c r="E107" i="3" s="1"/>
  <c r="E41" i="3"/>
  <c r="T11" i="1"/>
  <c r="U8" i="1"/>
  <c r="T14" i="1" l="1"/>
  <c r="U3" i="1"/>
  <c r="E99" i="3"/>
  <c r="E44" i="3"/>
  <c r="E100" i="3" s="1"/>
  <c r="T34" i="1"/>
  <c r="T41" i="1" s="1"/>
  <c r="T37" i="1"/>
  <c r="T35" i="1"/>
  <c r="T38" i="1"/>
  <c r="I100" i="3"/>
  <c r="I104" i="3" s="1"/>
  <c r="E97" i="3"/>
  <c r="E102" i="3" s="1"/>
  <c r="E106" i="3" s="1"/>
  <c r="E108" i="3"/>
  <c r="E111" i="3" s="1"/>
  <c r="V7" i="1"/>
  <c r="V13" i="1" s="1"/>
  <c r="V10" i="1"/>
  <c r="W2" i="1" s="1"/>
  <c r="U11" i="1" l="1"/>
  <c r="U31" i="1"/>
  <c r="U32" i="1" s="1"/>
  <c r="V8" i="1"/>
  <c r="W7" i="1" s="1"/>
  <c r="W13" i="1" s="1"/>
  <c r="T50" i="6"/>
  <c r="T51" i="6" s="1"/>
  <c r="T45" i="1"/>
  <c r="T51" i="1"/>
  <c r="T58" i="1" s="1"/>
  <c r="T15" i="6"/>
  <c r="T16" i="6" s="1"/>
  <c r="U38" i="1"/>
  <c r="U34" i="1" l="1"/>
  <c r="U41" i="1" s="1"/>
  <c r="U15" i="6" s="1"/>
  <c r="U16" i="6" s="1"/>
  <c r="U35" i="1"/>
  <c r="U14" i="1"/>
  <c r="V4" i="1"/>
  <c r="V3" i="1" s="1"/>
  <c r="V31" i="1" s="1"/>
  <c r="U37" i="1"/>
  <c r="W10" i="1"/>
  <c r="X2" i="1" s="1"/>
  <c r="V15" i="1"/>
  <c r="U50" i="6"/>
  <c r="U51" i="6" s="1"/>
  <c r="U45" i="1"/>
  <c r="U51" i="1"/>
  <c r="U58" i="1" s="1"/>
  <c r="W15" i="1" l="1"/>
  <c r="V11" i="1"/>
  <c r="W8" i="1"/>
  <c r="W4" i="1" l="1"/>
  <c r="W3" i="1" s="1"/>
  <c r="V14" i="1"/>
  <c r="X7" i="1"/>
  <c r="X13" i="1" s="1"/>
  <c r="X10" i="1"/>
  <c r="Y2" i="1" s="1"/>
  <c r="V37" i="1"/>
  <c r="V38" i="1"/>
  <c r="V35" i="1"/>
  <c r="V34" i="1"/>
  <c r="V41" i="1" s="1"/>
  <c r="W31" i="1" l="1"/>
  <c r="X8" i="1"/>
  <c r="Y10" i="1" s="1"/>
  <c r="Z2" i="1" s="1"/>
  <c r="W11" i="1"/>
  <c r="X4" i="1" s="1"/>
  <c r="V15" i="6"/>
  <c r="V16" i="6" s="1"/>
  <c r="V50" i="6"/>
  <c r="V51" i="6" s="1"/>
  <c r="V45" i="1"/>
  <c r="V51" i="1"/>
  <c r="V58" i="1" s="1"/>
  <c r="Y7" i="1" l="1"/>
  <c r="Y13" i="1" s="1"/>
  <c r="W14" i="1"/>
  <c r="X3" i="1"/>
  <c r="X31" i="1" s="1"/>
  <c r="W35" i="1"/>
  <c r="W34" i="1"/>
  <c r="W41" i="1" s="1"/>
  <c r="W15" i="6" s="1"/>
  <c r="W16" i="6" s="1"/>
  <c r="W37" i="1"/>
  <c r="W38" i="1"/>
  <c r="X15" i="1"/>
  <c r="W45" i="1" l="1"/>
  <c r="W50" i="6"/>
  <c r="W51" i="6" s="1"/>
  <c r="W51" i="1"/>
  <c r="W58" i="1" s="1"/>
  <c r="Y15" i="1"/>
  <c r="X11" i="1"/>
  <c r="Y8" i="1"/>
  <c r="Y4" i="1" l="1"/>
  <c r="Y3" i="1" s="1"/>
  <c r="Y31" i="1" s="1"/>
  <c r="X14" i="1"/>
  <c r="Z10" i="1"/>
  <c r="AA2" i="1" s="1"/>
  <c r="Z7" i="1"/>
  <c r="Z13" i="1" s="1"/>
  <c r="X37" i="1"/>
  <c r="X35" i="1"/>
  <c r="X38" i="1"/>
  <c r="X34" i="1"/>
  <c r="X41" i="1" s="1"/>
  <c r="Z8" i="1" l="1"/>
  <c r="AA10" i="1" s="1"/>
  <c r="AB2" i="1" s="1"/>
  <c r="Y11" i="1"/>
  <c r="Z4" i="1" s="1"/>
  <c r="Y37" i="1"/>
  <c r="Y38" i="1"/>
  <c r="Y35" i="1"/>
  <c r="Y34" i="1"/>
  <c r="Y41" i="1" s="1"/>
  <c r="X15" i="6"/>
  <c r="X16" i="6" s="1"/>
  <c r="X45" i="1"/>
  <c r="X50" i="6"/>
  <c r="X51" i="6" s="1"/>
  <c r="X51" i="1"/>
  <c r="X58" i="1" s="1"/>
  <c r="AA7" i="1" l="1"/>
  <c r="AA13" i="1" s="1"/>
  <c r="Y14" i="1"/>
  <c r="Z3" i="1"/>
  <c r="Z31" i="1" s="1"/>
  <c r="Z15" i="1"/>
  <c r="Y15" i="6"/>
  <c r="Y16" i="6" s="1"/>
  <c r="Y50" i="6"/>
  <c r="Y51" i="6" s="1"/>
  <c r="Y45" i="1"/>
  <c r="Y51" i="1"/>
  <c r="Y58" i="1" s="1"/>
  <c r="AA15" i="1" l="1"/>
  <c r="Z11" i="1"/>
  <c r="AA8" i="1"/>
  <c r="AA4" i="1" l="1"/>
  <c r="AA3" i="1" s="1"/>
  <c r="AA31" i="1" s="1"/>
  <c r="Z14" i="1"/>
  <c r="AB10" i="1"/>
  <c r="AC2" i="1" s="1"/>
  <c r="AB7" i="1"/>
  <c r="AB13" i="1" s="1"/>
  <c r="Z35" i="1"/>
  <c r="Z38" i="1"/>
  <c r="Z37" i="1"/>
  <c r="Z34" i="1"/>
  <c r="Z41" i="1" s="1"/>
  <c r="AB8" i="1" l="1"/>
  <c r="AC10" i="1" s="1"/>
  <c r="AD2" i="1" s="1"/>
  <c r="AA11" i="1"/>
  <c r="AB4" i="1" s="1"/>
  <c r="Z15" i="6"/>
  <c r="Z16" i="6" s="1"/>
  <c r="Z50" i="6"/>
  <c r="Z51" i="6" s="1"/>
  <c r="Z45" i="1"/>
  <c r="Z51" i="1"/>
  <c r="Z58" i="1" s="1"/>
  <c r="AA35" i="1"/>
  <c r="AA34" i="1"/>
  <c r="AA41" i="1" s="1"/>
  <c r="AA38" i="1"/>
  <c r="AA37" i="1"/>
  <c r="AC7" i="1" l="1"/>
  <c r="AC13" i="1" s="1"/>
  <c r="AA14" i="1"/>
  <c r="AB3" i="1"/>
  <c r="AB31" i="1" s="1"/>
  <c r="AB15" i="1"/>
  <c r="AA50" i="6"/>
  <c r="AA51" i="6" s="1"/>
  <c r="AA45" i="1"/>
  <c r="AA51" i="1"/>
  <c r="AA58" i="1" s="1"/>
  <c r="AA15" i="6"/>
  <c r="AA16" i="6" s="1"/>
  <c r="AC15" i="1" l="1"/>
  <c r="AB11" i="1"/>
  <c r="AC8" i="1"/>
  <c r="AC4" i="1" l="1"/>
  <c r="AC3" i="1" s="1"/>
  <c r="AB14" i="1"/>
  <c r="AD10" i="1"/>
  <c r="AE2" i="1" s="1"/>
  <c r="AD7" i="1"/>
  <c r="AD13" i="1" s="1"/>
  <c r="AB38" i="1"/>
  <c r="AB35" i="1"/>
  <c r="AB34" i="1"/>
  <c r="AB41" i="1" s="1"/>
  <c r="AB37" i="1"/>
  <c r="AC31" i="1" l="1"/>
  <c r="AD8" i="1"/>
  <c r="AC11" i="1"/>
  <c r="AD4" i="1" s="1"/>
  <c r="AC38" i="1"/>
  <c r="AC35" i="1"/>
  <c r="AC34" i="1"/>
  <c r="AC41" i="1" s="1"/>
  <c r="AC37" i="1"/>
  <c r="AE7" i="1"/>
  <c r="AE13" i="1" s="1"/>
  <c r="AE10" i="1"/>
  <c r="AF2" i="1" s="1"/>
  <c r="AB15" i="6"/>
  <c r="AB16" i="6" s="1"/>
  <c r="AB50" i="6"/>
  <c r="AB51" i="6" s="1"/>
  <c r="AB45" i="1"/>
  <c r="AB51" i="1"/>
  <c r="AB58" i="1" s="1"/>
  <c r="AC14" i="1" l="1"/>
  <c r="AD3" i="1"/>
  <c r="AD31" i="1" s="1"/>
  <c r="AD15" i="1"/>
  <c r="AC15" i="6"/>
  <c r="AC16" i="6" s="1"/>
  <c r="AC50" i="6"/>
  <c r="AC51" i="6" s="1"/>
  <c r="AC45" i="1"/>
  <c r="AC51" i="1"/>
  <c r="AC58" i="1" s="1"/>
  <c r="AE15" i="1" l="1"/>
  <c r="AD11" i="1"/>
  <c r="AE8" i="1"/>
  <c r="AE4" i="1" l="1"/>
  <c r="AE3" i="1" s="1"/>
  <c r="AE31" i="1" s="1"/>
  <c r="AD14" i="1"/>
  <c r="AF7" i="1"/>
  <c r="AF13" i="1" s="1"/>
  <c r="AF10" i="1"/>
  <c r="AG2" i="1" s="1"/>
  <c r="AD35" i="1"/>
  <c r="AD34" i="1"/>
  <c r="AD41" i="1" s="1"/>
  <c r="AD38" i="1"/>
  <c r="AD37" i="1"/>
  <c r="AF8" i="1" l="1"/>
  <c r="AG10" i="1" s="1"/>
  <c r="AH2" i="1" s="1"/>
  <c r="AE11" i="1"/>
  <c r="AF4" i="1" s="1"/>
  <c r="AE38" i="1"/>
  <c r="AE35" i="1"/>
  <c r="AE34" i="1"/>
  <c r="AE41" i="1" s="1"/>
  <c r="AE37" i="1"/>
  <c r="AD50" i="6"/>
  <c r="AD51" i="6" s="1"/>
  <c r="AD51" i="1"/>
  <c r="AD58" i="1" s="1"/>
  <c r="AD45" i="1"/>
  <c r="AD15" i="6"/>
  <c r="AD16" i="6" s="1"/>
  <c r="AG7" i="1" l="1"/>
  <c r="AG13" i="1" s="1"/>
  <c r="AE14" i="1"/>
  <c r="AF3" i="1"/>
  <c r="AF31" i="1" s="1"/>
  <c r="AF15" i="1"/>
  <c r="AE15" i="6"/>
  <c r="AE16" i="6" s="1"/>
  <c r="AE50" i="6"/>
  <c r="AE51" i="6" s="1"/>
  <c r="AE45" i="1"/>
  <c r="AE51" i="1"/>
  <c r="AE58" i="1" s="1"/>
  <c r="AG15" i="1" l="1"/>
  <c r="AF11" i="1"/>
  <c r="AG8" i="1"/>
  <c r="AG4" i="1" l="1"/>
  <c r="AG3" i="1" s="1"/>
  <c r="AG31" i="1" s="1"/>
  <c r="AF14" i="1"/>
  <c r="AH10" i="1"/>
  <c r="AI2" i="1" s="1"/>
  <c r="AH7" i="1"/>
  <c r="AH13" i="1" s="1"/>
  <c r="AF38" i="1"/>
  <c r="AF34" i="1"/>
  <c r="AF41" i="1" s="1"/>
  <c r="AF35" i="1"/>
  <c r="AF37" i="1"/>
  <c r="AG11" i="1" l="1"/>
  <c r="AH8" i="1"/>
  <c r="AI7" i="1" s="1"/>
  <c r="AI13" i="1" s="1"/>
  <c r="AG35" i="1"/>
  <c r="AG34" i="1"/>
  <c r="AG41" i="1" s="1"/>
  <c r="AG38" i="1"/>
  <c r="AG37" i="1"/>
  <c r="AF15" i="6"/>
  <c r="AF16" i="6" s="1"/>
  <c r="AF50" i="6"/>
  <c r="AF51" i="6" s="1"/>
  <c r="AF45" i="1"/>
  <c r="AF51" i="1"/>
  <c r="AF58" i="1" s="1"/>
  <c r="AG14" i="1" l="1"/>
  <c r="AH4" i="1"/>
  <c r="AH3" i="1" s="1"/>
  <c r="AH31" i="1" s="1"/>
  <c r="AI10" i="1"/>
  <c r="AJ2" i="1" s="1"/>
  <c r="AH15" i="1"/>
  <c r="AG15" i="6"/>
  <c r="AG16" i="6" s="1"/>
  <c r="AG50" i="6"/>
  <c r="AG51" i="6" s="1"/>
  <c r="AG45" i="1"/>
  <c r="AG51" i="1"/>
  <c r="AG58" i="1" s="1"/>
  <c r="AI15" i="1" l="1"/>
  <c r="AH11" i="1"/>
  <c r="AI4" i="1" s="1"/>
  <c r="AI8" i="1"/>
  <c r="AH14" i="1" l="1"/>
  <c r="AI3" i="1"/>
  <c r="AI31" i="1" s="1"/>
  <c r="AH34" i="1"/>
  <c r="AH41" i="1" s="1"/>
  <c r="AH48" i="1" s="1"/>
  <c r="AH38" i="1"/>
  <c r="AH35" i="1"/>
  <c r="AH37" i="1"/>
  <c r="AJ7" i="1"/>
  <c r="AJ13" i="1" s="1"/>
  <c r="AJ10" i="1"/>
  <c r="AK2" i="1" s="1"/>
  <c r="AI11" i="1"/>
  <c r="AI14" i="1" s="1"/>
  <c r="AJ8" i="1"/>
  <c r="AJ4" i="1" l="1"/>
  <c r="AI38" i="1"/>
  <c r="AI35" i="1"/>
  <c r="AI37" i="1"/>
  <c r="AI34" i="1"/>
  <c r="AI41" i="1" s="1"/>
  <c r="AI48" i="1" s="1"/>
  <c r="AK7" i="1"/>
  <c r="AK13" i="1" s="1"/>
  <c r="AK10" i="1"/>
  <c r="AL2" i="1" s="1"/>
  <c r="AH51" i="1"/>
  <c r="AH58" i="1" s="1"/>
  <c r="AH45" i="1"/>
  <c r="AH15" i="6"/>
  <c r="AH16" i="6" s="1"/>
  <c r="AH55" i="1"/>
  <c r="AH52" i="1" l="1"/>
  <c r="AJ15" i="1"/>
  <c r="AJ3" i="1"/>
  <c r="AJ31" i="1" s="1"/>
  <c r="AI15" i="6"/>
  <c r="AI16" i="6" s="1"/>
  <c r="AI55" i="1"/>
  <c r="AI51" i="1"/>
  <c r="AI58" i="1" s="1"/>
  <c r="AI45" i="1"/>
  <c r="AH59" i="1" l="1"/>
  <c r="AI52" i="1"/>
  <c r="AJ11" i="1"/>
  <c r="AK8" i="1"/>
  <c r="AK15" i="1"/>
  <c r="AK4" i="1" l="1"/>
  <c r="AK3" i="1" s="1"/>
  <c r="AJ14" i="1"/>
  <c r="AL10" i="1"/>
  <c r="AM2" i="1" s="1"/>
  <c r="AL7" i="1"/>
  <c r="AL13" i="1" s="1"/>
  <c r="AI59" i="1"/>
  <c r="AJ35" i="1"/>
  <c r="AJ34" i="1"/>
  <c r="AJ41" i="1" s="1"/>
  <c r="AJ48" i="1" s="1"/>
  <c r="AJ38" i="1"/>
  <c r="AJ37" i="1"/>
  <c r="AK31" i="1" l="1"/>
  <c r="AK11" i="1"/>
  <c r="AK14" i="1" s="1"/>
  <c r="AL8" i="1"/>
  <c r="AL4" i="1"/>
  <c r="AJ15" i="6"/>
  <c r="AJ16" i="6" s="1"/>
  <c r="AJ55" i="1"/>
  <c r="AM10" i="1"/>
  <c r="AN2" i="1" s="1"/>
  <c r="AM7" i="1"/>
  <c r="AM13" i="1" s="1"/>
  <c r="AJ51" i="1"/>
  <c r="AJ58" i="1" s="1"/>
  <c r="AJ45" i="1"/>
  <c r="AK34" i="1"/>
  <c r="AK41" i="1" s="1"/>
  <c r="AK48" i="1" s="1"/>
  <c r="AK37" i="1"/>
  <c r="AK38" i="1"/>
  <c r="AK35" i="1"/>
  <c r="AL15" i="1" l="1"/>
  <c r="AL3" i="1"/>
  <c r="AL31" i="1" s="1"/>
  <c r="AJ52" i="1"/>
  <c r="AK51" i="1"/>
  <c r="AK58" i="1" s="1"/>
  <c r="AK45" i="1"/>
  <c r="AK15" i="6"/>
  <c r="AK16" i="6" s="1"/>
  <c r="AK52" i="1"/>
  <c r="AK59" i="1" s="1"/>
  <c r="AK55" i="1"/>
  <c r="AJ59" i="1" l="1"/>
  <c r="AM15" i="1"/>
  <c r="AL11" i="1"/>
  <c r="AM8" i="1"/>
  <c r="AM4" i="1" l="1"/>
  <c r="AM3" i="1" s="1"/>
  <c r="AM31" i="1" s="1"/>
  <c r="AL14" i="1"/>
  <c r="AL34" i="1"/>
  <c r="AL41" i="1" s="1"/>
  <c r="AL48" i="1" s="1"/>
  <c r="AL38" i="1"/>
  <c r="AL37" i="1"/>
  <c r="AL35" i="1"/>
  <c r="AN7" i="1"/>
  <c r="AN13" i="1" s="1"/>
  <c r="AN10" i="1"/>
  <c r="AO2" i="1" s="1"/>
  <c r="AN8" i="1" l="1"/>
  <c r="AM11" i="1"/>
  <c r="AM35" i="1"/>
  <c r="AM34" i="1"/>
  <c r="AM41" i="1" s="1"/>
  <c r="AM48" i="1" s="1"/>
  <c r="AM38" i="1"/>
  <c r="AM37" i="1"/>
  <c r="AL45" i="1"/>
  <c r="AL51" i="1"/>
  <c r="AL58" i="1" s="1"/>
  <c r="AO7" i="1"/>
  <c r="AO13" i="1" s="1"/>
  <c r="AO10" i="1"/>
  <c r="AP2" i="1" s="1"/>
  <c r="AL15" i="6"/>
  <c r="AL16" i="6" s="1"/>
  <c r="AL55" i="1"/>
  <c r="AM14" i="1" l="1"/>
  <c r="AN4" i="1"/>
  <c r="AN3" i="1" s="1"/>
  <c r="AN31" i="1" s="1"/>
  <c r="AN15" i="1"/>
  <c r="AL52" i="1"/>
  <c r="AM51" i="1"/>
  <c r="AM58" i="1" s="1"/>
  <c r="AM45" i="1"/>
  <c r="AM15" i="6"/>
  <c r="AM16" i="6" s="1"/>
  <c r="AM55" i="1"/>
  <c r="AL59" i="1" l="1"/>
  <c r="AM52" i="1"/>
  <c r="AO15" i="1"/>
  <c r="AN11" i="1"/>
  <c r="AO8" i="1"/>
  <c r="AO4" i="1" l="1"/>
  <c r="AO3" i="1" s="1"/>
  <c r="AN14" i="1"/>
  <c r="AN35" i="1"/>
  <c r="AN34" i="1"/>
  <c r="AN41" i="1" s="1"/>
  <c r="AN48" i="1" s="1"/>
  <c r="AN38" i="1"/>
  <c r="AN37" i="1"/>
  <c r="AP10" i="1"/>
  <c r="AP7" i="1"/>
  <c r="AP13" i="1" s="1"/>
  <c r="AM59" i="1"/>
  <c r="AO31" i="1" l="1"/>
  <c r="AP8" i="1"/>
  <c r="AO11" i="1"/>
  <c r="AO34" i="1"/>
  <c r="AO41" i="1" s="1"/>
  <c r="AO48" i="1" s="1"/>
  <c r="AO38" i="1"/>
  <c r="AO37" i="1"/>
  <c r="AO35" i="1"/>
  <c r="AN51" i="1"/>
  <c r="AN58" i="1" s="1"/>
  <c r="AN45" i="1"/>
  <c r="AN55" i="1"/>
  <c r="AN15" i="6"/>
  <c r="AN16" i="6" s="1"/>
  <c r="AO14" i="1" l="1"/>
  <c r="AP4" i="1"/>
  <c r="AO45" i="1"/>
  <c r="AO51" i="1"/>
  <c r="AO58" i="1" s="1"/>
  <c r="AO15" i="6"/>
  <c r="AO16" i="6" s="1"/>
  <c r="AO55" i="1"/>
  <c r="AN52" i="1"/>
  <c r="AP15" i="1"/>
  <c r="AP3" i="1"/>
  <c r="AP31" i="1" s="1"/>
  <c r="AP11" i="1" l="1"/>
  <c r="AP14" i="1" s="1"/>
  <c r="AN59" i="1"/>
  <c r="AO52" i="1"/>
  <c r="AP34" i="1" l="1"/>
  <c r="AP41" i="1" s="1"/>
  <c r="AP48" i="1" s="1"/>
  <c r="AP38" i="1"/>
  <c r="AP37" i="1"/>
  <c r="AP35" i="1"/>
  <c r="AO59" i="1"/>
  <c r="AP45" i="1" l="1"/>
  <c r="AH50" i="6"/>
  <c r="AH51" i="6" s="1"/>
  <c r="AP51" i="1"/>
  <c r="AP58" i="1" s="1"/>
  <c r="AP55" i="1"/>
  <c r="AP15" i="6"/>
  <c r="AP16" i="6" s="1"/>
  <c r="AP52" i="1" l="1"/>
  <c r="AP59" i="1" l="1"/>
  <c r="Q19" i="2" l="1"/>
  <c r="R19" i="2" l="1"/>
  <c r="R21" i="2" s="1"/>
  <c r="R22" i="2" s="1"/>
  <c r="Q6" i="7" l="1"/>
  <c r="Q17" i="7" s="1"/>
  <c r="R6" i="7" l="1"/>
  <c r="R17" i="7" s="1"/>
  <c r="Q5" i="7" l="1"/>
  <c r="Q16" i="7" s="1"/>
  <c r="Q10" i="2"/>
  <c r="R5" i="7" l="1"/>
  <c r="R16" i="7" s="1"/>
  <c r="R48" i="1"/>
  <c r="S48" i="1" l="1"/>
  <c r="R55" i="1"/>
  <c r="R52" i="1"/>
  <c r="Q7" i="7"/>
  <c r="R7" i="7"/>
  <c r="R10" i="2"/>
  <c r="R12" i="2" s="1"/>
  <c r="R13" i="2" s="1"/>
  <c r="R24" i="2" s="1"/>
  <c r="T48" i="1" l="1"/>
  <c r="R59" i="1"/>
  <c r="R49" i="1"/>
  <c r="Q54" i="6"/>
  <c r="Q55" i="6" s="1"/>
  <c r="S55" i="1"/>
  <c r="S52" i="1"/>
  <c r="R4" i="7"/>
  <c r="R25" i="2"/>
  <c r="R35" i="2"/>
  <c r="R36" i="2"/>
  <c r="R40" i="2"/>
  <c r="R37" i="2"/>
  <c r="Q4" i="7"/>
  <c r="Q18" i="7"/>
  <c r="Q15" i="7" s="1"/>
  <c r="Q22" i="7" l="1"/>
  <c r="Q23" i="7" s="1"/>
  <c r="U48" i="1"/>
  <c r="S59" i="1"/>
  <c r="R54" i="6"/>
  <c r="R38" i="2"/>
  <c r="R56" i="1"/>
  <c r="R50" i="1"/>
  <c r="R57" i="1" s="1"/>
  <c r="T55" i="1"/>
  <c r="T52" i="1"/>
  <c r="Q13" i="7"/>
  <c r="Q26" i="7"/>
  <c r="Q31" i="7" s="1"/>
  <c r="R2" i="7" s="1"/>
  <c r="Q24" i="7"/>
  <c r="R18" i="7"/>
  <c r="R15" i="7" s="1"/>
  <c r="R22" i="7" s="1"/>
  <c r="U55" i="1" l="1"/>
  <c r="U52" i="1"/>
  <c r="S54" i="6"/>
  <c r="T59" i="1"/>
  <c r="V48" i="1"/>
  <c r="W48" i="1"/>
  <c r="R23" i="7"/>
  <c r="R24" i="7"/>
  <c r="R26" i="7"/>
  <c r="R31" i="7" s="1"/>
  <c r="V55" i="1" l="1"/>
  <c r="V52" i="1"/>
  <c r="W55" i="1"/>
  <c r="W52" i="1"/>
  <c r="U59" i="1"/>
  <c r="T54" i="6"/>
  <c r="V54" i="6" l="1"/>
  <c r="W59" i="1"/>
  <c r="U54" i="6"/>
  <c r="V59" i="1"/>
  <c r="Y48" i="1"/>
  <c r="X48" i="1"/>
  <c r="Y55" i="1" l="1"/>
  <c r="Y52" i="1"/>
  <c r="Z48" i="1"/>
  <c r="X55" i="1"/>
  <c r="X52" i="1"/>
  <c r="AA48" i="1" l="1"/>
  <c r="W54" i="6"/>
  <c r="X59" i="1"/>
  <c r="Y59" i="1"/>
  <c r="X54" i="6"/>
  <c r="Z55" i="1"/>
  <c r="Z52" i="1"/>
  <c r="Z59" i="1" l="1"/>
  <c r="AA55" i="1"/>
  <c r="AA52" i="1"/>
  <c r="AC48" i="1" l="1"/>
  <c r="AB48" i="1"/>
  <c r="AA59" i="1"/>
  <c r="AB55" i="1" l="1"/>
  <c r="AB52" i="1"/>
  <c r="AE48" i="1"/>
  <c r="AD48" i="1"/>
  <c r="AC55" i="1"/>
  <c r="AC52" i="1"/>
  <c r="AC59" i="1" l="1"/>
  <c r="AF48" i="1"/>
  <c r="AD55" i="1"/>
  <c r="AD52" i="1"/>
  <c r="AE55" i="1"/>
  <c r="AE52" i="1"/>
  <c r="AB59" i="1"/>
  <c r="AE59" i="1" l="1"/>
  <c r="AD59" i="1"/>
  <c r="AF55" i="1"/>
  <c r="AF52" i="1"/>
  <c r="AG48" i="1"/>
  <c r="AG55" i="1" l="1"/>
  <c r="AG52" i="1"/>
  <c r="AF59" i="1"/>
  <c r="AG59" i="1" l="1"/>
  <c r="Q35" i="1" l="1"/>
  <c r="Q42" i="1" s="1"/>
  <c r="Q11" i="6" s="1"/>
  <c r="Q12" i="6" s="1"/>
  <c r="Q35" i="6" s="1"/>
  <c r="Q37" i="6" s="1"/>
  <c r="Q34" i="1"/>
  <c r="Q41" i="1" s="1"/>
  <c r="Q36" i="1"/>
  <c r="Q43" i="1" s="1"/>
  <c r="Q19" i="6" s="1"/>
  <c r="Q38" i="1"/>
  <c r="Q45" i="1" s="1"/>
  <c r="Q37" i="1"/>
  <c r="Q50" i="6" l="1"/>
  <c r="Q51" i="6" s="1"/>
  <c r="Q20" i="2"/>
  <c r="Q21" i="2" s="1"/>
  <c r="Q22" i="2" s="1"/>
  <c r="Q48" i="1"/>
  <c r="Q55" i="1" s="1"/>
  <c r="Q15" i="6"/>
  <c r="Q16" i="6" s="1"/>
  <c r="Q11" i="2"/>
  <c r="Q12" i="2" s="1"/>
  <c r="Q13" i="2" s="1"/>
  <c r="Q24" i="2" s="1"/>
  <c r="Q44" i="1"/>
  <c r="R10" i="7" s="1"/>
  <c r="R13" i="7" s="1"/>
  <c r="Q20" i="6"/>
  <c r="Q23" i="6"/>
  <c r="Q51" i="1"/>
  <c r="Q58" i="1" s="1"/>
  <c r="Q40" i="2" l="1"/>
  <c r="Q35" i="2"/>
  <c r="Q38" i="2" s="1"/>
  <c r="Q37" i="2"/>
  <c r="Q36" i="2"/>
  <c r="Q25" i="2"/>
  <c r="Q52" i="1"/>
  <c r="Q27" i="6"/>
  <c r="Q28" i="6" s="1"/>
  <c r="Q42" i="6"/>
  <c r="Q43" i="6" s="1"/>
  <c r="Q39" i="6" s="1"/>
  <c r="Q40" i="6" s="1"/>
  <c r="Q59" i="1" l="1"/>
  <c r="Q49" i="1"/>
  <c r="P54" i="6"/>
  <c r="P55" i="6" s="1"/>
  <c r="Q56" i="1" l="1"/>
  <c r="Q50" i="1"/>
  <c r="Q57" i="1" s="1"/>
  <c r="R2" i="6" l="1"/>
  <c r="R5" i="6" l="1"/>
  <c r="R36" i="6" s="1"/>
  <c r="R6" i="6"/>
  <c r="R30" i="6" l="1"/>
  <c r="R53" i="6"/>
  <c r="R55" i="6" s="1"/>
  <c r="R34" i="6"/>
  <c r="S36" i="1"/>
  <c r="S43" i="1" s="1"/>
  <c r="S42" i="1"/>
  <c r="R23" i="6"/>
  <c r="S11" i="6" l="1"/>
  <c r="S12" i="6" s="1"/>
  <c r="S49" i="1"/>
  <c r="S56" i="1" s="1"/>
  <c r="R27" i="6"/>
  <c r="R28" i="6" s="1"/>
  <c r="R42" i="6"/>
  <c r="R43" i="6" s="1"/>
  <c r="R39" i="6" s="1"/>
  <c r="R40" i="6" s="1"/>
  <c r="S19" i="6"/>
  <c r="S44" i="1"/>
  <c r="R35" i="6"/>
  <c r="R37" i="6" s="1"/>
  <c r="S50" i="1" l="1"/>
  <c r="S57" i="1" s="1"/>
  <c r="S20" i="6"/>
  <c r="S2" i="6" l="1"/>
  <c r="S5" i="6" l="1"/>
  <c r="S36" i="6" s="1"/>
  <c r="S6" i="6"/>
  <c r="S34" i="6" l="1"/>
  <c r="S30" i="6"/>
  <c r="T36" i="1"/>
  <c r="T43" i="1" s="1"/>
  <c r="S53" i="6"/>
  <c r="S55" i="6" s="1"/>
  <c r="T42" i="1"/>
  <c r="S23" i="6"/>
  <c r="S35" i="6" l="1"/>
  <c r="S37" i="6" s="1"/>
  <c r="T11" i="6"/>
  <c r="T12" i="6" s="1"/>
  <c r="T49" i="1"/>
  <c r="T56" i="1" s="1"/>
  <c r="S27" i="6"/>
  <c r="S28" i="6" s="1"/>
  <c r="S42" i="6"/>
  <c r="S43" i="6" s="1"/>
  <c r="S39" i="6" s="1"/>
  <c r="S40" i="6" s="1"/>
  <c r="T19" i="6"/>
  <c r="T44" i="1"/>
  <c r="T50" i="1"/>
  <c r="T57" i="1" s="1"/>
  <c r="T20" i="6" l="1"/>
  <c r="T2" i="6" l="1"/>
  <c r="T6" i="6" l="1"/>
  <c r="T5" i="6"/>
  <c r="T36" i="6" s="1"/>
  <c r="T30" i="6" l="1"/>
  <c r="T34" i="6"/>
  <c r="U42" i="1"/>
  <c r="T53" i="6"/>
  <c r="T55" i="6" s="1"/>
  <c r="U36" i="1"/>
  <c r="U43" i="1" s="1"/>
  <c r="T23" i="6"/>
  <c r="T27" i="6" l="1"/>
  <c r="T28" i="6" s="1"/>
  <c r="T42" i="6"/>
  <c r="T43" i="6" s="1"/>
  <c r="T39" i="6" s="1"/>
  <c r="T40" i="6" s="1"/>
  <c r="U19" i="6"/>
  <c r="U44" i="1"/>
  <c r="U11" i="6"/>
  <c r="U12" i="6" s="1"/>
  <c r="U49" i="1"/>
  <c r="U56" i="1" s="1"/>
  <c r="T35" i="6"/>
  <c r="T37" i="6" s="1"/>
  <c r="U50" i="1" l="1"/>
  <c r="U57" i="1" s="1"/>
  <c r="U20" i="6"/>
  <c r="U2" i="6" l="1"/>
  <c r="U6" i="6" l="1"/>
  <c r="U5" i="6"/>
  <c r="U36" i="6" s="1"/>
  <c r="U53" i="6" l="1"/>
  <c r="U55" i="6" s="1"/>
  <c r="U30" i="6"/>
  <c r="V36" i="1"/>
  <c r="V43" i="1" s="1"/>
  <c r="U34" i="6"/>
  <c r="V42" i="1"/>
  <c r="U23" i="6"/>
  <c r="V11" i="6" l="1"/>
  <c r="V12" i="6" s="1"/>
  <c r="V49" i="1"/>
  <c r="V56" i="1" s="1"/>
  <c r="U27" i="6"/>
  <c r="U28" i="6" s="1"/>
  <c r="U42" i="6"/>
  <c r="U43" i="6" s="1"/>
  <c r="U39" i="6" s="1"/>
  <c r="U40" i="6" s="1"/>
  <c r="V44" i="1"/>
  <c r="V19" i="6"/>
  <c r="V50" i="1"/>
  <c r="V57" i="1" s="1"/>
  <c r="U35" i="6"/>
  <c r="U37" i="6" s="1"/>
  <c r="V20" i="6" l="1"/>
  <c r="V2" i="6" l="1"/>
  <c r="V5" i="6" l="1"/>
  <c r="V36" i="6" s="1"/>
  <c r="V6" i="6"/>
  <c r="V34" i="6" l="1"/>
  <c r="V30" i="6"/>
  <c r="V35" i="6" s="1"/>
  <c r="V37" i="6" s="1"/>
  <c r="W36" i="1"/>
  <c r="W43" i="1" s="1"/>
  <c r="V53" i="6"/>
  <c r="V55" i="6" s="1"/>
  <c r="W42" i="1"/>
  <c r="V23" i="6"/>
  <c r="V27" i="6" l="1"/>
  <c r="V28" i="6" s="1"/>
  <c r="V42" i="6"/>
  <c r="V43" i="6" s="1"/>
  <c r="V39" i="6" s="1"/>
  <c r="V40" i="6" s="1"/>
  <c r="W11" i="6"/>
  <c r="W12" i="6" s="1"/>
  <c r="W49" i="1"/>
  <c r="W56" i="1" s="1"/>
  <c r="W19" i="6"/>
  <c r="W44" i="1"/>
  <c r="W50" i="1" l="1"/>
  <c r="W57" i="1" s="1"/>
  <c r="W20" i="6"/>
  <c r="W2" i="6" l="1"/>
  <c r="W5" i="6" l="1"/>
  <c r="W36" i="6" s="1"/>
  <c r="W6" i="6"/>
  <c r="W53" i="6" l="1"/>
  <c r="W55" i="6" s="1"/>
  <c r="W30" i="6"/>
  <c r="W31" i="6" s="1"/>
  <c r="X36" i="1"/>
  <c r="X43" i="1" s="1"/>
  <c r="X42" i="1"/>
  <c r="W23" i="6"/>
  <c r="W32" i="6"/>
  <c r="W27" i="6" l="1"/>
  <c r="W28" i="6" s="1"/>
  <c r="W33" i="6"/>
  <c r="W34" i="6" s="1"/>
  <c r="W35" i="6" s="1"/>
  <c r="W37" i="6" s="1"/>
  <c r="W42" i="6"/>
  <c r="W43" i="6" s="1"/>
  <c r="W39" i="6" s="1"/>
  <c r="W40" i="6" s="1"/>
  <c r="X11" i="6"/>
  <c r="X12" i="6" s="1"/>
  <c r="X49" i="1"/>
  <c r="X56" i="1" s="1"/>
  <c r="X19" i="6"/>
  <c r="X44" i="1"/>
  <c r="X50" i="1" l="1"/>
  <c r="X57" i="1" s="1"/>
  <c r="X20" i="6"/>
  <c r="X2" i="6" l="1"/>
  <c r="X5" i="6" l="1"/>
  <c r="X36" i="6" s="1"/>
  <c r="X6" i="6"/>
  <c r="Y36" i="1" l="1"/>
  <c r="Y43" i="1" s="1"/>
  <c r="Y42" i="1"/>
  <c r="X30" i="6"/>
  <c r="X31" i="6" s="1"/>
  <c r="X53" i="6"/>
  <c r="X55" i="6" s="1"/>
  <c r="X23" i="6"/>
  <c r="X32" i="6"/>
  <c r="Y11" i="6" l="1"/>
  <c r="Y12" i="6" s="1"/>
  <c r="Y49" i="1"/>
  <c r="Y56" i="1" s="1"/>
  <c r="X33" i="6"/>
  <c r="X34" i="6" s="1"/>
  <c r="X35" i="6" s="1"/>
  <c r="X37" i="6" s="1"/>
  <c r="X27" i="6"/>
  <c r="X28" i="6" s="1"/>
  <c r="X42" i="6"/>
  <c r="X43" i="6" s="1"/>
  <c r="X39" i="6" s="1"/>
  <c r="X40" i="6" s="1"/>
  <c r="Y19" i="6"/>
  <c r="Y44" i="1"/>
  <c r="Y50" i="1"/>
  <c r="Y57" i="1" s="1"/>
  <c r="Y20" i="6" l="1"/>
  <c r="Y2" i="6" l="1"/>
  <c r="Y5" i="6" l="1"/>
  <c r="Y36" i="6" s="1"/>
  <c r="Y6" i="6"/>
  <c r="Y30" i="6" l="1"/>
  <c r="Y31" i="6" s="1"/>
  <c r="Z36" i="1"/>
  <c r="Z43" i="1" s="1"/>
  <c r="Z42" i="1"/>
  <c r="Y23" i="6"/>
  <c r="Y32" i="6"/>
  <c r="Y33" i="6" l="1"/>
  <c r="Y34" i="6" s="1"/>
  <c r="Y35" i="6" s="1"/>
  <c r="Y37" i="6" s="1"/>
  <c r="Y42" i="6"/>
  <c r="Y43" i="6" s="1"/>
  <c r="Y39" i="6" s="1"/>
  <c r="Y40" i="6" s="1"/>
  <c r="Y27" i="6"/>
  <c r="Y28" i="6" s="1"/>
  <c r="Z11" i="6"/>
  <c r="Z12" i="6" s="1"/>
  <c r="Z49" i="1"/>
  <c r="Z56" i="1" s="1"/>
  <c r="Z44" i="1"/>
  <c r="Z19" i="6"/>
  <c r="Z50" i="1" l="1"/>
  <c r="Z57" i="1" s="1"/>
  <c r="Z20" i="6"/>
  <c r="Z2" i="6" l="1"/>
  <c r="Z5" i="6" l="1"/>
  <c r="Z36" i="6" s="1"/>
  <c r="Z6" i="6"/>
  <c r="Z30" i="6" l="1"/>
  <c r="Z31" i="6" s="1"/>
  <c r="AA42" i="1"/>
  <c r="AA36" i="1"/>
  <c r="AA43" i="1" s="1"/>
  <c r="Z23" i="6"/>
  <c r="Z32" i="6"/>
  <c r="AA19" i="6" l="1"/>
  <c r="AA44" i="1"/>
  <c r="Z33" i="6"/>
  <c r="Z34" i="6" s="1"/>
  <c r="Z35" i="6" s="1"/>
  <c r="Z37" i="6" s="1"/>
  <c r="Z42" i="6"/>
  <c r="Z43" i="6" s="1"/>
  <c r="Z39" i="6" s="1"/>
  <c r="Z40" i="6" s="1"/>
  <c r="Z27" i="6"/>
  <c r="Z28" i="6" s="1"/>
  <c r="AA11" i="6"/>
  <c r="AA12" i="6" s="1"/>
  <c r="AA49" i="1"/>
  <c r="AA56" i="1" s="1"/>
  <c r="AA50" i="1" l="1"/>
  <c r="AA57" i="1" s="1"/>
  <c r="AA20" i="6"/>
  <c r="AA2" i="6" l="1"/>
  <c r="AA5" i="6" l="1"/>
  <c r="AA6" i="6"/>
  <c r="AA30" i="6" l="1"/>
  <c r="AA31" i="6" s="1"/>
  <c r="AB36" i="1"/>
  <c r="AB43" i="1" s="1"/>
  <c r="AB42" i="1"/>
  <c r="AA23" i="6"/>
  <c r="AA32" i="6"/>
  <c r="AB11" i="6" l="1"/>
  <c r="AB12" i="6" s="1"/>
  <c r="AB49" i="1"/>
  <c r="AB56" i="1" s="1"/>
  <c r="AA33" i="6"/>
  <c r="AA27" i="6"/>
  <c r="AA28" i="6" s="1"/>
  <c r="AA42" i="6"/>
  <c r="AA43" i="6" s="1"/>
  <c r="AA39" i="6" s="1"/>
  <c r="AA40" i="6" s="1"/>
  <c r="AB44" i="1"/>
  <c r="AB19" i="6"/>
  <c r="AB50" i="1"/>
  <c r="AB57" i="1" s="1"/>
  <c r="AB20" i="6" l="1"/>
  <c r="AB2" i="6" l="1"/>
  <c r="AB6" i="6" l="1"/>
  <c r="AB5" i="6"/>
  <c r="AB30" i="6" l="1"/>
  <c r="AB31" i="6" s="1"/>
  <c r="AC36" i="1"/>
  <c r="AC43" i="1" s="1"/>
  <c r="AC42" i="1"/>
  <c r="AB23" i="6"/>
  <c r="AB32" i="6"/>
  <c r="AB33" i="6" l="1"/>
  <c r="AB42" i="6"/>
  <c r="AB43" i="6" s="1"/>
  <c r="AB39" i="6" s="1"/>
  <c r="AB40" i="6" s="1"/>
  <c r="AB27" i="6"/>
  <c r="AB28" i="6" s="1"/>
  <c r="AC11" i="6"/>
  <c r="AC12" i="6" s="1"/>
  <c r="AC49" i="1"/>
  <c r="AC56" i="1" s="1"/>
  <c r="AC19" i="6"/>
  <c r="AC44" i="1"/>
  <c r="AC50" i="1" l="1"/>
  <c r="AC57" i="1" s="1"/>
  <c r="AC20" i="6"/>
  <c r="AC2" i="6" l="1"/>
  <c r="AC5" i="6" l="1"/>
  <c r="AC6" i="6"/>
  <c r="AC30" i="6" l="1"/>
  <c r="AC31" i="6" s="1"/>
  <c r="AD42" i="1"/>
  <c r="AD36" i="1"/>
  <c r="AD43" i="1" s="1"/>
  <c r="AC23" i="6"/>
  <c r="AC32" i="6"/>
  <c r="AD19" i="6" l="1"/>
  <c r="AD44" i="1"/>
  <c r="AC42" i="6"/>
  <c r="AC43" i="6" s="1"/>
  <c r="AC39" i="6" s="1"/>
  <c r="AC40" i="6" s="1"/>
  <c r="AC27" i="6"/>
  <c r="AC28" i="6" s="1"/>
  <c r="AC33" i="6"/>
  <c r="AD11" i="6"/>
  <c r="AD12" i="6" s="1"/>
  <c r="AD49" i="1"/>
  <c r="AD56" i="1" s="1"/>
  <c r="AD50" i="1" l="1"/>
  <c r="AD57" i="1" s="1"/>
  <c r="AD20" i="6"/>
  <c r="AD2" i="6" l="1"/>
  <c r="AD6" i="6" l="1"/>
  <c r="AD5" i="6"/>
  <c r="AE36" i="1" l="1"/>
  <c r="AE43" i="1" s="1"/>
  <c r="AE42" i="1"/>
  <c r="AD30" i="6"/>
  <c r="AD31" i="6" s="1"/>
  <c r="AD23" i="6"/>
  <c r="AD32" i="6"/>
  <c r="AD33" i="6" l="1"/>
  <c r="AD42" i="6"/>
  <c r="AD43" i="6" s="1"/>
  <c r="AD39" i="6" s="1"/>
  <c r="AD40" i="6" s="1"/>
  <c r="AD27" i="6"/>
  <c r="AD28" i="6" s="1"/>
  <c r="AE11" i="6"/>
  <c r="AE12" i="6" s="1"/>
  <c r="AE49" i="1"/>
  <c r="AE56" i="1" s="1"/>
  <c r="AE19" i="6"/>
  <c r="AE44" i="1"/>
  <c r="AE50" i="1" l="1"/>
  <c r="AE57" i="1" s="1"/>
  <c r="AE20" i="6"/>
  <c r="AE2" i="6" l="1"/>
  <c r="AE5" i="6" l="1"/>
  <c r="AE6" i="6"/>
  <c r="AE30" i="6" l="1"/>
  <c r="AE31" i="6" s="1"/>
  <c r="AF42" i="1"/>
  <c r="AF36" i="1"/>
  <c r="AF43" i="1" s="1"/>
  <c r="AE23" i="6"/>
  <c r="AE32" i="6"/>
  <c r="AF19" i="6" l="1"/>
  <c r="AF44" i="1"/>
  <c r="AE42" i="6"/>
  <c r="AE43" i="6" s="1"/>
  <c r="AE39" i="6" s="1"/>
  <c r="AE40" i="6" s="1"/>
  <c r="AE33" i="6"/>
  <c r="AE27" i="6"/>
  <c r="AE28" i="6" s="1"/>
  <c r="AF11" i="6"/>
  <c r="AF12" i="6" s="1"/>
  <c r="AF49" i="1"/>
  <c r="AF56" i="1" s="1"/>
  <c r="AF50" i="1" l="1"/>
  <c r="AF57" i="1" s="1"/>
  <c r="AF20" i="6"/>
  <c r="AF2" i="6" l="1"/>
  <c r="AF5" i="6" l="1"/>
  <c r="AF6" i="6"/>
  <c r="AF30" i="6" l="1"/>
  <c r="AF31" i="6" s="1"/>
  <c r="AG36" i="1"/>
  <c r="AG43" i="1" s="1"/>
  <c r="AG42" i="1"/>
  <c r="AF23" i="6"/>
  <c r="AF32" i="6"/>
  <c r="AG49" i="1" l="1"/>
  <c r="AG56" i="1" s="1"/>
  <c r="AG11" i="6"/>
  <c r="AG12" i="6" s="1"/>
  <c r="AF27" i="6"/>
  <c r="AF28" i="6" s="1"/>
  <c r="AF33" i="6"/>
  <c r="AF42" i="6"/>
  <c r="AF43" i="6" s="1"/>
  <c r="AF39" i="6" s="1"/>
  <c r="AF40" i="6" s="1"/>
  <c r="AG44" i="1"/>
  <c r="AG19" i="6"/>
  <c r="AG50" i="1"/>
  <c r="AG57" i="1" s="1"/>
  <c r="AG20" i="6" l="1"/>
  <c r="AG2" i="6" l="1"/>
  <c r="AG5" i="6" l="1"/>
  <c r="AG6" i="6"/>
  <c r="AG30" i="6" l="1"/>
  <c r="AG31" i="6" s="1"/>
  <c r="AH36" i="1"/>
  <c r="AH43" i="1" s="1"/>
  <c r="AH42" i="1"/>
  <c r="AG23" i="6"/>
  <c r="AG32" i="6"/>
  <c r="AH49" i="1" l="1"/>
  <c r="AH56" i="1" s="1"/>
  <c r="AH11" i="6"/>
  <c r="AH12" i="6" s="1"/>
  <c r="AG42" i="6"/>
  <c r="AG43" i="6" s="1"/>
  <c r="AG39" i="6" s="1"/>
  <c r="AG40" i="6" s="1"/>
  <c r="AG33" i="6"/>
  <c r="AG27" i="6"/>
  <c r="AG28" i="6" s="1"/>
  <c r="AH19" i="6"/>
  <c r="AH44" i="1"/>
  <c r="AH50" i="1" l="1"/>
  <c r="AH57" i="1" s="1"/>
  <c r="AH20" i="6"/>
  <c r="AH2" i="6" l="1"/>
  <c r="AH6" i="6" l="1"/>
  <c r="AH5" i="6"/>
  <c r="AH30" i="6" l="1"/>
  <c r="AH31" i="6" s="1"/>
  <c r="AI36" i="1"/>
  <c r="AI43" i="1" s="1"/>
  <c r="AI42" i="1"/>
  <c r="AH23" i="6"/>
  <c r="AH32" i="6"/>
  <c r="AH27" i="6" l="1"/>
  <c r="AH28" i="6" s="1"/>
  <c r="AH42" i="6"/>
  <c r="AH43" i="6" s="1"/>
  <c r="AH39" i="6" s="1"/>
  <c r="AH40" i="6" s="1"/>
  <c r="AH33" i="6"/>
  <c r="AI11" i="6"/>
  <c r="AI12" i="6" s="1"/>
  <c r="AI49" i="1"/>
  <c r="AI56" i="1" s="1"/>
  <c r="AI19" i="6"/>
  <c r="AI44" i="1"/>
  <c r="AI50" i="1" l="1"/>
  <c r="AI57" i="1" s="1"/>
  <c r="AI20" i="6"/>
  <c r="AI2" i="6" l="1"/>
  <c r="AI6" i="6" l="1"/>
  <c r="AI5" i="6"/>
  <c r="AI30" i="6" l="1"/>
  <c r="AI31" i="6" s="1"/>
  <c r="AJ36" i="1"/>
  <c r="AJ43" i="1" s="1"/>
  <c r="AJ42" i="1"/>
  <c r="AI23" i="6"/>
  <c r="AI32" i="6"/>
  <c r="AJ49" i="1" l="1"/>
  <c r="AJ56" i="1" s="1"/>
  <c r="AJ11" i="6"/>
  <c r="AJ12" i="6" s="1"/>
  <c r="AI27" i="6"/>
  <c r="AI28" i="6" s="1"/>
  <c r="AI33" i="6"/>
  <c r="AI42" i="6"/>
  <c r="AI43" i="6" s="1"/>
  <c r="AI39" i="6" s="1"/>
  <c r="AI40" i="6" s="1"/>
  <c r="AJ19" i="6"/>
  <c r="AJ44" i="1"/>
  <c r="AJ50" i="1"/>
  <c r="AJ57" i="1" s="1"/>
  <c r="AJ20" i="6" l="1"/>
  <c r="AJ2" i="6" l="1"/>
  <c r="AJ5" i="6" l="1"/>
  <c r="AJ6" i="6"/>
  <c r="AJ30" i="6" l="1"/>
  <c r="AJ31" i="6" s="1"/>
  <c r="AK36" i="1"/>
  <c r="AK43" i="1" s="1"/>
  <c r="AK42" i="1"/>
  <c r="AJ23" i="6"/>
  <c r="AJ32" i="6"/>
  <c r="AK11" i="6" l="1"/>
  <c r="AK12" i="6" s="1"/>
  <c r="AK49" i="1"/>
  <c r="AK56" i="1" s="1"/>
  <c r="AJ42" i="6"/>
  <c r="AJ43" i="6" s="1"/>
  <c r="AJ39" i="6" s="1"/>
  <c r="AJ40" i="6" s="1"/>
  <c r="AJ33" i="6"/>
  <c r="AJ27" i="6"/>
  <c r="AJ28" i="6" s="1"/>
  <c r="AK19" i="6"/>
  <c r="AK44" i="1"/>
  <c r="AK50" i="1"/>
  <c r="AK57" i="1" s="1"/>
  <c r="AK20" i="6" l="1"/>
  <c r="AK2" i="6" l="1"/>
  <c r="AK6" i="6" l="1"/>
  <c r="AK5" i="6"/>
  <c r="AK30" i="6" l="1"/>
  <c r="AK31" i="6" s="1"/>
  <c r="AL36" i="1"/>
  <c r="AL43" i="1" s="1"/>
  <c r="AL42" i="1"/>
  <c r="AK23" i="6"/>
  <c r="AK32" i="6"/>
  <c r="AL11" i="6" l="1"/>
  <c r="AL12" i="6" s="1"/>
  <c r="AL49" i="1"/>
  <c r="AL56" i="1" s="1"/>
  <c r="AK33" i="6"/>
  <c r="AK42" i="6"/>
  <c r="AK43" i="6" s="1"/>
  <c r="AK39" i="6" s="1"/>
  <c r="AK40" i="6" s="1"/>
  <c r="AK27" i="6"/>
  <c r="AK28" i="6" s="1"/>
  <c r="AL44" i="1"/>
  <c r="AL19" i="6"/>
  <c r="AL50" i="1"/>
  <c r="AL57" i="1" s="1"/>
  <c r="AL20" i="6" l="1"/>
  <c r="AL2" i="6" l="1"/>
  <c r="AL5" i="6" l="1"/>
  <c r="AL6" i="6"/>
  <c r="AL30" i="6" l="1"/>
  <c r="AL31" i="6" s="1"/>
  <c r="AM42" i="1"/>
  <c r="AM36" i="1"/>
  <c r="AM43" i="1" s="1"/>
  <c r="AL23" i="6"/>
  <c r="AL32" i="6"/>
  <c r="AM19" i="6" l="1"/>
  <c r="AM44" i="1"/>
  <c r="AL42" i="6"/>
  <c r="AL43" i="6" s="1"/>
  <c r="AL39" i="6" s="1"/>
  <c r="AL40" i="6" s="1"/>
  <c r="AL27" i="6"/>
  <c r="AL28" i="6" s="1"/>
  <c r="AL33" i="6"/>
  <c r="AM11" i="6"/>
  <c r="AM12" i="6" s="1"/>
  <c r="AM49" i="1"/>
  <c r="AM56" i="1" s="1"/>
  <c r="AM50" i="1" l="1"/>
  <c r="AM57" i="1" s="1"/>
  <c r="AM20" i="6"/>
  <c r="AM2" i="6" l="1"/>
  <c r="AM6" i="6" l="1"/>
  <c r="AM5" i="6"/>
  <c r="AM30" i="6" l="1"/>
  <c r="AM31" i="6" s="1"/>
  <c r="AN36" i="1"/>
  <c r="AN43" i="1" s="1"/>
  <c r="AN42" i="1"/>
  <c r="AM23" i="6"/>
  <c r="AM32" i="6"/>
  <c r="AN11" i="6" l="1"/>
  <c r="AN12" i="6" s="1"/>
  <c r="AN49" i="1"/>
  <c r="AN56" i="1" s="1"/>
  <c r="AM42" i="6"/>
  <c r="AM43" i="6" s="1"/>
  <c r="AM39" i="6" s="1"/>
  <c r="AM40" i="6" s="1"/>
  <c r="AM27" i="6"/>
  <c r="AM28" i="6" s="1"/>
  <c r="AM33" i="6"/>
  <c r="AN19" i="6"/>
  <c r="AN44" i="1"/>
  <c r="AN50" i="1"/>
  <c r="AN57" i="1" s="1"/>
  <c r="AN20" i="6" l="1"/>
  <c r="AN2" i="6" l="1"/>
  <c r="AN6" i="6" l="1"/>
  <c r="AN5" i="6"/>
  <c r="AN30" i="6" l="1"/>
  <c r="AN31" i="6" s="1"/>
  <c r="AO36" i="1"/>
  <c r="AO43" i="1" s="1"/>
  <c r="AO42" i="1"/>
  <c r="AN23" i="6"/>
  <c r="AN32" i="6"/>
  <c r="AO11" i="6" l="1"/>
  <c r="AO12" i="6" s="1"/>
  <c r="AO49" i="1"/>
  <c r="AO56" i="1" s="1"/>
  <c r="AN27" i="6"/>
  <c r="AN28" i="6" s="1"/>
  <c r="AN33" i="6"/>
  <c r="AN42" i="6"/>
  <c r="AN43" i="6" s="1"/>
  <c r="AN39" i="6" s="1"/>
  <c r="AN40" i="6" s="1"/>
  <c r="AO19" i="6"/>
  <c r="AO44" i="1"/>
  <c r="AO50" i="1"/>
  <c r="AO57" i="1" s="1"/>
  <c r="AO20" i="6" l="1"/>
  <c r="AO2" i="6" l="1"/>
  <c r="AO6" i="6" l="1"/>
  <c r="AO5" i="6"/>
  <c r="AO30" i="6" l="1"/>
  <c r="AO31" i="6" s="1"/>
  <c r="AP36" i="1"/>
  <c r="AP43" i="1" s="1"/>
  <c r="AP42" i="1"/>
  <c r="AO23" i="6"/>
  <c r="AO32" i="6"/>
  <c r="AO33" i="6" l="1"/>
  <c r="AO27" i="6"/>
  <c r="AO28" i="6" s="1"/>
  <c r="AO42" i="6"/>
  <c r="AO43" i="6" s="1"/>
  <c r="AO39" i="6" s="1"/>
  <c r="AO40" i="6" s="1"/>
  <c r="AP11" i="6"/>
  <c r="AP12" i="6" s="1"/>
  <c r="AP49" i="1"/>
  <c r="AP56" i="1" s="1"/>
  <c r="AP44" i="1"/>
  <c r="AP19" i="6"/>
  <c r="AP50" i="1" l="1"/>
  <c r="AP57" i="1" s="1"/>
  <c r="AP20" i="6"/>
  <c r="AP2" i="6" l="1"/>
  <c r="AP5" i="6" l="1"/>
  <c r="AP6" i="6"/>
  <c r="AP30" i="6" l="1"/>
  <c r="AP31" i="6" s="1"/>
  <c r="AP23" i="6"/>
  <c r="AP32" i="6"/>
  <c r="AP33" i="6" l="1"/>
  <c r="AP27" i="6"/>
  <c r="AP28" i="6" s="1"/>
  <c r="AP42" i="6"/>
  <c r="AP43" i="6" s="1"/>
  <c r="AP39" i="6" s="1"/>
  <c r="AP40" i="6" s="1"/>
</calcChain>
</file>

<file path=xl/sharedStrings.xml><?xml version="1.0" encoding="utf-8"?>
<sst xmlns="http://schemas.openxmlformats.org/spreadsheetml/2006/main" count="896" uniqueCount="436">
  <si>
    <t>SMALL REFINERY EXEMPTIONS</t>
  </si>
  <si>
    <t>Petitions Forecast</t>
  </si>
  <si>
    <t>Full Grants Forecast</t>
  </si>
  <si>
    <t>How to calculate the implied ethanol percent</t>
  </si>
  <si>
    <t>Partial Grants Forecast</t>
  </si>
  <si>
    <t>Total</t>
  </si>
  <si>
    <t xml:space="preserve">  Average Partial Grant Percentage</t>
  </si>
  <si>
    <t>Calculation for SRE impact per fuel code</t>
  </si>
  <si>
    <t>Pending Forecast</t>
  </si>
  <si>
    <t>Denials/Withdrawn Forecast</t>
  </si>
  <si>
    <t>Portion of Applications Approved</t>
  </si>
  <si>
    <t>Adv X Total above</t>
  </si>
  <si>
    <t>DOE Recommendations</t>
  </si>
  <si>
    <t>Renewable Fuel X Total above</t>
  </si>
  <si>
    <t>Petitions Received</t>
  </si>
  <si>
    <t>Subtract Advanced Percentage Product from the Total Percentage Product</t>
  </si>
  <si>
    <t>Grants Issued</t>
  </si>
  <si>
    <t>Divide the Difference between Advanced Percentage Total from the Total Percentage Total - this is the implied ethanol Percentage Standard</t>
  </si>
  <si>
    <t xml:space="preserve">  Partial Grants Issued</t>
  </si>
  <si>
    <t>Denials Issued</t>
  </si>
  <si>
    <t>Ineligible or Withdrawn</t>
  </si>
  <si>
    <t>Pending</t>
  </si>
  <si>
    <t>Renewable Volume Obligations</t>
  </si>
  <si>
    <t>Cellulosic Biofuel</t>
  </si>
  <si>
    <t>Biomass-Based Diesel</t>
  </si>
  <si>
    <t>Advanced Biofuel</t>
  </si>
  <si>
    <t>Renewable Fuel</t>
  </si>
  <si>
    <t>Implied Ethanol</t>
  </si>
  <si>
    <t>EPA Final Percent Standards</t>
  </si>
  <si>
    <t>Supplemental Standard</t>
  </si>
  <si>
    <t>Estimated Total Exemptions of Fossil Fuel from Blending</t>
  </si>
  <si>
    <t>Volume per Exemption</t>
  </si>
  <si>
    <t>Gallons Exempt by Fuel Type</t>
  </si>
  <si>
    <t>RINs Exempt</t>
  </si>
  <si>
    <t>RINs Exempt by Fuel Code</t>
  </si>
  <si>
    <t>D3</t>
  </si>
  <si>
    <t>D4</t>
  </si>
  <si>
    <t>D5</t>
  </si>
  <si>
    <t>D6</t>
  </si>
  <si>
    <t>D7</t>
  </si>
  <si>
    <t>Gallons Exempt by Fuel Code</t>
  </si>
  <si>
    <t>DOE Recommended RINs</t>
  </si>
  <si>
    <t>2016 - 2018 Percentage Standards</t>
  </si>
  <si>
    <t>2015 - 2017 Percentage Standards</t>
  </si>
  <si>
    <t>Step 1. - Gather the following data</t>
  </si>
  <si>
    <t>Total RVO</t>
  </si>
  <si>
    <t>Advanced RVO</t>
  </si>
  <si>
    <t>BBD RVO</t>
  </si>
  <si>
    <t>Cellulosic RVO</t>
  </si>
  <si>
    <t>Implied Ethanol RVO</t>
  </si>
  <si>
    <t>Supplemental RVO</t>
  </si>
  <si>
    <t>Gasoline Demand</t>
  </si>
  <si>
    <t>Ethanol Supply</t>
  </si>
  <si>
    <t>Gasoline Exemptions</t>
  </si>
  <si>
    <t>Net Renewable Gasoline Demand</t>
  </si>
  <si>
    <t>Gasoline Classic Demand</t>
  </si>
  <si>
    <t>EPA Gasoline Demand</t>
  </si>
  <si>
    <t>EPA Diesel Demand</t>
  </si>
  <si>
    <t>Demand</t>
  </si>
  <si>
    <t>Diesel Demand</t>
  </si>
  <si>
    <t>Biomass-Based Diesel Supply</t>
  </si>
  <si>
    <t>Diesel Exemptions</t>
  </si>
  <si>
    <t>Net Biomass-Based Diesel Demand</t>
  </si>
  <si>
    <t>Diesel Classic Demand</t>
  </si>
  <si>
    <t>Total Fuel Demand for Calculation</t>
  </si>
  <si>
    <t>EPA Demand for Calculation</t>
  </si>
  <si>
    <t>Mandates</t>
  </si>
  <si>
    <t>Cellulosic</t>
  </si>
  <si>
    <t>Advanced</t>
  </si>
  <si>
    <t>Ethanol</t>
  </si>
  <si>
    <t>Supplemental</t>
  </si>
  <si>
    <t>Percentage Standards</t>
  </si>
  <si>
    <t>BBD</t>
  </si>
  <si>
    <t>Supplemental - if applicable</t>
  </si>
  <si>
    <t>Step 2. Find or Estimate/Predict the EPA Final Percent Standards</t>
  </si>
  <si>
    <t>n/a</t>
  </si>
  <si>
    <t>Step 3. Multiply the Total RVO by the "Total" Percent Standard</t>
  </si>
  <si>
    <t>Total RVO X Total Percent</t>
  </si>
  <si>
    <t>Step 4. Multiply the Advanced RVO by the Product of the Previous Step</t>
  </si>
  <si>
    <t>Advanced RVO X Advanced Percent</t>
  </si>
  <si>
    <t>Step 5. Multiply the Total Percentage by the Product of Step 3</t>
  </si>
  <si>
    <t>Total Percent X Product in Step 2</t>
  </si>
  <si>
    <t>Step 6. Subtract the Product of Step 4 from the Product of Step 5</t>
  </si>
  <si>
    <t>Total Percentage Volume - Advanced Percentage Volume</t>
  </si>
  <si>
    <t>Step 7. Divide the Remaining Total Percentage Volume by the Total Renewable Fuel Volume</t>
  </si>
  <si>
    <t>Result of Step 6 / Total Percentage Volume</t>
  </si>
  <si>
    <t>This is the implied ethanol total percentage standard</t>
  </si>
  <si>
    <t>Pandemic Effect</t>
  </si>
  <si>
    <t>Billions of Gallons</t>
  </si>
  <si>
    <t>Final RFS for 2020 and BBD 2021</t>
  </si>
  <si>
    <t>Proposed values from July NPR</t>
  </si>
  <si>
    <t>Proposed Based on 2016-2018 est</t>
  </si>
  <si>
    <t>Proposed Based on 2015-2017 est</t>
  </si>
  <si>
    <t>Term</t>
  </si>
  <si>
    <t>Description</t>
  </si>
  <si>
    <t>Steo 2021 @6/3/21</t>
  </si>
  <si>
    <t>RFVcb</t>
  </si>
  <si>
    <t>Required Cellulosic Volume</t>
  </si>
  <si>
    <t>RFVbbd</t>
  </si>
  <si>
    <t>Required BBD Volume x 1.5</t>
  </si>
  <si>
    <t>RFVab</t>
  </si>
  <si>
    <t>Required Advanced Bio Volume</t>
  </si>
  <si>
    <t>RFVrf</t>
  </si>
  <si>
    <t>Required Volume of renewable fuel</t>
  </si>
  <si>
    <t>G</t>
  </si>
  <si>
    <t>Projected volume of gasoline</t>
  </si>
  <si>
    <t>D</t>
  </si>
  <si>
    <t>Projected volume of diesel</t>
  </si>
  <si>
    <t>RG</t>
  </si>
  <si>
    <t>Projected volume of renewables in gas</t>
  </si>
  <si>
    <t>RD</t>
  </si>
  <si>
    <t>Projected volume of renewables in diesel</t>
  </si>
  <si>
    <t>GS</t>
  </si>
  <si>
    <t>Projected volume of gasoline for opt-in areas</t>
  </si>
  <si>
    <t>RGS</t>
  </si>
  <si>
    <t>Projected volume of renewables in gasoline for opt-in areas</t>
  </si>
  <si>
    <t>DS</t>
  </si>
  <si>
    <t>Projected volume of diesel for opt-in areas</t>
  </si>
  <si>
    <t>RDS</t>
  </si>
  <si>
    <t>Projected volume of renewablse in diesel for opt-in areas</t>
  </si>
  <si>
    <t>GE</t>
  </si>
  <si>
    <t>Projected volume of exempt gasoline</t>
  </si>
  <si>
    <t>DE</t>
  </si>
  <si>
    <t>Projected volum of exempt diesel</t>
  </si>
  <si>
    <t>Estimated from SRE page Column E, 362</t>
  </si>
  <si>
    <t>2019 final rule</t>
  </si>
  <si>
    <t>Numerator</t>
  </si>
  <si>
    <t>Denominator</t>
  </si>
  <si>
    <t>(G-RG)</t>
  </si>
  <si>
    <t>GS-RGS</t>
  </si>
  <si>
    <t>D-RD</t>
  </si>
  <si>
    <t>DS-RDS</t>
  </si>
  <si>
    <t>Outcome N/D</t>
  </si>
  <si>
    <t>Percentage Standard</t>
  </si>
  <si>
    <t>Celluloic percentage Standard</t>
  </si>
  <si>
    <t>BBD percentage Standard</t>
  </si>
  <si>
    <t>Advanced percentage standard</t>
  </si>
  <si>
    <t>Volumes for Use in Determining Proposed 2020 Standard</t>
  </si>
  <si>
    <t>2021 Guess</t>
  </si>
  <si>
    <t>Post Pandemic</t>
  </si>
  <si>
    <t>Original Mandate</t>
  </si>
  <si>
    <t>(Billion Gallons)</t>
  </si>
  <si>
    <t>Effect of EPA Proposal to Add-in 770 million gallons</t>
  </si>
  <si>
    <t>EPA Use</t>
  </si>
  <si>
    <t>Effect of EPA Proposal had they added in Actual SRE avg</t>
  </si>
  <si>
    <t>RINs</t>
  </si>
  <si>
    <t>Gallons</t>
  </si>
  <si>
    <t>gas</t>
  </si>
  <si>
    <t>diesel</t>
  </si>
  <si>
    <t>2016-2018 average</t>
  </si>
  <si>
    <t>2015-2017 average</t>
  </si>
  <si>
    <t>first decimal point = 100 million</t>
  </si>
  <si>
    <t>Second decimal point =10 million</t>
  </si>
  <si>
    <t>Third decimal point = 1 million</t>
  </si>
  <si>
    <t>Fourth decimal point = 100 thousand</t>
  </si>
  <si>
    <t>Effect on Gasoline and Diesel Consumption due to Carona Virus</t>
  </si>
  <si>
    <t>Gasoline</t>
  </si>
  <si>
    <t>Diesel</t>
  </si>
  <si>
    <t>Jan</t>
  </si>
  <si>
    <t>Feb</t>
  </si>
  <si>
    <t>Down 10%</t>
  </si>
  <si>
    <t>Mar</t>
  </si>
  <si>
    <t>Down 35%</t>
  </si>
  <si>
    <t>Apr</t>
  </si>
  <si>
    <t>Down 40%</t>
  </si>
  <si>
    <t>May</t>
  </si>
  <si>
    <t>Jun</t>
  </si>
  <si>
    <t>Down 30%</t>
  </si>
  <si>
    <t>Jul</t>
  </si>
  <si>
    <t>Down 20%</t>
  </si>
  <si>
    <t>Aug</t>
  </si>
  <si>
    <t>Sep</t>
  </si>
  <si>
    <t>Oct</t>
  </si>
  <si>
    <t>Nov</t>
  </si>
  <si>
    <t>Dec</t>
  </si>
  <si>
    <t>Original EIA Est</t>
  </si>
  <si>
    <t>Revised</t>
  </si>
  <si>
    <t>Yearly Decline</t>
  </si>
  <si>
    <t>Final RFS for 2020 and BBD 2021 (Pandemic)</t>
  </si>
  <si>
    <t xml:space="preserve">(Billion Gallons) </t>
  </si>
  <si>
    <t>Gallons for BBD</t>
  </si>
  <si>
    <t>Mandate</t>
  </si>
  <si>
    <t>Unspecified D5</t>
  </si>
  <si>
    <t>BBD percentage Standard in Ethanol Equivalent Gallons</t>
  </si>
  <si>
    <t>BBD in D5 already</t>
  </si>
  <si>
    <t>Calculating Potential D4 Gallons Needed to Fulfill D5 Mandate</t>
  </si>
  <si>
    <t>Advanced  Mandate</t>
  </si>
  <si>
    <t>Biomass-based diesel Mandate</t>
  </si>
  <si>
    <t>Cellulosic Mandate</t>
  </si>
  <si>
    <t>Unspecified D5 - (1-2-3)</t>
  </si>
  <si>
    <t>Expected D5 2020 production</t>
  </si>
  <si>
    <t>Potential balance to be filled by D4</t>
  </si>
  <si>
    <t>Expected D5 2020 Production</t>
  </si>
  <si>
    <t>Non Cell Eth Imports expected to be at least 100 million gallons lower due to pandemic</t>
  </si>
  <si>
    <t>RD production expected to be 10 million gallons higher</t>
  </si>
  <si>
    <t>2019 D5 was about 282 million gallons</t>
  </si>
  <si>
    <t>Without the pandemic, D5 might have been up 40/50 million gallons.</t>
  </si>
  <si>
    <t>Cellulosic Waiver Authority</t>
  </si>
  <si>
    <t>Biodiesel Activity</t>
  </si>
  <si>
    <t xml:space="preserve">While various groups celebrate and even thank the EPA for the unexpected increase in the D5 RVO, what they don’t realize is that the EPA Administrator may not have wanted to grant that increase.  </t>
  </si>
  <si>
    <t>The EPA is required to exercise its cellulosic waiver authority when projected cellulosic supply is significantly below statute. For 2019 the cellulosic statute is 8.50 billion gallons.  The EPA is projecting that supply will be 381 million gallons.  Given the disparity, the EPA used its waiver authority to reduce the mandated amount 8.119 billion gallons to 381 million.</t>
  </si>
  <si>
    <t>According to statute, the EPA has “the authority to reduce the applicable volumes of advance biofuel and total renewable fuel by the same or lesser amount” used to reduce the cellulosic RVO. This is the “cellulosic waiver authority”.</t>
  </si>
  <si>
    <t>Proposed due by June 1</t>
  </si>
  <si>
    <t>https://iowarfa.org/2015/04/epa-reaches-agreement-on-rfs-deadlines/</t>
  </si>
  <si>
    <t>Mandated</t>
  </si>
  <si>
    <t xml:space="preserve">final rule by </t>
  </si>
  <si>
    <t>Nov 30 each year</t>
  </si>
  <si>
    <t>Renewable Fuel Standards - Final and Proposed rule's</t>
  </si>
  <si>
    <t>Final Rule</t>
  </si>
  <si>
    <t>Publish date</t>
  </si>
  <si>
    <t>Proposed Rule</t>
  </si>
  <si>
    <t>https://www.ecfr.gov/cgi-bin/text-idx?SID=0230338f5cea609814d2898c4b6d3b50&amp;mc=true&amp;node=pt40.19.80&amp;rgn=div5</t>
  </si>
  <si>
    <t>§80.1405   What are the Renewable Fuel Standards?</t>
  </si>
  <si>
    <t>(b) EPA will calculate the value of the annual standards and publish these values in the Federal Register by November 30 of the year preceding the compliance period.</t>
  </si>
  <si>
    <t xml:space="preserve">Under section 211 of the Clean Air Act, the Environmental Protection Agency (EPA) is required to set renewable fuel percentage standards every year. </t>
  </si>
  <si>
    <t>MIA</t>
  </si>
  <si>
    <t>Hyperlink to regulations -</t>
  </si>
  <si>
    <t>Renewable Fuels Program Government Regulations</t>
  </si>
  <si>
    <t>EPA proposes to extend 2019, 2020 RFS deadlines</t>
  </si>
  <si>
    <t>Consent Decree</t>
  </si>
  <si>
    <t>https://www.epa.gov/sites/production/files/2015-08/documents/consent-decree-proposed-2015-04-10.pdf</t>
  </si>
  <si>
    <t xml:space="preserve">EPA OBLIGATIONS </t>
  </si>
  <si>
    <t>RFS Waiver Provisions</t>
  </si>
  <si>
    <r>
      <t xml:space="preserve">3. </t>
    </r>
    <r>
      <rPr>
        <sz val="13"/>
        <color theme="1"/>
        <rFont val="Times"/>
        <family val="1"/>
      </rPr>
      <t xml:space="preserve">EPA shall sign </t>
    </r>
    <r>
      <rPr>
        <sz val="14"/>
        <color theme="1"/>
        <rFont val="Times"/>
        <family val="1"/>
      </rPr>
      <t xml:space="preserve">by </t>
    </r>
    <r>
      <rPr>
        <sz val="13"/>
        <color theme="1"/>
        <rFont val="Times"/>
        <family val="1"/>
      </rPr>
      <t>June</t>
    </r>
    <r>
      <rPr>
        <sz val="14"/>
        <color theme="1"/>
        <rFont val="Times"/>
        <family val="1"/>
      </rPr>
      <t xml:space="preserve">1, </t>
    </r>
    <r>
      <rPr>
        <sz val="13"/>
        <color theme="1"/>
        <rFont val="Times"/>
        <family val="1"/>
      </rPr>
      <t xml:space="preserve">2015, and submit to the Office </t>
    </r>
    <r>
      <rPr>
        <sz val="14"/>
        <color theme="1"/>
        <rFont val="Times"/>
        <family val="1"/>
      </rPr>
      <t xml:space="preserve">of </t>
    </r>
    <r>
      <rPr>
        <sz val="13"/>
        <color theme="1"/>
        <rFont val="Times"/>
        <family val="1"/>
      </rPr>
      <t xml:space="preserve">the Federal Registeras </t>
    </r>
    <r>
      <rPr>
        <sz val="14"/>
        <color theme="1"/>
        <rFont val="Times"/>
        <family val="1"/>
      </rPr>
      <t xml:space="preserve">expeditiously </t>
    </r>
    <r>
      <rPr>
        <sz val="13"/>
        <color theme="1"/>
        <rFont val="Times"/>
        <family val="1"/>
      </rPr>
      <t xml:space="preserve">as </t>
    </r>
    <r>
      <rPr>
        <sz val="14"/>
        <color theme="1"/>
        <rFont val="Times"/>
        <family val="1"/>
      </rPr>
      <t xml:space="preserve">reasonably possible </t>
    </r>
    <r>
      <rPr>
        <sz val="13"/>
        <color theme="1"/>
        <rFont val="Times"/>
        <family val="1"/>
      </rPr>
      <t xml:space="preserve">and in </t>
    </r>
    <r>
      <rPr>
        <sz val="14"/>
        <color theme="1"/>
        <rFont val="Times"/>
        <family val="1"/>
      </rPr>
      <t xml:space="preserve">any event </t>
    </r>
    <r>
      <rPr>
        <sz val="13"/>
        <color theme="1"/>
        <rFont val="Times"/>
        <family val="1"/>
      </rPr>
      <t xml:space="preserve">no </t>
    </r>
    <r>
      <rPr>
        <sz val="14"/>
        <color theme="1"/>
        <rFont val="Times"/>
        <family val="1"/>
      </rPr>
      <t xml:space="preserve">later than ten (10) business days after </t>
    </r>
    <r>
      <rPr>
        <sz val="13"/>
        <color theme="1"/>
        <rFont val="Times"/>
        <family val="1"/>
      </rPr>
      <t xml:space="preserve">such signature for publication in the Federal Register, </t>
    </r>
    <r>
      <rPr>
        <sz val="14"/>
        <color theme="1"/>
        <rFont val="Times"/>
        <family val="1"/>
      </rPr>
      <t xml:space="preserve">a </t>
    </r>
    <r>
      <rPr>
        <sz val="13"/>
        <color theme="1"/>
        <rFont val="Times"/>
        <family val="1"/>
      </rPr>
      <t xml:space="preserve">notice </t>
    </r>
    <r>
      <rPr>
        <sz val="14"/>
        <color theme="1"/>
        <rFont val="Times"/>
        <family val="1"/>
      </rPr>
      <t xml:space="preserve">of </t>
    </r>
    <r>
      <rPr>
        <sz val="13"/>
        <color theme="1"/>
        <rFont val="Times"/>
        <family val="1"/>
      </rPr>
      <t>proposed rulemaking to determine in accordance with 42 U.S.C. § 7545(o)(3)(B) the renewable fuel obligations for calendar year 2015. Following its submission, EPA shall not take any action to delay or otherwise interfere with immediate publication of the notice in the Federal Register.</t>
    </r>
  </si>
  <si>
    <t>3 separate waivers, a general waiver, a cellulosic waiver, and a biomass-based diesel waiver.</t>
  </si>
  <si>
    <t>General Waiver</t>
  </si>
  <si>
    <t xml:space="preserve">The RFS statute gives the EPA Administrator the authority to waive the RFS requirements, in whole or in part, “by reducing the national quantity of renewable fuel required” if </t>
  </si>
  <si>
    <t xml:space="preserve">1. implementation of the requirement would severely harm the economy or environment of a state, a region, or the United States, or </t>
  </si>
  <si>
    <t xml:space="preserve">2. domestic renewable fuel supply is inadequate to meet the mandate. </t>
  </si>
  <si>
    <t xml:space="preserve">The EPA has never been very good at meeting its timeline, although the current administration is striving to keep deadlines, at least for the final rule.
•	Proposed rulings are supposedly due by June 1
•	Final Rule by 11/30
•	Proposed and Final rules will be for 2021 volumes for everything but biodiesel, which will be for 2022.
</t>
  </si>
  <si>
    <t>Cellulosic Biofuel Waiver</t>
  </si>
  <si>
    <t>The RFS statute obligates the EPA Administrator to reduce the cellulosic biofuel mandate when the projected production capacity for a given year is less than the volume required in the statute. The law does not require the EPA Administrator to consult with the Secretary of Agriculture or the Secretary of Energy when issuing a cellulosic biofuel waiver, or to give public notice and opportunity for comment. However, the Administrator must use the projected volume estimate from the U.S. Energy Information Administration provided under the applicable percentages section of the statute. In prior waiver determinations, EPA has provided opportunity for public comment. The Administrator must set the new required amount at the “projected available volume during that calendar year” by November 30 of the preceding year. Should the Administrator reduce the cellulosic biofuel volume, the Administrator also may reduce the volumes of advanced biofuel and total renewable fuel by the same or lesser volume. When the Administrator issues a cellulosic biofuel waiver, the Administrator must offer cellulosic biofuel waiver credits for obligated parties to purchase for that compliance year in lieu of using actual cellulosic biofuel.</t>
  </si>
  <si>
    <r>
      <t xml:space="preserve">4. EPA shall sign by November 30, 2015, and submit to the Office of the Federal </t>
    </r>
    <r>
      <rPr>
        <sz val="13"/>
        <color theme="1"/>
        <rFont val="Times"/>
        <family val="1"/>
      </rPr>
      <t xml:space="preserve">Register as expeditiously as reasonably possible and in any event </t>
    </r>
    <r>
      <rPr>
        <sz val="12"/>
        <color theme="1"/>
        <rFont val="Times"/>
        <family val="1"/>
      </rPr>
      <t xml:space="preserve">no </t>
    </r>
    <r>
      <rPr>
        <sz val="13"/>
        <color theme="1"/>
        <rFont val="Times"/>
        <family val="1"/>
      </rPr>
      <t xml:space="preserve">later than ten (10) business days after such signature for publication in the Federal Register, </t>
    </r>
    <r>
      <rPr>
        <sz val="14"/>
        <color theme="1"/>
        <rFont val="Times"/>
        <family val="1"/>
      </rPr>
      <t xml:space="preserve">a </t>
    </r>
    <r>
      <rPr>
        <sz val="13"/>
        <color theme="1"/>
        <rFont val="Times"/>
        <family val="1"/>
      </rPr>
      <t xml:space="preserve">final rule </t>
    </r>
    <r>
      <rPr>
        <sz val="14"/>
        <color theme="1"/>
        <rFont val="Times"/>
        <family val="1"/>
      </rPr>
      <t xml:space="preserve">or </t>
    </r>
    <r>
      <rPr>
        <sz val="13"/>
        <color theme="1"/>
        <rFont val="Times"/>
        <family val="1"/>
      </rPr>
      <t xml:space="preserve">rules determining in accordance with 42 U.S.C. § 7545(o)(3)(B) the renewable </t>
    </r>
    <r>
      <rPr>
        <sz val="12"/>
        <color theme="1"/>
        <rFont val="Times"/>
        <family val="1"/>
      </rPr>
      <t xml:space="preserve">fuel </t>
    </r>
    <r>
      <rPr>
        <sz val="13"/>
        <color theme="1"/>
        <rFont val="Times"/>
        <family val="1"/>
      </rPr>
      <t xml:space="preserve">obligations for calendar years 2014 and 2015. Following </t>
    </r>
    <r>
      <rPr>
        <sz val="14"/>
        <color theme="1"/>
        <rFont val="Times"/>
        <family val="1"/>
      </rPr>
      <t xml:space="preserve">its </t>
    </r>
    <r>
      <rPr>
        <sz val="13"/>
        <color theme="1"/>
        <rFont val="Times"/>
        <family val="1"/>
      </rPr>
      <t xml:space="preserve">submission, EPA shall not take any action </t>
    </r>
    <r>
      <rPr>
        <sz val="14"/>
        <color theme="1"/>
        <rFont val="Times"/>
        <family val="1"/>
      </rPr>
      <t xml:space="preserve">to </t>
    </r>
    <r>
      <rPr>
        <sz val="13"/>
        <color theme="1"/>
        <rFont val="Times"/>
        <family val="1"/>
      </rPr>
      <t xml:space="preserve">delay </t>
    </r>
    <r>
      <rPr>
        <sz val="14"/>
        <color theme="1"/>
        <rFont val="Times"/>
        <family val="1"/>
      </rPr>
      <t xml:space="preserve">or </t>
    </r>
    <r>
      <rPr>
        <sz val="13"/>
        <color theme="1"/>
        <rFont val="Times"/>
        <family val="1"/>
      </rPr>
      <t xml:space="preserve">otherwise interfere with immediate publication of the final rule or rules in the Federal Register. </t>
    </r>
  </si>
  <si>
    <t>https://www.epa.gov/renewable-fuel-standard-program/overview-renewable-fuel-standard</t>
  </si>
  <si>
    <t>Original RFS Statutory Mandates</t>
  </si>
  <si>
    <t>Actual RFS  Mandates</t>
  </si>
  <si>
    <t>Original RFS Statutory Mandates (Billions of Gallons)</t>
  </si>
  <si>
    <t>Advanced-Non Specified</t>
  </si>
  <si>
    <t>BBD*</t>
  </si>
  <si>
    <t>total</t>
  </si>
  <si>
    <t>% of Statute</t>
  </si>
  <si>
    <t>NA</t>
  </si>
  <si>
    <t>Biomass-Based Diesel Waiver</t>
  </si>
  <si>
    <r>
      <t>The RFS statutory provisions give the EPA Administrator authority to reduce the amount of biomass-based diesel required for up to 60 days if the Administrator determines that there are significant market circumstances (including feedstock disruptions) “that would make the price of biomass-based diesel fuel increase significantly.”</t>
    </r>
    <r>
      <rPr>
        <sz val="7"/>
        <color theme="1"/>
        <rFont val="TimesNewRomanPSMT"/>
      </rPr>
      <t xml:space="preserve">17 </t>
    </r>
    <r>
      <rPr>
        <sz val="11"/>
        <color theme="1"/>
        <rFont val="TimesNewRomanPSMT"/>
      </rPr>
      <t xml:space="preserve">If these market circumstances continue past the initial 60-day period, the Administrator may issue another waiver for an additional 60 days. The Administrator is to consult with the Secretaries of Energy and Agriculture prior to issuing such a waiver. If the Administrator issues a biomass-based diesel waiver, the Administrator also </t>
    </r>
    <r>
      <rPr>
        <i/>
        <sz val="11"/>
        <color theme="1"/>
        <rFont val="TimesNewRomanPS"/>
      </rPr>
      <t xml:space="preserve">may </t>
    </r>
    <r>
      <rPr>
        <sz val="11"/>
        <color theme="1"/>
        <rFont val="TimesNewRomanPSMT"/>
      </rPr>
      <t xml:space="preserve">reduce the volumes of advanced biofuel and renewable fuel by the same or lesser volume. As of July 2020, EPA has not used the biomass-based diesel waiver authority. </t>
    </r>
  </si>
  <si>
    <t>Reset Provision Allowed 2016 or later</t>
  </si>
  <si>
    <t>Final Mandate @20% of Statute</t>
  </si>
  <si>
    <t>Year</t>
  </si>
  <si>
    <t>20% of Stat</t>
  </si>
  <si>
    <t>Reset Provision - Modification of Applicable Volumes</t>
  </si>
  <si>
    <r>
      <t xml:space="preserve">This provision requires that the EPA Administrator modify the applicable volumes of the RFS in future years starting in 2016 if certain conditions are met. </t>
    </r>
    <r>
      <rPr>
        <sz val="11"/>
        <color rgb="FFFF0000"/>
        <rFont val="TimesNewRomanPSMT"/>
      </rPr>
      <t>Specifically, it provides that, starting in 2016, the EPA Administrator shall modify the applicable volumes of the RFS for subsequent years if the Administrator waives the renewable fuel mandate, the advanced biofuel mandate, the cellulosic biofuel mandate, or the biomass-based diesel mandate by at least 20% for two consecutive years or by at least 50% for a single year.</t>
    </r>
    <r>
      <rPr>
        <sz val="11"/>
        <color theme="1"/>
        <rFont val="TimesNewRomanPSMT"/>
      </rPr>
      <t xml:space="preserve"> This reset section does not state what the modified amount must be. Rather, it requires that the Administrator determine the applicable volumes—in coordination with the Secretaries of Energy and Agriculture—based on a review of program implementation thus far and an analysis of certain factors (e.g., the impact of the production and use of renewable fuels on the environment).</t>
    </r>
  </si>
  <si>
    <t>*statute sets 1 billion gallons minimum, but EPA may raise requirement </t>
  </si>
  <si>
    <t>*Total waived exceeded 20% in 2018, 2019, and 2020</t>
  </si>
  <si>
    <t>Cellulosic - Statute vs Actual (billion gallons)</t>
  </si>
  <si>
    <t>Statute</t>
  </si>
  <si>
    <t>Actual</t>
  </si>
  <si>
    <t>Difference</t>
  </si>
  <si>
    <t>*</t>
  </si>
  <si>
    <t xml:space="preserve">Since 2010, EPA has regularly used Cellulosic Biofuel Authority to lower both advanced and total </t>
  </si>
  <si>
    <t>renewable fuel volume.  In December 2019, EPA used it to reduce the applicable total renewable fuel, advanced biofuel, and cellulosic biofuel volume requirements for 2020.  A biomass-based diesel waiver has not been used.</t>
  </si>
  <si>
    <t>EPA has exercised the general waoiver authority once to reduce total renewable fuel volumes for the combined 201, 2015, and 2016 years.  The ruling was vacated by the US Courd of Appeals after it was concluded EPA had incorrectly interpreted the general waiver provision.</t>
  </si>
  <si>
    <t>My EIA Est..</t>
  </si>
  <si>
    <t>Advanced - Statute vs Actual (billion gallons)</t>
  </si>
  <si>
    <t>Total Renewable Fuel - Statute vs Actual (billion gallons)</t>
  </si>
  <si>
    <t>Speculation</t>
  </si>
  <si>
    <t>EPA can reduce cellulosic by difference between statute and EIA estimated use for the year.</t>
  </si>
  <si>
    <t>EPA Renewable Volume Obligations</t>
  </si>
  <si>
    <t>Clean Fuels Alliance America, American Farm Bureau Federation, American Soybean Association, National Oilseed Processors Association, North American Renderers Association, and U.S. Canola Association sent a letter to EPA Administrator</t>
  </si>
  <si>
    <t>2026 Recommendation 3/17/25</t>
  </si>
  <si>
    <t>N/A</t>
  </si>
  <si>
    <t>(billion gallons) - all values are ethanol-equivalent on an energy content basis,</t>
  </si>
  <si>
    <t>except for biomass-based diesel which is biodiesel equivalent</t>
  </si>
  <si>
    <t>Biodiesel Production</t>
  </si>
  <si>
    <t>Renewable Diesel</t>
  </si>
  <si>
    <t>Co-Processing</t>
  </si>
  <si>
    <t xml:space="preserve">  Total</t>
  </si>
  <si>
    <t>RIN Adjustment</t>
  </si>
  <si>
    <t>Renewable Fuel Mandate</t>
  </si>
  <si>
    <t>D4 Mandate</t>
  </si>
  <si>
    <t>Small Refinery Exemptions</t>
  </si>
  <si>
    <t xml:space="preserve">  D4 Mandate after Exemptions</t>
  </si>
  <si>
    <t>D3 Mandate</t>
  </si>
  <si>
    <t xml:space="preserve">  D3 Mandate after Exemptions</t>
  </si>
  <si>
    <t>D5 Mandate (ethanol equivalent gallons)</t>
  </si>
  <si>
    <t xml:space="preserve">  Small Refinery Exemptions</t>
  </si>
  <si>
    <t xml:space="preserve">  D5 Mandate after Exemptions</t>
  </si>
  <si>
    <t xml:space="preserve">  Unspecified D5 Pre-Exemptions</t>
  </si>
  <si>
    <t xml:space="preserve">  Unspecified D5 after Exemptions</t>
  </si>
  <si>
    <t>D5 Production</t>
  </si>
  <si>
    <t>Brazilian Ethanol Imports</t>
  </si>
  <si>
    <t xml:space="preserve">  Unspecified D5 After Exemptions after D5 Production and Ethanol Imports</t>
  </si>
  <si>
    <t xml:space="preserve">  Converted Back to Biodiesel Gallons</t>
  </si>
  <si>
    <t xml:space="preserve">  Unspecified math result (row 22)</t>
  </si>
  <si>
    <t xml:space="preserve">  Ethanol Production</t>
  </si>
  <si>
    <t xml:space="preserve">  Ethanol Mandate</t>
  </si>
  <si>
    <t xml:space="preserve">  Ethanol Gap</t>
  </si>
  <si>
    <t xml:space="preserve">  Additional D4 Production adjusted to biomass-based diesel gallons</t>
  </si>
  <si>
    <t xml:space="preserve">  Total Potential Biomass-Based Diesel Production</t>
  </si>
  <si>
    <t xml:space="preserve">  Predicted Biomass-Based Diesel Production</t>
  </si>
  <si>
    <t xml:space="preserve">  Production needed beyond BBD production</t>
  </si>
  <si>
    <t xml:space="preserve">  Additional D4 production after exemptions and ethanol imports</t>
  </si>
  <si>
    <t>D4 Production with UAB after ethanol imports and D5 production</t>
  </si>
  <si>
    <t xml:space="preserve">  Unspecified D5 after Exemptions and Ethanol Imports</t>
  </si>
  <si>
    <t xml:space="preserve">  Unspecified D5 after Ethanol Imports Adjusted to Biodiesel Gallons</t>
  </si>
  <si>
    <t>D6 Mandate</t>
  </si>
  <si>
    <t xml:space="preserve">  D6 Mandate after Exemptions</t>
  </si>
  <si>
    <t>D7 Mandate</t>
  </si>
  <si>
    <t xml:space="preserve">  D7 Mandate after Exemptions</t>
  </si>
  <si>
    <t>STEO Gasoline Consumption</t>
  </si>
  <si>
    <t xml:space="preserve">  Unspecified D5 </t>
  </si>
  <si>
    <t xml:space="preserve">  D5 Balance for D4 before Exemptions</t>
  </si>
  <si>
    <t xml:space="preserve">  Amount for D4</t>
  </si>
  <si>
    <t xml:space="preserve">  Portion of D5 Production Falling to D4 after Exemptions</t>
  </si>
  <si>
    <t>D4 Mandate + D5</t>
  </si>
  <si>
    <t xml:space="preserve">  D4 Mandate + D5 After Exemptions</t>
  </si>
  <si>
    <t>Actual D4 Consumption</t>
  </si>
  <si>
    <t xml:space="preserve">  Projection - Actual</t>
  </si>
  <si>
    <t xml:space="preserve">  Actual California Biodiesel Production</t>
  </si>
  <si>
    <t xml:space="preserve">  Actual California Renewable Diesel Production</t>
  </si>
  <si>
    <t xml:space="preserve">  Estimated California Co-Processing</t>
  </si>
  <si>
    <t xml:space="preserve">  Total California D4</t>
  </si>
  <si>
    <t>Renewable Diesel Projection</t>
  </si>
  <si>
    <t>RIN BANK BEGINNING BALANCE</t>
  </si>
  <si>
    <t>RIN GENERATION</t>
  </si>
  <si>
    <t xml:space="preserve">  D3</t>
  </si>
  <si>
    <t xml:space="preserve">  D4</t>
  </si>
  <si>
    <t xml:space="preserve">  D5</t>
  </si>
  <si>
    <t xml:space="preserve">  D6</t>
  </si>
  <si>
    <t xml:space="preserve">  D7</t>
  </si>
  <si>
    <t xml:space="preserve">  Errors</t>
  </si>
  <si>
    <t xml:space="preserve">  Others</t>
  </si>
  <si>
    <t>NET RIN GENERATION</t>
  </si>
  <si>
    <t>RIN RETIREMENT</t>
  </si>
  <si>
    <t>RIN SURPLUS</t>
  </si>
  <si>
    <t xml:space="preserve">  TOTAL AVAILABLE - UNLOCKED</t>
  </si>
  <si>
    <t xml:space="preserve">  TOTAL AVAILABLE - LOCKED</t>
  </si>
  <si>
    <t>RIN BANK ENDING BALANCE</t>
  </si>
  <si>
    <t>RIN CARRYOVER</t>
  </si>
  <si>
    <t>RIN Bank Estimates - EPA</t>
  </si>
  <si>
    <t>Actual RIN Bank - EPA</t>
  </si>
  <si>
    <t>RR CHECK</t>
  </si>
  <si>
    <t>All RINs</t>
  </si>
  <si>
    <t>Assigned</t>
  </si>
  <si>
    <t>Separated</t>
  </si>
  <si>
    <t xml:space="preserve">  Total Available</t>
  </si>
  <si>
    <t xml:space="preserve">  Total Locked</t>
  </si>
  <si>
    <t xml:space="preserve">  Total Retired</t>
  </si>
  <si>
    <t>Generation</t>
  </si>
  <si>
    <t>Retired</t>
  </si>
  <si>
    <t>Available</t>
  </si>
  <si>
    <t>Unadjusted RIN Bank</t>
  </si>
  <si>
    <t>Adjusted RIN Bank</t>
  </si>
  <si>
    <t>CARRYOVER RINS BY FUEL CODE</t>
  </si>
  <si>
    <t>CARRYOVER RINS BY MANDATE GROUP</t>
  </si>
  <si>
    <t xml:space="preserve">  Cellulosic Biofuel</t>
  </si>
  <si>
    <t xml:space="preserve">  Biomass-Based Diesel</t>
  </si>
  <si>
    <t xml:space="preserve">  Advanced Biofuel</t>
  </si>
  <si>
    <t xml:space="preserve">  Total Renewable Fuel</t>
  </si>
  <si>
    <t>COMPLIANCE DEFICITS (gallons)</t>
  </si>
  <si>
    <t>NET CARRYOVER RINS</t>
  </si>
  <si>
    <t>CARRYOVER LIMIT</t>
  </si>
  <si>
    <t>AVAILABLE RINS</t>
  </si>
  <si>
    <t>D3 + D7</t>
  </si>
  <si>
    <t>D4 + D7</t>
  </si>
  <si>
    <t>D3 + D4 + D5 + D7</t>
  </si>
  <si>
    <t>Total Renewable Fuel</t>
  </si>
  <si>
    <t>All D Codes</t>
  </si>
  <si>
    <t xml:space="preserve">  Settlements</t>
  </si>
  <si>
    <t>RIN SURPLUS ex SREs</t>
  </si>
  <si>
    <t>RIN RETIREMENTS FOR ANNUAL COMPLIANCE CURRENT RIN YEAR</t>
  </si>
  <si>
    <t>RIN RETIREMENTS FOR ANNUAL COMPLIANCE PRIOR RIN YEAR - (RIN Generation Year)</t>
  </si>
  <si>
    <t>RIN Retirements - Annual Compliance</t>
  </si>
  <si>
    <t xml:space="preserve">  Importers</t>
  </si>
  <si>
    <t xml:space="preserve">  Refiners</t>
  </si>
  <si>
    <t xml:space="preserve">  Exporters</t>
  </si>
  <si>
    <t>Data from RIN Retirements for Annual Compliance Table - EPA Site</t>
  </si>
  <si>
    <t>RIN Retirements - Errors</t>
  </si>
  <si>
    <t xml:space="preserve">  Import Volume Correction</t>
  </si>
  <si>
    <t xml:space="preserve">  Invalid RIN</t>
  </si>
  <si>
    <t xml:space="preserve">  Volume Error Correction</t>
  </si>
  <si>
    <t>RIN Retirements - Other</t>
  </si>
  <si>
    <t xml:space="preserve">  Reported Spill</t>
  </si>
  <si>
    <t xml:space="preserve">  Contaminated or Spoiled Fuel</t>
  </si>
  <si>
    <t xml:space="preserve">  Renewable Fuel Used in an Ocean Going Vessel</t>
  </si>
  <si>
    <t xml:space="preserve">  Enforcement Obligation</t>
  </si>
  <si>
    <t xml:space="preserve">  RF Used or Designated in Application Not Transportation Fuel, Heating Oil, or Jet Fuel</t>
  </si>
  <si>
    <t xml:space="preserve">  Feedstock using renewable fuel with RINs</t>
  </si>
  <si>
    <t xml:space="preserve">  Remedial Action - Retirement Pursuant 80.1431§(c)</t>
  </si>
  <si>
    <t xml:space="preserve">  Remedial Action - Retire for Compliance</t>
  </si>
  <si>
    <t xml:space="preserve">  Remediation of Invalid RIN Use for Compliance</t>
  </si>
  <si>
    <t xml:space="preserve">  Voluntary RIN Retirement</t>
  </si>
  <si>
    <t xml:space="preserve">  Delayed RIN Retire per 40CFR 80.1426§(g)(3) only</t>
  </si>
  <si>
    <t>Annual Compliance from RIN Retirement Table</t>
  </si>
  <si>
    <t>Importer</t>
  </si>
  <si>
    <t>Refiner</t>
  </si>
  <si>
    <t>Exporter</t>
  </si>
  <si>
    <t xml:space="preserve">  Other</t>
  </si>
  <si>
    <t xml:space="preserve">    Enforcement Obligation</t>
  </si>
  <si>
    <t xml:space="preserve">    Invalid RIN</t>
  </si>
  <si>
    <t xml:space="preserve">    Remedial Action - Retire for Compliance</t>
  </si>
  <si>
    <t xml:space="preserve">    Remedial action - Retirement pursuant to 80.1431(c)</t>
  </si>
  <si>
    <t xml:space="preserve">    Renewable fuel used or designated to be used in any application that is not transportation fuel, heating oil, or jet fuel</t>
  </si>
  <si>
    <t xml:space="preserve">    Volume error correction</t>
  </si>
  <si>
    <t xml:space="preserve">    Voluntary RIN Retirement</t>
  </si>
  <si>
    <t>2020 Small Refinery Alternative Compliance</t>
  </si>
  <si>
    <t xml:space="preserve">    Contaminated or spoiled fuel</t>
  </si>
  <si>
    <t xml:space="preserve">    Feedstock using renewable fuel with RINs</t>
  </si>
  <si>
    <t xml:space="preserve">    Import volume correction</t>
  </si>
  <si>
    <t xml:space="preserve">    Remediation of Invalid RIN Use for Compliance</t>
  </si>
  <si>
    <t xml:space="preserve">    Renewable fuel used in an ocean-going vessel</t>
  </si>
  <si>
    <t xml:space="preserve">    Reported spill</t>
  </si>
  <si>
    <t>.</t>
  </si>
  <si>
    <t xml:space="preserve">    Delayed RIN Retire per 40CFR 80.1426(g)(3) only</t>
  </si>
  <si>
    <t xml:space="preserve">  Assigned</t>
  </si>
  <si>
    <t xml:space="preserve">  Separated</t>
  </si>
  <si>
    <t>Check versus Retirement Data</t>
  </si>
  <si>
    <t xml:space="preserve">  Other Reasons</t>
  </si>
  <si>
    <t xml:space="preserve">  Compliance</t>
  </si>
  <si>
    <t>BIODIESEL</t>
  </si>
  <si>
    <t>(million gallons)</t>
  </si>
  <si>
    <t>BEGINNING STOCKS</t>
  </si>
  <si>
    <t>PRODUCTION</t>
  </si>
  <si>
    <t>IMPORTS</t>
  </si>
  <si>
    <t xml:space="preserve">  TOTAL SUPPLY</t>
  </si>
  <si>
    <t>DOMESTIC USE</t>
  </si>
  <si>
    <t>EXPORTS</t>
  </si>
  <si>
    <t xml:space="preserve">  TOTAL USE</t>
  </si>
  <si>
    <t>ENDING STOCKS</t>
  </si>
  <si>
    <t>RENEWABLE DIESEL</t>
  </si>
  <si>
    <t>EMTS PRODUCTION DATA</t>
  </si>
  <si>
    <t xml:space="preserve">BIODIESEL </t>
  </si>
  <si>
    <t>EMTS IMPORT DATA</t>
  </si>
  <si>
    <t xml:space="preserve">  D4 - FOREIGN GENERATION</t>
  </si>
  <si>
    <t xml:space="preserve">  D4 - IMPORTER</t>
  </si>
  <si>
    <t xml:space="preserve">  D6 - IMPORTER</t>
  </si>
  <si>
    <t xml:space="preserve">  D5 - IMPORTER</t>
  </si>
  <si>
    <t xml:space="preserve">  D6 - FOREIGN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</si>
</sst>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000"/>
    <numFmt numFmtId="166" formatCode="_(* #,##0_);_(* \(#,##0\);_(* &quot;-&quot;??_);_(@_)"/>
    <numFmt numFmtId="167" formatCode="#,##0.000"/>
    <numFmt numFmtId="168" formatCode="0.000"/>
  </numFmts>
  <fonts count="73">
    <font>
      <sz val="11"/>
      <color theme="1"/>
      <name val="Aptos Narrow"/>
      <family val="2"/>
      <scheme val="minor"/>
    </font>
    <font>
      <sz val="11"/>
      <color theme="1"/>
      <name val="Aptos Narrow"/>
      <family val="2"/>
      <scheme val="minor"/>
    </font>
    <font>
      <b/>
      <sz val="14"/>
      <color theme="1"/>
      <name val="Arial Narrow"/>
      <family val="2"/>
    </font>
    <font>
      <sz val="10"/>
      <color theme="1"/>
      <name val="Arial Narrow"/>
      <family val="2"/>
    </font>
    <font>
      <b/>
      <sz val="10"/>
      <color theme="1"/>
      <name val="Arial Narrow"/>
      <family val="2"/>
    </font>
    <font>
      <sz val="10"/>
      <name val="Arial Narrow"/>
      <family val="2"/>
    </font>
    <font>
      <b/>
      <sz val="10"/>
      <name val="Arial Narrow"/>
      <family val="2"/>
    </font>
    <font>
      <b/>
      <sz val="16"/>
      <color rgb="FF6F0791"/>
      <name val="Aptos Display"/>
      <family val="2"/>
    </font>
    <font>
      <sz val="10"/>
      <color theme="1"/>
      <name val="Aptos Display"/>
      <family val="2"/>
    </font>
    <font>
      <b/>
      <sz val="10"/>
      <color theme="1"/>
      <name val="Aptos Display"/>
      <family val="2"/>
    </font>
    <font>
      <sz val="12"/>
      <color theme="1"/>
      <name val="Aptos Narrow"/>
      <family val="2"/>
      <scheme val="minor"/>
    </font>
    <font>
      <sz val="12"/>
      <color theme="0"/>
      <name val="Aptos Narrow"/>
      <family val="2"/>
      <scheme val="minor"/>
    </font>
    <font>
      <sz val="12"/>
      <color rgb="FFFF0000"/>
      <name val="Aptos Narrow"/>
      <family val="2"/>
      <scheme val="minor"/>
    </font>
    <font>
      <b/>
      <sz val="14"/>
      <color theme="1"/>
      <name val="Verdana"/>
      <family val="2"/>
    </font>
    <font>
      <b/>
      <sz val="14"/>
      <color theme="1"/>
      <name val="Times New Roman"/>
      <family val="1"/>
    </font>
    <font>
      <sz val="12"/>
      <color theme="1"/>
      <name val="Times New Roman"/>
      <family val="1"/>
    </font>
    <font>
      <b/>
      <sz val="12"/>
      <color theme="1"/>
      <name val="Times New Roman"/>
      <family val="1"/>
    </font>
    <font>
      <b/>
      <sz val="12"/>
      <color rgb="FF000000"/>
      <name val="Arial"/>
      <family val="2"/>
    </font>
    <font>
      <sz val="12"/>
      <color rgb="FF000000"/>
      <name val="Arial"/>
      <family val="2"/>
    </font>
    <font>
      <sz val="9"/>
      <color theme="1"/>
      <name val="Melior"/>
    </font>
    <font>
      <sz val="16"/>
      <color theme="1"/>
      <name val="Aptos Narrow"/>
      <family val="2"/>
      <scheme val="minor"/>
    </font>
    <font>
      <sz val="12"/>
      <color theme="1"/>
      <name val="GoudyStd"/>
    </font>
    <font>
      <u/>
      <sz val="12"/>
      <color theme="10"/>
      <name val="Aptos Narrow"/>
      <family val="2"/>
      <scheme val="minor"/>
    </font>
    <font>
      <u/>
      <sz val="16"/>
      <color theme="10"/>
      <name val="Aptos Narrow"/>
      <family val="2"/>
      <scheme val="minor"/>
    </font>
    <font>
      <sz val="10"/>
      <color theme="1"/>
      <name val="Times"/>
      <family val="1"/>
    </font>
    <font>
      <sz val="14"/>
      <color theme="1"/>
      <name val="Times"/>
      <family val="1"/>
    </font>
    <font>
      <sz val="13"/>
      <color theme="1"/>
      <name val="Times"/>
      <family val="1"/>
    </font>
    <font>
      <b/>
      <sz val="12"/>
      <color theme="1"/>
      <name val="Aptos Narrow"/>
      <family val="2"/>
      <scheme val="minor"/>
    </font>
    <font>
      <sz val="11"/>
      <color theme="1"/>
      <name val="TimesNewRomanPSMT"/>
    </font>
    <font>
      <sz val="12"/>
      <color theme="1"/>
      <name val="Times"/>
      <family val="1"/>
    </font>
    <font>
      <sz val="12"/>
      <color rgb="FF212121"/>
      <name val="Helvetica Neue"/>
      <family val="2"/>
    </font>
    <font>
      <sz val="7"/>
      <color theme="1"/>
      <name val="TimesNewRomanPSMT"/>
    </font>
    <font>
      <i/>
      <sz val="11"/>
      <color theme="1"/>
      <name val="TimesNewRomanPS"/>
    </font>
    <font>
      <sz val="11"/>
      <color rgb="FFFF0000"/>
      <name val="TimesNewRomanPSMT"/>
    </font>
    <font>
      <sz val="11"/>
      <color rgb="FF212121"/>
      <name val="Helvetica Neue"/>
      <family val="2"/>
    </font>
    <font>
      <b/>
      <sz val="16"/>
      <color theme="1"/>
      <name val="Arial"/>
      <family val="2"/>
    </font>
    <font>
      <sz val="10"/>
      <color theme="1"/>
      <name val="Arial"/>
      <family val="2"/>
    </font>
    <font>
      <sz val="14"/>
      <color theme="1"/>
      <name val="Arial"/>
      <family val="2"/>
    </font>
    <font>
      <sz val="11"/>
      <color theme="1"/>
      <name val="Arial"/>
      <family val="2"/>
    </font>
    <font>
      <sz val="12"/>
      <color theme="1"/>
      <name val="Arial"/>
      <family val="2"/>
    </font>
    <font>
      <sz val="9"/>
      <color theme="1"/>
      <name val="Arial"/>
      <family val="2"/>
    </font>
    <font>
      <sz val="8"/>
      <color theme="1"/>
      <name val="Avenir Next LT Pro Demi"/>
      <family val="2"/>
    </font>
    <font>
      <b/>
      <sz val="8"/>
      <color theme="1"/>
      <name val="Avenir Next LT Pro Demi"/>
      <family val="2"/>
    </font>
    <font>
      <sz val="12"/>
      <color theme="1"/>
      <name val="Arial Narrow"/>
      <family val="2"/>
    </font>
    <font>
      <b/>
      <sz val="12"/>
      <color theme="1"/>
      <name val="Arial Narrow"/>
      <family val="2"/>
    </font>
    <font>
      <sz val="11"/>
      <color theme="1"/>
      <name val="Arial Narrow"/>
      <family val="2"/>
    </font>
    <font>
      <b/>
      <sz val="11"/>
      <color theme="1"/>
      <name val="Arial Narrow"/>
      <family val="2"/>
    </font>
    <font>
      <b/>
      <sz val="14"/>
      <color theme="0"/>
      <name val="Arial Narrow"/>
      <family val="2"/>
    </font>
    <font>
      <b/>
      <sz val="12"/>
      <color rgb="FF323232"/>
      <name val="Arial Narrow"/>
      <family val="2"/>
    </font>
    <font>
      <b/>
      <sz val="12"/>
      <name val="Arial Narrow"/>
      <family val="2"/>
    </font>
    <font>
      <b/>
      <sz val="10"/>
      <color rgb="FF6F0791"/>
      <name val="Arial Narrow"/>
      <family val="2"/>
    </font>
    <font>
      <b/>
      <sz val="10"/>
      <color rgb="FF8C8C8C"/>
      <name val="Arial Narrow"/>
      <family val="2"/>
    </font>
    <font>
      <b/>
      <sz val="10"/>
      <color rgb="FFFF0000"/>
      <name val="Arial Narrow"/>
      <family val="2"/>
    </font>
    <font>
      <sz val="10"/>
      <color rgb="FFFF0000"/>
      <name val="Arial Narrow"/>
      <family val="2"/>
    </font>
    <font>
      <b/>
      <sz val="16"/>
      <color theme="0"/>
      <name val="Arial Narrow"/>
      <family val="2"/>
    </font>
    <font>
      <b/>
      <sz val="12"/>
      <color rgb="FF6F0791"/>
      <name val="Arial Narrow"/>
      <family val="2"/>
    </font>
    <font>
      <b/>
      <sz val="12"/>
      <color rgb="FF8C8C8C"/>
      <name val="Arial Narrow"/>
      <family val="2"/>
    </font>
    <font>
      <b/>
      <sz val="8"/>
      <color theme="3" tint="0.249977111117893"/>
      <name val="Avenir Next LT Pro Demi"/>
      <family val="2"/>
    </font>
    <font>
      <sz val="8"/>
      <color theme="3" tint="0.249977111117893"/>
      <name val="Avenir Next LT Pro Demi"/>
      <family val="2"/>
    </font>
    <font>
      <b/>
      <sz val="14"/>
      <color theme="1"/>
      <name val="Avenir Next LT Pro Demi"/>
      <family val="2"/>
    </font>
    <font>
      <sz val="11"/>
      <color theme="1"/>
      <name val="Avenir Next LT Pro Demi"/>
      <family val="2"/>
    </font>
    <font>
      <sz val="10"/>
      <color theme="1"/>
      <name val="Avenir Next LT Pro Demi"/>
      <family val="2"/>
    </font>
    <font>
      <sz val="11"/>
      <color theme="3" tint="0.249977111117893"/>
      <name val="Avenir Next LT Pro Demi"/>
      <family val="2"/>
    </font>
    <font>
      <sz val="11"/>
      <name val="Avenir Next LT Pro Demi"/>
      <family val="2"/>
    </font>
    <font>
      <sz val="10"/>
      <color theme="0"/>
      <name val="Avenir Next LT Pro Demi"/>
      <family val="2"/>
    </font>
    <font>
      <b/>
      <sz val="10"/>
      <color theme="1"/>
      <name val="Avenir Next LT Pro Demi"/>
      <family val="2"/>
    </font>
    <font>
      <sz val="10"/>
      <name val="Avenir Next LT Pro Demi"/>
      <family val="2"/>
    </font>
    <font>
      <b/>
      <sz val="10"/>
      <color theme="4"/>
      <name val="Avenir Next LT Pro Demi"/>
      <family val="2"/>
    </font>
    <font>
      <b/>
      <sz val="10"/>
      <color rgb="FFC00000"/>
      <name val="Avenir Next LT Pro Demi"/>
      <family val="2"/>
    </font>
    <font>
      <b/>
      <sz val="10"/>
      <color theme="3" tint="0.249977111117893"/>
      <name val="Avenir Next LT Pro Demi"/>
      <family val="2"/>
    </font>
    <font>
      <sz val="10"/>
      <color theme="3" tint="0.499984740745262"/>
      <name val="Avenir Next LT Pro Demi"/>
      <family val="2"/>
    </font>
    <font>
      <b/>
      <sz val="10"/>
      <color theme="3" tint="0.499984740745262"/>
      <name val="Avenir Next LT Pro Demi"/>
      <family val="2"/>
    </font>
    <font>
      <sz val="10"/>
      <color theme="3" tint="0.249977111117893"/>
      <name val="Avenir Next LT Pro Demi"/>
      <family val="2"/>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C0000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C000"/>
        <bgColor indexed="64"/>
      </patternFill>
    </fill>
    <fill>
      <patternFill patternType="solid">
        <fgColor rgb="FF8C8C8C"/>
        <bgColor indexed="64"/>
      </patternFill>
    </fill>
  </fills>
  <borders count="30">
    <border>
      <left/>
      <right/>
      <top/>
      <bottom/>
      <diagonal/>
    </border>
    <border>
      <left style="thin">
        <color rgb="FF6F0791"/>
      </left>
      <right style="thin">
        <color rgb="FF6F0791"/>
      </right>
      <top/>
      <bottom/>
      <diagonal/>
    </border>
    <border>
      <left/>
      <right style="thin">
        <color rgb="FF6F079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right/>
      <top/>
      <bottom style="thin">
        <color auto="1"/>
      </bottom>
      <diagonal/>
    </border>
    <border>
      <left/>
      <right/>
      <top style="medium">
        <color rgb="FF8C8C8C"/>
      </top>
      <bottom style="medium">
        <color rgb="FF8C8C8C"/>
      </bottom>
      <diagonal/>
    </border>
    <border>
      <left/>
      <right style="thin">
        <color rgb="FF6F0791"/>
      </right>
      <top style="medium">
        <color rgb="FF8C8C8C"/>
      </top>
      <bottom style="medium">
        <color rgb="FF8C8C8C"/>
      </bottom>
      <diagonal/>
    </border>
    <border>
      <left style="thin">
        <color rgb="FF6F0791"/>
      </left>
      <right style="thin">
        <color rgb="FF6F0791"/>
      </right>
      <top style="medium">
        <color rgb="FF8C8C8C"/>
      </top>
      <bottom style="medium">
        <color rgb="FF8C8C8C"/>
      </bottom>
      <diagonal/>
    </border>
    <border>
      <left/>
      <right/>
      <top style="medium">
        <color rgb="FF8C8C8C"/>
      </top>
      <bottom/>
      <diagonal/>
    </border>
    <border>
      <left/>
      <right style="medium">
        <color rgb="FF8C8C8C"/>
      </right>
      <top style="medium">
        <color rgb="FF8C8C8C"/>
      </top>
      <bottom/>
      <diagonal/>
    </border>
    <border>
      <left/>
      <right style="medium">
        <color rgb="FF8C8C8C"/>
      </right>
      <top/>
      <bottom/>
      <diagonal/>
    </border>
    <border>
      <left/>
      <right style="medium">
        <color rgb="FF8C8C8C"/>
      </right>
      <top style="thin">
        <color rgb="FF8C8C8C"/>
      </top>
      <bottom/>
      <diagonal/>
    </border>
    <border>
      <left/>
      <right/>
      <top style="thin">
        <color rgb="FF8C8C8C"/>
      </top>
      <bottom/>
      <diagonal/>
    </border>
    <border>
      <left/>
      <right style="medium">
        <color rgb="FF8C8C8C"/>
      </right>
      <top/>
      <bottom style="medium">
        <color rgb="FF8C8C8C"/>
      </bottom>
      <diagonal/>
    </border>
    <border>
      <left/>
      <right/>
      <top/>
      <bottom style="medium">
        <color rgb="FF8C8C8C"/>
      </bottom>
      <diagonal/>
    </border>
    <border>
      <left/>
      <right style="medium">
        <color rgb="FF8C8C8C"/>
      </right>
      <top style="thin">
        <color rgb="FF6F0791"/>
      </top>
      <bottom/>
      <diagonal/>
    </border>
    <border>
      <left/>
      <right/>
      <top style="thin">
        <color rgb="FF6F0791"/>
      </top>
      <bottom/>
      <diagonal/>
    </border>
    <border>
      <left/>
      <right/>
      <top style="medium">
        <color rgb="FF38A86F"/>
      </top>
      <bottom/>
      <diagonal/>
    </border>
    <border>
      <left style="thin">
        <color rgb="FF38A86F"/>
      </left>
      <right style="thin">
        <color rgb="FF38A86F"/>
      </right>
      <top/>
      <bottom/>
      <diagonal/>
    </border>
    <border>
      <left style="thin">
        <color rgb="FF38A86F"/>
      </left>
      <right style="thin">
        <color rgb="FF38A86F"/>
      </right>
      <top style="medium">
        <color rgb="FF38A86F"/>
      </top>
      <bottom/>
      <diagonal/>
    </border>
    <border>
      <left/>
      <right style="thin">
        <color rgb="FF38A86F"/>
      </right>
      <top style="medium">
        <color rgb="FF38A86F"/>
      </top>
      <bottom/>
      <diagonal/>
    </border>
  </borders>
  <cellStyleXfs count="7">
    <xf numFmtId="0" fontId="0" fillId="0" borderId="0"/>
    <xf numFmtId="9" fontId="1" fillId="0" borderId="0" applyFont="0" applyFill="0" applyBorder="0" applyAlignment="0" applyProtection="0"/>
    <xf numFmtId="0" fontId="10" fillId="0" borderId="0"/>
    <xf numFmtId="43" fontId="10" fillId="0" borderId="0" applyFont="0" applyFill="0" applyBorder="0" applyAlignment="0" applyProtection="0"/>
    <xf numFmtId="9" fontId="10" fillId="0" borderId="0" applyFont="0" applyFill="0" applyBorder="0" applyAlignment="0" applyProtection="0"/>
    <xf numFmtId="0" fontId="22" fillId="0" borderId="0" applyNumberFormat="0" applyFill="0" applyBorder="0" applyAlignment="0" applyProtection="0"/>
    <xf numFmtId="0" fontId="3" fillId="0" borderId="0"/>
  </cellStyleXfs>
  <cellXfs count="236">
    <xf numFmtId="0" fontId="0" fillId="0" borderId="0" xfId="0"/>
    <xf numFmtId="0" fontId="3" fillId="0" borderId="0" xfId="0" applyFont="1"/>
    <xf numFmtId="38" fontId="3" fillId="0" borderId="0" xfId="0" applyNumberFormat="1" applyFont="1"/>
    <xf numFmtId="38" fontId="4" fillId="0" borderId="0" xfId="0" applyNumberFormat="1" applyFont="1"/>
    <xf numFmtId="38" fontId="6" fillId="0" borderId="0" xfId="0" applyNumberFormat="1" applyFont="1"/>
    <xf numFmtId="38" fontId="5" fillId="0" borderId="0" xfId="0" applyNumberFormat="1" applyFont="1"/>
    <xf numFmtId="3" fontId="3" fillId="0" borderId="0" xfId="0" applyNumberFormat="1" applyFont="1"/>
    <xf numFmtId="0" fontId="7" fillId="0" borderId="0" xfId="0" applyFont="1"/>
    <xf numFmtId="0" fontId="8" fillId="0" borderId="0" xfId="0" applyFont="1"/>
    <xf numFmtId="0" fontId="8" fillId="0" borderId="0" xfId="0" applyFont="1" applyAlignment="1">
      <alignment horizontal="right"/>
    </xf>
    <xf numFmtId="38" fontId="8" fillId="0" borderId="0" xfId="0" applyNumberFormat="1" applyFont="1"/>
    <xf numFmtId="0" fontId="9" fillId="0" borderId="0" xfId="0" applyFont="1" applyAlignment="1">
      <alignment horizontal="right"/>
    </xf>
    <xf numFmtId="0" fontId="9" fillId="0" borderId="0" xfId="0" applyFont="1"/>
    <xf numFmtId="10" fontId="8" fillId="0" borderId="0" xfId="1" applyNumberFormat="1" applyFont="1"/>
    <xf numFmtId="10" fontId="8" fillId="0" borderId="0" xfId="1" applyNumberFormat="1" applyFont="1" applyAlignment="1">
      <alignment horizontal="right"/>
    </xf>
    <xf numFmtId="10" fontId="8" fillId="0" borderId="0" xfId="0" applyNumberFormat="1" applyFont="1"/>
    <xf numFmtId="10" fontId="8" fillId="0" borderId="0" xfId="0" applyNumberFormat="1" applyFont="1" applyAlignment="1">
      <alignment horizontal="right"/>
    </xf>
    <xf numFmtId="10" fontId="9" fillId="0" borderId="0" xfId="1" applyNumberFormat="1" applyFont="1"/>
    <xf numFmtId="0" fontId="10" fillId="0" borderId="0" xfId="2"/>
    <xf numFmtId="0" fontId="10" fillId="5" borderId="0" xfId="2" applyFill="1"/>
    <xf numFmtId="43" fontId="0" fillId="0" borderId="0" xfId="3" applyFont="1"/>
    <xf numFmtId="43" fontId="10" fillId="0" borderId="0" xfId="2" applyNumberFormat="1"/>
    <xf numFmtId="0" fontId="12" fillId="0" borderId="0" xfId="2" applyFont="1"/>
    <xf numFmtId="0" fontId="12" fillId="5" borderId="0" xfId="2" applyFont="1" applyFill="1"/>
    <xf numFmtId="0" fontId="10" fillId="0" borderId="0" xfId="2" applyAlignment="1">
      <alignment horizontal="center"/>
    </xf>
    <xf numFmtId="10" fontId="0" fillId="0" borderId="0" xfId="4" applyNumberFormat="1" applyFont="1"/>
    <xf numFmtId="10" fontId="0" fillId="5" borderId="0" xfId="4" applyNumberFormat="1" applyFont="1" applyFill="1"/>
    <xf numFmtId="165" fontId="10" fillId="0" borderId="0" xfId="2" applyNumberFormat="1"/>
    <xf numFmtId="1" fontId="10" fillId="0" borderId="0" xfId="2" applyNumberFormat="1"/>
    <xf numFmtId="166" fontId="0" fillId="0" borderId="0" xfId="3" applyNumberFormat="1" applyFont="1"/>
    <xf numFmtId="4" fontId="10" fillId="0" borderId="0" xfId="2" applyNumberFormat="1"/>
    <xf numFmtId="0" fontId="10" fillId="0" borderId="6" xfId="2" applyBorder="1" applyAlignment="1">
      <alignment horizontal="center"/>
    </xf>
    <xf numFmtId="2" fontId="0" fillId="0" borderId="7" xfId="3" applyNumberFormat="1" applyFont="1" applyBorder="1" applyAlignment="1">
      <alignment horizontal="center"/>
    </xf>
    <xf numFmtId="2" fontId="0" fillId="0" borderId="6" xfId="3" applyNumberFormat="1" applyFont="1" applyBorder="1" applyAlignment="1">
      <alignment horizontal="center"/>
    </xf>
    <xf numFmtId="0" fontId="10" fillId="0" borderId="8" xfId="2" applyBorder="1" applyAlignment="1">
      <alignment horizontal="center"/>
    </xf>
    <xf numFmtId="2" fontId="0" fillId="0" borderId="9" xfId="3" applyNumberFormat="1" applyFont="1" applyBorder="1" applyAlignment="1">
      <alignment horizontal="center"/>
    </xf>
    <xf numFmtId="2" fontId="0" fillId="0" borderId="8" xfId="3" applyNumberFormat="1" applyFont="1" applyBorder="1" applyAlignment="1">
      <alignment horizontal="center"/>
    </xf>
    <xf numFmtId="0" fontId="10" fillId="0" borderId="0" xfId="2" applyAlignment="1">
      <alignment horizontal="right"/>
    </xf>
    <xf numFmtId="9" fontId="0" fillId="0" borderId="0" xfId="4" applyFont="1"/>
    <xf numFmtId="9" fontId="10" fillId="0" borderId="0" xfId="2" applyNumberFormat="1"/>
    <xf numFmtId="0" fontId="10" fillId="0" borderId="7" xfId="2" applyBorder="1" applyAlignment="1">
      <alignment horizontal="center"/>
    </xf>
    <xf numFmtId="9" fontId="0" fillId="0" borderId="0" xfId="4" applyFont="1" applyAlignment="1">
      <alignment horizontal="center"/>
    </xf>
    <xf numFmtId="0" fontId="10" fillId="0" borderId="10" xfId="2" applyBorder="1"/>
    <xf numFmtId="0" fontId="10" fillId="0" borderId="11" xfId="2" applyBorder="1" applyAlignment="1">
      <alignment horizontal="center"/>
    </xf>
    <xf numFmtId="0" fontId="10" fillId="0" borderId="12" xfId="2" applyBorder="1" applyAlignment="1">
      <alignment horizontal="center"/>
    </xf>
    <xf numFmtId="0" fontId="10" fillId="0" borderId="8" xfId="2" applyBorder="1"/>
    <xf numFmtId="0" fontId="10" fillId="0" borderId="9" xfId="2" applyBorder="1"/>
    <xf numFmtId="0" fontId="10" fillId="0" borderId="13" xfId="2" applyBorder="1"/>
    <xf numFmtId="0" fontId="10" fillId="0" borderId="6" xfId="2" applyBorder="1"/>
    <xf numFmtId="0" fontId="10" fillId="0" borderId="7" xfId="2" applyBorder="1"/>
    <xf numFmtId="0" fontId="10" fillId="0" borderId="3" xfId="2" applyBorder="1"/>
    <xf numFmtId="2" fontId="10" fillId="6" borderId="4" xfId="2" applyNumberFormat="1" applyFill="1" applyBorder="1"/>
    <xf numFmtId="0" fontId="10" fillId="6" borderId="5" xfId="2" applyFill="1" applyBorder="1"/>
    <xf numFmtId="14" fontId="13" fillId="0" borderId="0" xfId="2" applyNumberFormat="1" applyFont="1" applyAlignment="1">
      <alignment vertical="center"/>
    </xf>
    <xf numFmtId="0" fontId="14" fillId="0" borderId="0" xfId="2" applyFont="1" applyAlignment="1">
      <alignment vertical="center"/>
    </xf>
    <xf numFmtId="0" fontId="16" fillId="0" borderId="0" xfId="2" applyFont="1" applyAlignment="1">
      <alignment vertical="center" wrapText="1"/>
    </xf>
    <xf numFmtId="4" fontId="16" fillId="0" borderId="0" xfId="2" applyNumberFormat="1" applyFont="1" applyAlignment="1">
      <alignment horizontal="center" vertical="center" wrapText="1"/>
    </xf>
    <xf numFmtId="167" fontId="16" fillId="0" borderId="0" xfId="2" applyNumberFormat="1" applyFont="1" applyAlignment="1">
      <alignment vertical="center" wrapText="1"/>
    </xf>
    <xf numFmtId="0" fontId="10" fillId="7" borderId="0" xfId="2" applyFill="1"/>
    <xf numFmtId="167" fontId="16" fillId="0" borderId="0" xfId="2" applyNumberFormat="1" applyFont="1" applyAlignment="1">
      <alignment horizontal="center" vertical="center" wrapText="1"/>
    </xf>
    <xf numFmtId="14" fontId="10" fillId="7" borderId="0" xfId="2" applyNumberFormat="1" applyFill="1"/>
    <xf numFmtId="167" fontId="10" fillId="0" borderId="0" xfId="2" applyNumberFormat="1"/>
    <xf numFmtId="0" fontId="17" fillId="0" borderId="0" xfId="2" applyFont="1"/>
    <xf numFmtId="0" fontId="18" fillId="0" borderId="0" xfId="2" applyFont="1"/>
    <xf numFmtId="0" fontId="19" fillId="0" borderId="0" xfId="2" applyFont="1"/>
    <xf numFmtId="0" fontId="21" fillId="0" borderId="0" xfId="2" applyFont="1"/>
    <xf numFmtId="14" fontId="10" fillId="0" borderId="0" xfId="2" applyNumberFormat="1"/>
    <xf numFmtId="0" fontId="23" fillId="0" borderId="0" xfId="5" applyFont="1"/>
    <xf numFmtId="0" fontId="22" fillId="0" borderId="0" xfId="5"/>
    <xf numFmtId="0" fontId="24" fillId="0" borderId="0" xfId="2" applyFont="1"/>
    <xf numFmtId="0" fontId="27" fillId="0" borderId="0" xfId="2" applyFont="1" applyAlignment="1">
      <alignment vertical="center" wrapText="1"/>
    </xf>
    <xf numFmtId="10" fontId="16" fillId="0" borderId="0" xfId="4" applyNumberFormat="1" applyFont="1" applyFill="1" applyBorder="1" applyAlignment="1">
      <alignment vertical="center" wrapText="1"/>
    </xf>
    <xf numFmtId="0" fontId="28" fillId="0" borderId="0" xfId="2" applyFont="1" applyAlignment="1">
      <alignment horizontal="left" indent="1"/>
    </xf>
    <xf numFmtId="4" fontId="16" fillId="0" borderId="0" xfId="2" applyNumberFormat="1" applyFont="1" applyAlignment="1">
      <alignment vertical="center" wrapText="1"/>
    </xf>
    <xf numFmtId="0" fontId="10" fillId="2" borderId="0" xfId="2" applyFill="1"/>
    <xf numFmtId="0" fontId="30" fillId="0" borderId="0" xfId="2" applyFont="1" applyAlignment="1">
      <alignment horizontal="center"/>
    </xf>
    <xf numFmtId="0" fontId="30" fillId="0" borderId="0" xfId="2" applyFont="1"/>
    <xf numFmtId="164" fontId="0" fillId="0" borderId="0" xfId="4" applyNumberFormat="1" applyFont="1"/>
    <xf numFmtId="9" fontId="10" fillId="0" borderId="0" xfId="2" applyNumberFormat="1" applyAlignment="1">
      <alignment horizontal="center"/>
    </xf>
    <xf numFmtId="0" fontId="10" fillId="0" borderId="0" xfId="2" applyAlignment="1">
      <alignment horizontal="center" vertical="center"/>
    </xf>
    <xf numFmtId="0" fontId="30" fillId="6" borderId="0" xfId="2" applyFont="1" applyFill="1"/>
    <xf numFmtId="0" fontId="30" fillId="6" borderId="0" xfId="2" applyFont="1" applyFill="1" applyAlignment="1">
      <alignment horizontal="center"/>
    </xf>
    <xf numFmtId="0" fontId="10" fillId="6" borderId="0" xfId="2" applyFill="1"/>
    <xf numFmtId="164" fontId="0" fillId="6" borderId="0" xfId="4" applyNumberFormat="1" applyFont="1" applyFill="1"/>
    <xf numFmtId="0" fontId="10" fillId="6" borderId="0" xfId="2" applyFill="1" applyAlignment="1">
      <alignment horizontal="center" vertical="center"/>
    </xf>
    <xf numFmtId="0" fontId="34" fillId="0" borderId="0" xfId="2" applyFont="1"/>
    <xf numFmtId="2" fontId="10" fillId="6" borderId="0" xfId="2" applyNumberFormat="1" applyFill="1"/>
    <xf numFmtId="0" fontId="3" fillId="2" borderId="0" xfId="6" applyFill="1"/>
    <xf numFmtId="0" fontId="3" fillId="0" borderId="0" xfId="6"/>
    <xf numFmtId="0" fontId="35" fillId="2" borderId="0" xfId="6" applyFont="1" applyFill="1"/>
    <xf numFmtId="0" fontId="36" fillId="2" borderId="0" xfId="6" applyFont="1" applyFill="1"/>
    <xf numFmtId="0" fontId="36" fillId="2" borderId="14" xfId="6" applyFont="1" applyFill="1" applyBorder="1"/>
    <xf numFmtId="0" fontId="37" fillId="2" borderId="15" xfId="6" applyFont="1" applyFill="1" applyBorder="1"/>
    <xf numFmtId="0" fontId="37" fillId="2" borderId="16" xfId="6" applyFont="1" applyFill="1" applyBorder="1"/>
    <xf numFmtId="0" fontId="38" fillId="0" borderId="0" xfId="6" applyFont="1"/>
    <xf numFmtId="0" fontId="37" fillId="2" borderId="0" xfId="6" applyFont="1" applyFill="1"/>
    <xf numFmtId="168" fontId="39" fillId="2" borderId="2" xfId="6" applyNumberFormat="1" applyFont="1" applyFill="1" applyBorder="1"/>
    <xf numFmtId="168" fontId="39" fillId="2" borderId="1" xfId="6" applyNumberFormat="1" applyFont="1" applyFill="1" applyBorder="1"/>
    <xf numFmtId="9" fontId="38" fillId="0" borderId="0" xfId="1" applyFont="1"/>
    <xf numFmtId="2" fontId="38" fillId="0" borderId="0" xfId="6" applyNumberFormat="1" applyFont="1"/>
    <xf numFmtId="168" fontId="39" fillId="2" borderId="1" xfId="6" applyNumberFormat="1" applyFont="1" applyFill="1" applyBorder="1" applyAlignment="1">
      <alignment horizontal="center"/>
    </xf>
    <xf numFmtId="168" fontId="39" fillId="2" borderId="2" xfId="6" applyNumberFormat="1" applyFont="1" applyFill="1" applyBorder="1" applyAlignment="1">
      <alignment horizontal="center"/>
    </xf>
    <xf numFmtId="0" fontId="36" fillId="2" borderId="17" xfId="6" applyFont="1" applyFill="1" applyBorder="1"/>
    <xf numFmtId="0" fontId="40" fillId="2" borderId="0" xfId="6" applyFont="1" applyFill="1"/>
    <xf numFmtId="168" fontId="3" fillId="2" borderId="0" xfId="6" applyNumberFormat="1" applyFill="1"/>
    <xf numFmtId="0" fontId="3" fillId="0" borderId="15" xfId="6" applyBorder="1"/>
    <xf numFmtId="0" fontId="41" fillId="0" borderId="0" xfId="0" applyFont="1"/>
    <xf numFmtId="38" fontId="41" fillId="0" borderId="0" xfId="0" applyNumberFormat="1" applyFont="1"/>
    <xf numFmtId="40" fontId="41" fillId="0" borderId="0" xfId="0" applyNumberFormat="1" applyFont="1"/>
    <xf numFmtId="40" fontId="42" fillId="0" borderId="0" xfId="0" applyNumberFormat="1" applyFont="1"/>
    <xf numFmtId="0" fontId="41" fillId="8" borderId="0" xfId="0" applyFont="1" applyFill="1"/>
    <xf numFmtId="38" fontId="41" fillId="8" borderId="0" xfId="0" applyNumberFormat="1" applyFont="1" applyFill="1"/>
    <xf numFmtId="38" fontId="42" fillId="0" borderId="0" xfId="0" applyNumberFormat="1" applyFont="1"/>
    <xf numFmtId="38" fontId="41" fillId="3" borderId="0" xfId="0" applyNumberFormat="1" applyFont="1" applyFill="1"/>
    <xf numFmtId="0" fontId="42" fillId="0" borderId="0" xfId="0" applyFont="1"/>
    <xf numFmtId="0" fontId="43" fillId="0" borderId="0" xfId="0" applyFont="1"/>
    <xf numFmtId="38" fontId="43" fillId="0" borderId="0" xfId="0" applyNumberFormat="1" applyFont="1"/>
    <xf numFmtId="38" fontId="44" fillId="0" borderId="0" xfId="0" applyNumberFormat="1" applyFont="1"/>
    <xf numFmtId="0" fontId="45" fillId="0" borderId="0" xfId="0" applyFont="1"/>
    <xf numFmtId="38" fontId="45" fillId="0" borderId="0" xfId="0" applyNumberFormat="1" applyFont="1"/>
    <xf numFmtId="9" fontId="45" fillId="0" borderId="0" xfId="1" applyFont="1"/>
    <xf numFmtId="38" fontId="45" fillId="3" borderId="0" xfId="0" applyNumberFormat="1" applyFont="1" applyFill="1"/>
    <xf numFmtId="38" fontId="46" fillId="0" borderId="0" xfId="0" applyNumberFormat="1" applyFont="1"/>
    <xf numFmtId="0" fontId="46" fillId="0" borderId="0" xfId="0" applyFont="1"/>
    <xf numFmtId="0" fontId="47" fillId="9" borderId="0" xfId="0" applyFont="1" applyFill="1"/>
    <xf numFmtId="0" fontId="2" fillId="9" borderId="0" xfId="0" applyFont="1" applyFill="1"/>
    <xf numFmtId="0" fontId="48" fillId="0" borderId="0" xfId="0" applyFont="1" applyAlignment="1">
      <alignment horizontal="center"/>
    </xf>
    <xf numFmtId="0" fontId="44" fillId="0" borderId="0" xfId="0" applyFont="1" applyAlignment="1">
      <alignment horizontal="center"/>
    </xf>
    <xf numFmtId="0" fontId="44" fillId="0" borderId="0" xfId="0" applyFont="1"/>
    <xf numFmtId="38" fontId="48" fillId="0" borderId="0" xfId="0" applyNumberFormat="1" applyFont="1"/>
    <xf numFmtId="38" fontId="49" fillId="0" borderId="0" xfId="0" applyNumberFormat="1" applyFont="1"/>
    <xf numFmtId="0" fontId="3" fillId="0" borderId="18" xfId="0" applyFont="1" applyBorder="1" applyAlignment="1">
      <alignment horizontal="left"/>
    </xf>
    <xf numFmtId="38" fontId="50" fillId="0" borderId="17" xfId="0" applyNumberFormat="1" applyFont="1" applyBorder="1"/>
    <xf numFmtId="38" fontId="50" fillId="0" borderId="0" xfId="0" applyNumberFormat="1" applyFont="1"/>
    <xf numFmtId="0" fontId="3" fillId="0" borderId="19" xfId="0" applyFont="1" applyBorder="1" applyAlignment="1">
      <alignment horizontal="left"/>
    </xf>
    <xf numFmtId="38" fontId="51" fillId="0" borderId="0" xfId="0" applyNumberFormat="1" applyFont="1"/>
    <xf numFmtId="0" fontId="3" fillId="0" borderId="20" xfId="0" applyFont="1" applyBorder="1"/>
    <xf numFmtId="38" fontId="50" fillId="0" borderId="21" xfId="0" applyNumberFormat="1" applyFont="1" applyBorder="1"/>
    <xf numFmtId="0" fontId="3" fillId="0" borderId="19" xfId="0" applyFont="1" applyBorder="1"/>
    <xf numFmtId="0" fontId="3" fillId="0" borderId="22" xfId="0" applyFont="1" applyBorder="1"/>
    <xf numFmtId="38" fontId="3" fillId="0" borderId="23" xfId="0" applyNumberFormat="1" applyFont="1" applyBorder="1"/>
    <xf numFmtId="0" fontId="3" fillId="0" borderId="17" xfId="0" applyFont="1" applyBorder="1"/>
    <xf numFmtId="38" fontId="3" fillId="0" borderId="17" xfId="0" applyNumberFormat="1" applyFont="1" applyBorder="1"/>
    <xf numFmtId="0" fontId="52" fillId="0" borderId="0" xfId="0" applyFont="1"/>
    <xf numFmtId="0" fontId="3" fillId="0" borderId="24" xfId="0" applyFont="1" applyBorder="1"/>
    <xf numFmtId="38" fontId="50" fillId="0" borderId="25" xfId="0" applyNumberFormat="1" applyFont="1" applyBorder="1"/>
    <xf numFmtId="0" fontId="3" fillId="0" borderId="18" xfId="0" applyFont="1" applyBorder="1"/>
    <xf numFmtId="38" fontId="53" fillId="0" borderId="0" xfId="0" applyNumberFormat="1" applyFont="1"/>
    <xf numFmtId="38" fontId="52" fillId="0" borderId="0" xfId="0" applyNumberFormat="1" applyFont="1"/>
    <xf numFmtId="0" fontId="3" fillId="0" borderId="23" xfId="0" applyFont="1" applyBorder="1"/>
    <xf numFmtId="0" fontId="54" fillId="9" borderId="0" xfId="0" applyFont="1" applyFill="1"/>
    <xf numFmtId="38" fontId="55" fillId="0" borderId="0" xfId="0" applyNumberFormat="1" applyFont="1"/>
    <xf numFmtId="38" fontId="56" fillId="0" borderId="0" xfId="0" applyNumberFormat="1" applyFont="1"/>
    <xf numFmtId="0" fontId="53" fillId="0" borderId="0" xfId="0" applyFont="1" applyAlignment="1">
      <alignment horizontal="left" indent="1"/>
    </xf>
    <xf numFmtId="0" fontId="53" fillId="0" borderId="0" xfId="0" applyFont="1"/>
    <xf numFmtId="3" fontId="53" fillId="0" borderId="0" xfId="0" applyNumberFormat="1" applyFont="1"/>
    <xf numFmtId="0" fontId="3" fillId="0" borderId="0" xfId="0" applyFont="1" applyAlignment="1">
      <alignment horizontal="center"/>
    </xf>
    <xf numFmtId="38" fontId="3" fillId="0" borderId="0" xfId="0" applyNumberFormat="1" applyFont="1" applyAlignment="1">
      <alignment horizontal="right"/>
    </xf>
    <xf numFmtId="38" fontId="4" fillId="0" borderId="0" xfId="0" applyNumberFormat="1" applyFont="1" applyAlignment="1">
      <alignment horizontal="right"/>
    </xf>
    <xf numFmtId="38" fontId="57" fillId="0" borderId="0" xfId="0" applyNumberFormat="1" applyFont="1"/>
    <xf numFmtId="40" fontId="57" fillId="0" borderId="0" xfId="0" applyNumberFormat="1" applyFont="1"/>
    <xf numFmtId="38" fontId="58" fillId="0" borderId="0" xfId="0" applyNumberFormat="1" applyFont="1"/>
    <xf numFmtId="38" fontId="58" fillId="8" borderId="0" xfId="0" applyNumberFormat="1" applyFont="1" applyFill="1"/>
    <xf numFmtId="0" fontId="58" fillId="0" borderId="0" xfId="0" applyFont="1"/>
    <xf numFmtId="38" fontId="58" fillId="3" borderId="0" xfId="0" applyNumberFormat="1" applyFont="1" applyFill="1"/>
    <xf numFmtId="0" fontId="59" fillId="2" borderId="0" xfId="0" applyFont="1" applyFill="1"/>
    <xf numFmtId="0" fontId="60" fillId="2" borderId="27" xfId="0" applyFont="1" applyFill="1" applyBorder="1" applyAlignment="1">
      <alignment horizontal="center"/>
    </xf>
    <xf numFmtId="0" fontId="61" fillId="0" borderId="0" xfId="0" applyFont="1"/>
    <xf numFmtId="38" fontId="60" fillId="2" borderId="28" xfId="0" applyNumberFormat="1" applyFont="1" applyFill="1" applyBorder="1" applyAlignment="1">
      <alignment horizontal="center"/>
    </xf>
    <xf numFmtId="0" fontId="60" fillId="2" borderId="28" xfId="0" applyFont="1" applyFill="1" applyBorder="1" applyAlignment="1">
      <alignment horizontal="center"/>
    </xf>
    <xf numFmtId="38" fontId="60" fillId="0" borderId="28" xfId="0" applyNumberFormat="1" applyFont="1" applyBorder="1" applyAlignment="1">
      <alignment horizontal="center"/>
    </xf>
    <xf numFmtId="38" fontId="62" fillId="0" borderId="28" xfId="0" applyNumberFormat="1" applyFont="1" applyBorder="1" applyAlignment="1">
      <alignment horizontal="center"/>
    </xf>
    <xf numFmtId="38" fontId="60" fillId="2" borderId="27" xfId="0" applyNumberFormat="1" applyFont="1" applyFill="1" applyBorder="1" applyAlignment="1">
      <alignment horizontal="center"/>
    </xf>
    <xf numFmtId="38" fontId="60" fillId="0" borderId="27" xfId="0" applyNumberFormat="1" applyFont="1" applyBorder="1" applyAlignment="1">
      <alignment horizontal="center"/>
    </xf>
    <xf numFmtId="38" fontId="63" fillId="2" borderId="27" xfId="0" applyNumberFormat="1" applyFont="1" applyFill="1" applyBorder="1" applyAlignment="1">
      <alignment horizontal="center"/>
    </xf>
    <xf numFmtId="38" fontId="62" fillId="2" borderId="27" xfId="0" applyNumberFormat="1" applyFont="1" applyFill="1" applyBorder="1" applyAlignment="1">
      <alignment horizontal="center"/>
    </xf>
    <xf numFmtId="0" fontId="61" fillId="3" borderId="0" xfId="0" applyFont="1" applyFill="1"/>
    <xf numFmtId="38" fontId="61" fillId="3" borderId="0" xfId="0" applyNumberFormat="1" applyFont="1" applyFill="1"/>
    <xf numFmtId="0" fontId="60" fillId="2" borderId="0" xfId="0" applyFont="1" applyFill="1" applyAlignment="1">
      <alignment horizontal="center"/>
    </xf>
    <xf numFmtId="9" fontId="62" fillId="2" borderId="0" xfId="1" applyFont="1" applyFill="1" applyAlignment="1">
      <alignment horizontal="center"/>
    </xf>
    <xf numFmtId="17" fontId="61" fillId="0" borderId="0" xfId="0" applyNumberFormat="1" applyFont="1" applyAlignment="1">
      <alignment horizontal="right"/>
    </xf>
    <xf numFmtId="0" fontId="64" fillId="2" borderId="0" xfId="0" applyFont="1" applyFill="1"/>
    <xf numFmtId="0" fontId="61" fillId="0" borderId="0" xfId="0" applyFont="1" applyAlignment="1">
      <alignment horizontal="right"/>
    </xf>
    <xf numFmtId="0" fontId="60" fillId="2" borderId="26" xfId="0" applyFont="1" applyFill="1" applyBorder="1" applyAlignment="1">
      <alignment horizontal="center"/>
    </xf>
    <xf numFmtId="38" fontId="62" fillId="0" borderId="26" xfId="0" applyNumberFormat="1" applyFont="1" applyBorder="1" applyAlignment="1">
      <alignment horizontal="center"/>
    </xf>
    <xf numFmtId="38" fontId="62" fillId="2" borderId="0" xfId="0" applyNumberFormat="1" applyFont="1" applyFill="1" applyAlignment="1">
      <alignment horizontal="center"/>
    </xf>
    <xf numFmtId="10" fontId="61" fillId="3" borderId="0" xfId="1" applyNumberFormat="1" applyFont="1" applyFill="1"/>
    <xf numFmtId="38" fontId="61" fillId="2" borderId="0" xfId="0" applyNumberFormat="1" applyFont="1" applyFill="1" applyAlignment="1">
      <alignment horizontal="center"/>
    </xf>
    <xf numFmtId="40" fontId="61" fillId="3" borderId="0" xfId="0" applyNumberFormat="1" applyFont="1" applyFill="1"/>
    <xf numFmtId="38" fontId="61" fillId="0" borderId="0" xfId="0" applyNumberFormat="1" applyFont="1"/>
    <xf numFmtId="10" fontId="61" fillId="0" borderId="0" xfId="1" applyNumberFormat="1" applyFont="1"/>
    <xf numFmtId="10" fontId="65" fillId="0" borderId="0" xfId="1" applyNumberFormat="1" applyFont="1"/>
    <xf numFmtId="10" fontId="66" fillId="0" borderId="0" xfId="1" applyNumberFormat="1" applyFont="1"/>
    <xf numFmtId="10" fontId="65" fillId="0" borderId="0" xfId="1" applyNumberFormat="1" applyFont="1" applyFill="1"/>
    <xf numFmtId="38" fontId="65" fillId="0" borderId="0" xfId="0" applyNumberFormat="1" applyFont="1"/>
    <xf numFmtId="38" fontId="66" fillId="0" borderId="0" xfId="0" applyNumberFormat="1" applyFont="1"/>
    <xf numFmtId="3" fontId="61" fillId="0" borderId="0" xfId="0" applyNumberFormat="1" applyFont="1"/>
    <xf numFmtId="0" fontId="65" fillId="0" borderId="0" xfId="0" applyFont="1"/>
    <xf numFmtId="38" fontId="67" fillId="0" borderId="0" xfId="0" applyNumberFormat="1" applyFont="1"/>
    <xf numFmtId="0" fontId="66" fillId="0" borderId="0" xfId="0" applyFont="1"/>
    <xf numFmtId="164" fontId="61" fillId="0" borderId="0" xfId="1" applyNumberFormat="1" applyFont="1"/>
    <xf numFmtId="38" fontId="65" fillId="3" borderId="0" xfId="0" applyNumberFormat="1" applyFont="1" applyFill="1"/>
    <xf numFmtId="38" fontId="66" fillId="3" borderId="0" xfId="0" applyNumberFormat="1" applyFont="1" applyFill="1"/>
    <xf numFmtId="38" fontId="68" fillId="0" borderId="0" xfId="0" applyNumberFormat="1" applyFont="1"/>
    <xf numFmtId="0" fontId="61" fillId="2" borderId="29" xfId="0" applyFont="1" applyFill="1" applyBorder="1" applyAlignment="1">
      <alignment horizontal="right"/>
    </xf>
    <xf numFmtId="0" fontId="61" fillId="2" borderId="0" xfId="0" applyFont="1" applyFill="1" applyAlignment="1">
      <alignment horizontal="right"/>
    </xf>
    <xf numFmtId="0" fontId="61" fillId="2" borderId="26" xfId="0" applyFont="1" applyFill="1" applyBorder="1" applyAlignment="1">
      <alignment horizontal="right"/>
    </xf>
    <xf numFmtId="38" fontId="69" fillId="0" borderId="0" xfId="0" applyNumberFormat="1" applyFont="1"/>
    <xf numFmtId="9" fontId="60" fillId="2" borderId="27" xfId="1" applyFont="1" applyFill="1" applyBorder="1" applyAlignment="1">
      <alignment horizontal="center"/>
    </xf>
    <xf numFmtId="9" fontId="62" fillId="2" borderId="27" xfId="1" applyFont="1" applyFill="1" applyBorder="1" applyAlignment="1">
      <alignment horizontal="center"/>
    </xf>
    <xf numFmtId="9" fontId="60" fillId="2" borderId="0" xfId="1" applyFont="1" applyFill="1" applyAlignment="1">
      <alignment horizontal="center"/>
    </xf>
    <xf numFmtId="38" fontId="71" fillId="0" borderId="0" xfId="0" applyNumberFormat="1" applyFont="1"/>
    <xf numFmtId="0" fontId="70" fillId="0" borderId="0" xfId="0" applyFont="1"/>
    <xf numFmtId="10" fontId="72" fillId="0" borderId="0" xfId="1" applyNumberFormat="1" applyFont="1"/>
    <xf numFmtId="10" fontId="69" fillId="0" borderId="0" xfId="1" applyNumberFormat="1" applyFont="1"/>
    <xf numFmtId="10" fontId="69" fillId="0" borderId="0" xfId="1" applyNumberFormat="1" applyFont="1" applyFill="1"/>
    <xf numFmtId="38" fontId="72" fillId="0" borderId="0" xfId="0" applyNumberFormat="1" applyFont="1"/>
    <xf numFmtId="0" fontId="72" fillId="0" borderId="0" xfId="0" applyFont="1"/>
    <xf numFmtId="0" fontId="69" fillId="0" borderId="0" xfId="0" applyFont="1"/>
    <xf numFmtId="38" fontId="72" fillId="3" borderId="0" xfId="0" applyNumberFormat="1" applyFont="1" applyFill="1"/>
    <xf numFmtId="38" fontId="69" fillId="3" borderId="0" xfId="0" applyNumberFormat="1" applyFont="1" applyFill="1"/>
    <xf numFmtId="0" fontId="61" fillId="0" borderId="0" xfId="0" applyFont="1" applyAlignment="1">
      <alignment horizontal="right" wrapText="1"/>
    </xf>
    <xf numFmtId="0" fontId="15" fillId="0" borderId="0" xfId="2" applyFont="1" applyAlignment="1">
      <alignment horizontal="left" vertical="center" wrapText="1"/>
    </xf>
    <xf numFmtId="0" fontId="10" fillId="0" borderId="3" xfId="2" applyBorder="1" applyAlignment="1">
      <alignment horizontal="center"/>
    </xf>
    <xf numFmtId="0" fontId="10" fillId="0" borderId="4" xfId="2" applyBorder="1" applyAlignment="1">
      <alignment horizontal="center"/>
    </xf>
    <xf numFmtId="0" fontId="10" fillId="0" borderId="5" xfId="2" applyBorder="1" applyAlignment="1">
      <alignment horizontal="center"/>
    </xf>
    <xf numFmtId="0" fontId="10" fillId="0" borderId="0" xfId="2" applyAlignment="1">
      <alignment horizontal="center" vertical="top" wrapText="1"/>
    </xf>
    <xf numFmtId="0" fontId="11" fillId="4" borderId="0" xfId="2" applyFont="1" applyFill="1" applyAlignment="1">
      <alignment horizontal="center"/>
    </xf>
    <xf numFmtId="0" fontId="10" fillId="0" borderId="0" xfId="2" applyAlignment="1">
      <alignment horizontal="left" wrapText="1"/>
    </xf>
    <xf numFmtId="0" fontId="28" fillId="0" borderId="0" xfId="2" applyFont="1" applyAlignment="1">
      <alignment horizontal="left" wrapText="1"/>
    </xf>
    <xf numFmtId="0" fontId="10" fillId="0" borderId="0" xfId="2" applyAlignment="1">
      <alignment horizontal="center"/>
    </xf>
    <xf numFmtId="0" fontId="10" fillId="0" borderId="0" xfId="2" applyAlignment="1">
      <alignment horizontal="center" wrapText="1"/>
    </xf>
    <xf numFmtId="0" fontId="20" fillId="0" borderId="0" xfId="2" applyFont="1" applyAlignment="1">
      <alignment horizontal="center"/>
    </xf>
    <xf numFmtId="0" fontId="25" fillId="0" borderId="0" xfId="2" applyFont="1" applyAlignment="1">
      <alignment horizontal="left" wrapText="1"/>
    </xf>
    <xf numFmtId="0" fontId="10" fillId="0" borderId="0" xfId="2" applyAlignment="1">
      <alignment horizontal="left" vertical="top" wrapText="1"/>
    </xf>
    <xf numFmtId="0" fontId="29" fillId="0" borderId="0" xfId="2" applyFont="1" applyAlignment="1">
      <alignment horizontal="left" vertical="center" wrapText="1"/>
    </xf>
  </cellXfs>
  <cellStyles count="7">
    <cellStyle name="Comma 2 2" xfId="3" xr:uid="{2C52B354-CBE8-4E84-B4B3-6555B4DED1A0}"/>
    <cellStyle name="Hyperlink" xfId="5" builtinId="8"/>
    <cellStyle name="Normal" xfId="0" builtinId="0"/>
    <cellStyle name="Normal 2" xfId="2" xr:uid="{7D3A510F-56AB-4D76-B5B6-BE74CF520AA1}"/>
    <cellStyle name="Normal 3" xfId="6" xr:uid="{E364538A-0E1E-4CF9-B2A8-8D9FDEEE669F}"/>
    <cellStyle name="Percent" xfId="1" builtinId="5"/>
    <cellStyle name="Percent 2" xfId="4" xr:uid="{8C7D8A44-18FE-43C4-8947-94A706475FEC}"/>
  </cellStyles>
  <dxfs count="0"/>
  <tableStyles count="0" defaultTableStyle="TableStyleMedium2" defaultPivotStyle="PivotStyleLight16"/>
  <colors>
    <mruColors>
      <color rgb="FF38A8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Original RFS Statutory Mandates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'Mandate Levels and Rules'!$R$42</c:f>
              <c:strCache>
                <c:ptCount val="1"/>
                <c:pt idx="0">
                  <c:v>Cellulosic</c:v>
                </c:pt>
              </c:strCache>
            </c:strRef>
          </c:tx>
          <c:spPr>
            <a:solidFill>
              <a:schemeClr val="accent1"/>
            </a:solidFill>
            <a:ln>
              <a:noFill/>
            </a:ln>
            <a:effectLst/>
          </c:spPr>
          <c:invertIfNegative val="0"/>
          <c:cat>
            <c:numRef>
              <c:f>'Mandate Levels and Rules'!$B$50:$B$59</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'Mandate Levels and Rules'!$R$51:$R$59</c:f>
              <c:numCache>
                <c:formatCode>General</c:formatCode>
                <c:ptCount val="9"/>
                <c:pt idx="0">
                  <c:v>1.75</c:v>
                </c:pt>
                <c:pt idx="1">
                  <c:v>3</c:v>
                </c:pt>
                <c:pt idx="2">
                  <c:v>4.25</c:v>
                </c:pt>
                <c:pt idx="3">
                  <c:v>5.5</c:v>
                </c:pt>
                <c:pt idx="4">
                  <c:v>7</c:v>
                </c:pt>
                <c:pt idx="5">
                  <c:v>8.5</c:v>
                </c:pt>
                <c:pt idx="6">
                  <c:v>10.5</c:v>
                </c:pt>
                <c:pt idx="7">
                  <c:v>13.5</c:v>
                </c:pt>
                <c:pt idx="8">
                  <c:v>16</c:v>
                </c:pt>
              </c:numCache>
            </c:numRef>
          </c:val>
          <c:extLst>
            <c:ext xmlns:c16="http://schemas.microsoft.com/office/drawing/2014/chart" uri="{C3380CC4-5D6E-409C-BE32-E72D297353CC}">
              <c16:uniqueId val="{00000000-BF20-49CE-BC3F-EB530D9F39DA}"/>
            </c:ext>
          </c:extLst>
        </c:ser>
        <c:ser>
          <c:idx val="1"/>
          <c:order val="1"/>
          <c:tx>
            <c:strRef>
              <c:f>'Mandate Levels and Rules'!$S$42</c:f>
              <c:strCache>
                <c:ptCount val="1"/>
                <c:pt idx="0">
                  <c:v>BBD*</c:v>
                </c:pt>
              </c:strCache>
            </c:strRef>
          </c:tx>
          <c:spPr>
            <a:solidFill>
              <a:schemeClr val="accent2"/>
            </a:solidFill>
            <a:ln>
              <a:noFill/>
            </a:ln>
            <a:effectLst/>
          </c:spPr>
          <c:invertIfNegative val="0"/>
          <c:cat>
            <c:numRef>
              <c:f>'Mandate Levels and Rules'!$B$50:$B$59</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'Mandate Levels and Rules'!$S$51:$S$59</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1-BF20-49CE-BC3F-EB530D9F39DA}"/>
            </c:ext>
          </c:extLst>
        </c:ser>
        <c:ser>
          <c:idx val="2"/>
          <c:order val="2"/>
          <c:tx>
            <c:strRef>
              <c:f>'Mandate Levels and Rules'!$T$41</c:f>
              <c:strCache>
                <c:ptCount val="1"/>
                <c:pt idx="0">
                  <c:v>Advanced-Non Specified</c:v>
                </c:pt>
              </c:strCache>
            </c:strRef>
          </c:tx>
          <c:spPr>
            <a:solidFill>
              <a:schemeClr val="accent3"/>
            </a:solidFill>
            <a:ln>
              <a:noFill/>
            </a:ln>
            <a:effectLst/>
          </c:spPr>
          <c:invertIfNegative val="0"/>
          <c:cat>
            <c:numRef>
              <c:f>'Mandate Levels and Rules'!$B$50:$B$59</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'Mandate Levels and Rules'!$T$51:$T$59</c:f>
              <c:numCache>
                <c:formatCode>General</c:formatCode>
                <c:ptCount val="9"/>
                <c:pt idx="0">
                  <c:v>1</c:v>
                </c:pt>
                <c:pt idx="1">
                  <c:v>1.5</c:v>
                </c:pt>
                <c:pt idx="2">
                  <c:v>2</c:v>
                </c:pt>
                <c:pt idx="3">
                  <c:v>2.5</c:v>
                </c:pt>
                <c:pt idx="4">
                  <c:v>3</c:v>
                </c:pt>
                <c:pt idx="5">
                  <c:v>3.5</c:v>
                </c:pt>
                <c:pt idx="6">
                  <c:v>3.5</c:v>
                </c:pt>
                <c:pt idx="7">
                  <c:v>3.5</c:v>
                </c:pt>
                <c:pt idx="8">
                  <c:v>4</c:v>
                </c:pt>
              </c:numCache>
            </c:numRef>
          </c:val>
          <c:extLst>
            <c:ext xmlns:c16="http://schemas.microsoft.com/office/drawing/2014/chart" uri="{C3380CC4-5D6E-409C-BE32-E72D297353CC}">
              <c16:uniqueId val="{00000002-BF20-49CE-BC3F-EB530D9F39DA}"/>
            </c:ext>
          </c:extLst>
        </c:ser>
        <c:ser>
          <c:idx val="3"/>
          <c:order val="3"/>
          <c:tx>
            <c:strRef>
              <c:f>'Mandate Levels and Rules'!$U$42</c:f>
              <c:strCache>
                <c:ptCount val="1"/>
                <c:pt idx="0">
                  <c:v>Ethanol</c:v>
                </c:pt>
              </c:strCache>
            </c:strRef>
          </c:tx>
          <c:spPr>
            <a:solidFill>
              <a:schemeClr val="accent4"/>
            </a:solidFill>
            <a:ln>
              <a:noFill/>
            </a:ln>
            <a:effectLst/>
          </c:spPr>
          <c:invertIfNegative val="0"/>
          <c:cat>
            <c:numRef>
              <c:f>'Mandate Levels and Rules'!$B$50:$B$59</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'Mandate Levels and Rules'!$U$51:$U$59</c:f>
              <c:numCache>
                <c:formatCode>General</c:formatCode>
                <c:ptCount val="9"/>
                <c:pt idx="0">
                  <c:v>14.4</c:v>
                </c:pt>
                <c:pt idx="1">
                  <c:v>15</c:v>
                </c:pt>
                <c:pt idx="2">
                  <c:v>15</c:v>
                </c:pt>
                <c:pt idx="3">
                  <c:v>15</c:v>
                </c:pt>
                <c:pt idx="4">
                  <c:v>15</c:v>
                </c:pt>
                <c:pt idx="5">
                  <c:v>15</c:v>
                </c:pt>
                <c:pt idx="6">
                  <c:v>15</c:v>
                </c:pt>
                <c:pt idx="7">
                  <c:v>15</c:v>
                </c:pt>
                <c:pt idx="8">
                  <c:v>15</c:v>
                </c:pt>
              </c:numCache>
            </c:numRef>
          </c:val>
          <c:extLst>
            <c:ext xmlns:c16="http://schemas.microsoft.com/office/drawing/2014/chart" uri="{C3380CC4-5D6E-409C-BE32-E72D297353CC}">
              <c16:uniqueId val="{00000003-BF20-49CE-BC3F-EB530D9F39DA}"/>
            </c:ext>
          </c:extLst>
        </c:ser>
        <c:dLbls>
          <c:showLegendKey val="0"/>
          <c:showVal val="0"/>
          <c:showCatName val="0"/>
          <c:showSerName val="0"/>
          <c:showPercent val="0"/>
          <c:showBubbleSize val="0"/>
        </c:dLbls>
        <c:gapWidth val="150"/>
        <c:overlap val="100"/>
        <c:axId val="226573807"/>
        <c:axId val="473994911"/>
      </c:barChart>
      <c:catAx>
        <c:axId val="22657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994911"/>
        <c:crosses val="autoZero"/>
        <c:auto val="1"/>
        <c:lblAlgn val="ctr"/>
        <c:lblOffset val="100"/>
        <c:noMultiLvlLbl val="0"/>
      </c:catAx>
      <c:valAx>
        <c:axId val="47399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573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Actual RFS Mandates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'Mandate Levels and Rules'!$Y$42</c:f>
              <c:strCache>
                <c:ptCount val="1"/>
                <c:pt idx="0">
                  <c:v>Cellulosic</c:v>
                </c:pt>
              </c:strCache>
            </c:strRef>
          </c:tx>
          <c:spPr>
            <a:solidFill>
              <a:schemeClr val="accent1"/>
            </a:solidFill>
            <a:ln>
              <a:noFill/>
            </a:ln>
            <a:effectLst/>
          </c:spPr>
          <c:invertIfNegative val="0"/>
          <c:cat>
            <c:numRef>
              <c:f>'Mandate Levels and Rules'!$B$50:$B$57</c:f>
              <c:numCache>
                <c:formatCode>General</c:formatCode>
                <c:ptCount val="8"/>
                <c:pt idx="0">
                  <c:v>2013</c:v>
                </c:pt>
                <c:pt idx="1">
                  <c:v>2014</c:v>
                </c:pt>
                <c:pt idx="2">
                  <c:v>2015</c:v>
                </c:pt>
                <c:pt idx="3">
                  <c:v>2016</c:v>
                </c:pt>
                <c:pt idx="4">
                  <c:v>2017</c:v>
                </c:pt>
                <c:pt idx="5">
                  <c:v>2018</c:v>
                </c:pt>
                <c:pt idx="6">
                  <c:v>2019</c:v>
                </c:pt>
                <c:pt idx="7">
                  <c:v>2020</c:v>
                </c:pt>
              </c:numCache>
            </c:numRef>
          </c:cat>
          <c:val>
            <c:numRef>
              <c:f>'Mandate Levels and Rules'!$Y$50:$Y$57</c:f>
              <c:numCache>
                <c:formatCode>General</c:formatCode>
                <c:ptCount val="8"/>
                <c:pt idx="0">
                  <c:v>6.0000000000000001E-3</c:v>
                </c:pt>
                <c:pt idx="1">
                  <c:v>3.3000000000000002E-2</c:v>
                </c:pt>
                <c:pt idx="2">
                  <c:v>0.123</c:v>
                </c:pt>
                <c:pt idx="3">
                  <c:v>0.23</c:v>
                </c:pt>
                <c:pt idx="4">
                  <c:v>0.311</c:v>
                </c:pt>
                <c:pt idx="5">
                  <c:v>0.28799999999999998</c:v>
                </c:pt>
                <c:pt idx="6">
                  <c:v>0.41799999999999998</c:v>
                </c:pt>
                <c:pt idx="7">
                  <c:v>0.59</c:v>
                </c:pt>
              </c:numCache>
            </c:numRef>
          </c:val>
          <c:extLst>
            <c:ext xmlns:c16="http://schemas.microsoft.com/office/drawing/2014/chart" uri="{C3380CC4-5D6E-409C-BE32-E72D297353CC}">
              <c16:uniqueId val="{00000000-D84A-446E-AF09-4C79E38724EA}"/>
            </c:ext>
          </c:extLst>
        </c:ser>
        <c:ser>
          <c:idx val="1"/>
          <c:order val="1"/>
          <c:tx>
            <c:strRef>
              <c:f>'Mandate Levels and Rules'!$Z$42</c:f>
              <c:strCache>
                <c:ptCount val="1"/>
                <c:pt idx="0">
                  <c:v>BBD</c:v>
                </c:pt>
              </c:strCache>
            </c:strRef>
          </c:tx>
          <c:spPr>
            <a:solidFill>
              <a:schemeClr val="accent2"/>
            </a:solidFill>
            <a:ln>
              <a:noFill/>
            </a:ln>
            <a:effectLst/>
          </c:spPr>
          <c:invertIfNegative val="0"/>
          <c:cat>
            <c:numRef>
              <c:f>'Mandate Levels and Rules'!$B$50:$B$57</c:f>
              <c:numCache>
                <c:formatCode>General</c:formatCode>
                <c:ptCount val="8"/>
                <c:pt idx="0">
                  <c:v>2013</c:v>
                </c:pt>
                <c:pt idx="1">
                  <c:v>2014</c:v>
                </c:pt>
                <c:pt idx="2">
                  <c:v>2015</c:v>
                </c:pt>
                <c:pt idx="3">
                  <c:v>2016</c:v>
                </c:pt>
                <c:pt idx="4">
                  <c:v>2017</c:v>
                </c:pt>
                <c:pt idx="5">
                  <c:v>2018</c:v>
                </c:pt>
                <c:pt idx="6">
                  <c:v>2019</c:v>
                </c:pt>
                <c:pt idx="7">
                  <c:v>2020</c:v>
                </c:pt>
              </c:numCache>
            </c:numRef>
          </c:cat>
          <c:val>
            <c:numRef>
              <c:f>'Mandate Levels and Rules'!$Z$50:$Z$57</c:f>
              <c:numCache>
                <c:formatCode>General</c:formatCode>
                <c:ptCount val="8"/>
                <c:pt idx="0">
                  <c:v>1.28</c:v>
                </c:pt>
                <c:pt idx="1">
                  <c:v>1.63</c:v>
                </c:pt>
                <c:pt idx="2">
                  <c:v>1.73</c:v>
                </c:pt>
                <c:pt idx="3">
                  <c:v>1.9</c:v>
                </c:pt>
                <c:pt idx="4">
                  <c:v>2</c:v>
                </c:pt>
                <c:pt idx="5">
                  <c:v>2.1</c:v>
                </c:pt>
                <c:pt idx="6">
                  <c:v>2.1</c:v>
                </c:pt>
                <c:pt idx="7">
                  <c:v>2.4300000000000002</c:v>
                </c:pt>
              </c:numCache>
            </c:numRef>
          </c:val>
          <c:extLst>
            <c:ext xmlns:c16="http://schemas.microsoft.com/office/drawing/2014/chart" uri="{C3380CC4-5D6E-409C-BE32-E72D297353CC}">
              <c16:uniqueId val="{00000001-D84A-446E-AF09-4C79E38724EA}"/>
            </c:ext>
          </c:extLst>
        </c:ser>
        <c:ser>
          <c:idx val="2"/>
          <c:order val="2"/>
          <c:tx>
            <c:strRef>
              <c:f>'Mandate Levels and Rules'!$AA$42</c:f>
              <c:strCache>
                <c:ptCount val="1"/>
                <c:pt idx="0">
                  <c:v>Advanced-Non Specified</c:v>
                </c:pt>
              </c:strCache>
            </c:strRef>
          </c:tx>
          <c:spPr>
            <a:solidFill>
              <a:schemeClr val="accent3"/>
            </a:solidFill>
            <a:ln>
              <a:noFill/>
            </a:ln>
            <a:effectLst/>
          </c:spPr>
          <c:invertIfNegative val="0"/>
          <c:cat>
            <c:numRef>
              <c:f>'Mandate Levels and Rules'!$B$50:$B$57</c:f>
              <c:numCache>
                <c:formatCode>General</c:formatCode>
                <c:ptCount val="8"/>
                <c:pt idx="0">
                  <c:v>2013</c:v>
                </c:pt>
                <c:pt idx="1">
                  <c:v>2014</c:v>
                </c:pt>
                <c:pt idx="2">
                  <c:v>2015</c:v>
                </c:pt>
                <c:pt idx="3">
                  <c:v>2016</c:v>
                </c:pt>
                <c:pt idx="4">
                  <c:v>2017</c:v>
                </c:pt>
                <c:pt idx="5">
                  <c:v>2018</c:v>
                </c:pt>
                <c:pt idx="6">
                  <c:v>2019</c:v>
                </c:pt>
                <c:pt idx="7">
                  <c:v>2020</c:v>
                </c:pt>
              </c:numCache>
            </c:numRef>
          </c:cat>
          <c:val>
            <c:numRef>
              <c:f>'Mandate Levels and Rules'!$AA$50:$AA$57</c:f>
              <c:numCache>
                <c:formatCode>General</c:formatCode>
                <c:ptCount val="8"/>
                <c:pt idx="0">
                  <c:v>1.464</c:v>
                </c:pt>
                <c:pt idx="1">
                  <c:v>1.0070000000000001</c:v>
                </c:pt>
                <c:pt idx="2">
                  <c:v>1.0269999999999999</c:v>
                </c:pt>
                <c:pt idx="3">
                  <c:v>1.48</c:v>
                </c:pt>
                <c:pt idx="4">
                  <c:v>1.9690000000000003</c:v>
                </c:pt>
                <c:pt idx="5">
                  <c:v>1.9019999999999999</c:v>
                </c:pt>
                <c:pt idx="6">
                  <c:v>2.4019999999999997</c:v>
                </c:pt>
                <c:pt idx="7">
                  <c:v>2.0699999999999998</c:v>
                </c:pt>
              </c:numCache>
            </c:numRef>
          </c:val>
          <c:extLst>
            <c:ext xmlns:c16="http://schemas.microsoft.com/office/drawing/2014/chart" uri="{C3380CC4-5D6E-409C-BE32-E72D297353CC}">
              <c16:uniqueId val="{00000002-D84A-446E-AF09-4C79E38724EA}"/>
            </c:ext>
          </c:extLst>
        </c:ser>
        <c:ser>
          <c:idx val="3"/>
          <c:order val="3"/>
          <c:tx>
            <c:strRef>
              <c:f>'Mandate Levels and Rules'!$AB$42</c:f>
              <c:strCache>
                <c:ptCount val="1"/>
                <c:pt idx="0">
                  <c:v>Ethanol</c:v>
                </c:pt>
              </c:strCache>
            </c:strRef>
          </c:tx>
          <c:spPr>
            <a:solidFill>
              <a:schemeClr val="accent4"/>
            </a:solidFill>
            <a:ln>
              <a:noFill/>
            </a:ln>
            <a:effectLst/>
          </c:spPr>
          <c:invertIfNegative val="0"/>
          <c:cat>
            <c:numRef>
              <c:f>'Mandate Levels and Rules'!$B$50:$B$57</c:f>
              <c:numCache>
                <c:formatCode>General</c:formatCode>
                <c:ptCount val="8"/>
                <c:pt idx="0">
                  <c:v>2013</c:v>
                </c:pt>
                <c:pt idx="1">
                  <c:v>2014</c:v>
                </c:pt>
                <c:pt idx="2">
                  <c:v>2015</c:v>
                </c:pt>
                <c:pt idx="3">
                  <c:v>2016</c:v>
                </c:pt>
                <c:pt idx="4">
                  <c:v>2017</c:v>
                </c:pt>
                <c:pt idx="5">
                  <c:v>2018</c:v>
                </c:pt>
                <c:pt idx="6">
                  <c:v>2019</c:v>
                </c:pt>
                <c:pt idx="7">
                  <c:v>2020</c:v>
                </c:pt>
              </c:numCache>
            </c:numRef>
          </c:cat>
          <c:val>
            <c:numRef>
              <c:f>'Mandate Levels and Rules'!$AB$50:$AB$57</c:f>
              <c:numCache>
                <c:formatCode>General</c:formatCode>
                <c:ptCount val="8"/>
                <c:pt idx="0">
                  <c:v>13.8</c:v>
                </c:pt>
                <c:pt idx="1">
                  <c:v>13.610000000000001</c:v>
                </c:pt>
                <c:pt idx="2">
                  <c:v>14.05</c:v>
                </c:pt>
                <c:pt idx="3">
                  <c:v>14.5</c:v>
                </c:pt>
                <c:pt idx="4">
                  <c:v>15</c:v>
                </c:pt>
                <c:pt idx="5">
                  <c:v>15</c:v>
                </c:pt>
                <c:pt idx="6">
                  <c:v>15.000000000000002</c:v>
                </c:pt>
                <c:pt idx="7">
                  <c:v>15</c:v>
                </c:pt>
              </c:numCache>
            </c:numRef>
          </c:val>
          <c:extLst>
            <c:ext xmlns:c16="http://schemas.microsoft.com/office/drawing/2014/chart" uri="{C3380CC4-5D6E-409C-BE32-E72D297353CC}">
              <c16:uniqueId val="{00000003-D84A-446E-AF09-4C79E38724EA}"/>
            </c:ext>
          </c:extLst>
        </c:ser>
        <c:dLbls>
          <c:showLegendKey val="0"/>
          <c:showVal val="0"/>
          <c:showCatName val="0"/>
          <c:showSerName val="0"/>
          <c:showPercent val="0"/>
          <c:showBubbleSize val="0"/>
        </c:dLbls>
        <c:gapWidth val="150"/>
        <c:overlap val="100"/>
        <c:axId val="226573807"/>
        <c:axId val="473994911"/>
      </c:barChart>
      <c:catAx>
        <c:axId val="22657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994911"/>
        <c:crosses val="autoZero"/>
        <c:auto val="1"/>
        <c:lblAlgn val="ctr"/>
        <c:lblOffset val="100"/>
        <c:noMultiLvlLbl val="0"/>
      </c:catAx>
      <c:valAx>
        <c:axId val="47399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573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tiff"/><Relationship Id="rId1" Type="http://schemas.openxmlformats.org/officeDocument/2006/relationships/image" Target="../media/image1.tiff"/></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6.tiff"/><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10</xdr:col>
      <xdr:colOff>63500</xdr:colOff>
      <xdr:row>0</xdr:row>
      <xdr:rowOff>0</xdr:rowOff>
    </xdr:from>
    <xdr:ext cx="6016625" cy="7353300"/>
    <xdr:pic>
      <xdr:nvPicPr>
        <xdr:cNvPr id="2" name="Picture 1" descr="A screenshot of a cell phone&#10;&#10;Description automatically generated">
          <a:extLst>
            <a:ext uri="{FF2B5EF4-FFF2-40B4-BE49-F238E27FC236}">
              <a16:creationId xmlns:a16="http://schemas.microsoft.com/office/drawing/2014/main" id="{C953DB67-F8BF-422D-82D1-B691CCBEA88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55900" y="0"/>
          <a:ext cx="6016625" cy="7353300"/>
        </a:xfrm>
        <a:prstGeom prst="rect">
          <a:avLst/>
        </a:prstGeom>
      </xdr:spPr>
    </xdr:pic>
    <xdr:clientData/>
  </xdr:oneCellAnchor>
  <xdr:oneCellAnchor>
    <xdr:from>
      <xdr:col>10</xdr:col>
      <xdr:colOff>88900</xdr:colOff>
      <xdr:row>55</xdr:row>
      <xdr:rowOff>165100</xdr:rowOff>
    </xdr:from>
    <xdr:ext cx="4657725" cy="1962150"/>
    <xdr:pic>
      <xdr:nvPicPr>
        <xdr:cNvPr id="3" name="Picture 2" descr="A screenshot of a cell phone&#10;&#10;Description automatically generated">
          <a:extLst>
            <a:ext uri="{FF2B5EF4-FFF2-40B4-BE49-F238E27FC236}">
              <a16:creationId xmlns:a16="http://schemas.microsoft.com/office/drawing/2014/main" id="{B7FC0C25-52AF-4303-A76C-6586DEA5384F}"/>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481300" y="11166475"/>
          <a:ext cx="4657725" cy="1962150"/>
        </a:xfrm>
        <a:prstGeom prst="rect">
          <a:avLst/>
        </a:prstGeom>
      </xdr:spPr>
    </xdr:pic>
    <xdr:clientData/>
  </xdr:oneCellAnchor>
  <xdr:oneCellAnchor>
    <xdr:from>
      <xdr:col>9</xdr:col>
      <xdr:colOff>800100</xdr:colOff>
      <xdr:row>36</xdr:row>
      <xdr:rowOff>127000</xdr:rowOff>
    </xdr:from>
    <xdr:ext cx="9709150" cy="2840585"/>
    <xdr:pic>
      <xdr:nvPicPr>
        <xdr:cNvPr id="4" name="Picture 3">
          <a:extLst>
            <a:ext uri="{FF2B5EF4-FFF2-40B4-BE49-F238E27FC236}">
              <a16:creationId xmlns:a16="http://schemas.microsoft.com/office/drawing/2014/main" id="{D7D75A0E-8400-4A12-AFCB-B07158C1C8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039975" y="7327900"/>
          <a:ext cx="9709150" cy="284058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761461</xdr:colOff>
      <xdr:row>64</xdr:row>
      <xdr:rowOff>3849</xdr:rowOff>
    </xdr:from>
    <xdr:ext cx="5708651" cy="4198619"/>
    <xdr:pic>
      <xdr:nvPicPr>
        <xdr:cNvPr id="2" name="Picture 1" descr="Congressional volume target for renewable fuel is 36 billion gallons of renewable fuel by 2022.">
          <a:extLst>
            <a:ext uri="{FF2B5EF4-FFF2-40B4-BE49-F238E27FC236}">
              <a16:creationId xmlns:a16="http://schemas.microsoft.com/office/drawing/2014/main" id="{7F82D358-8E76-45CD-A7BD-38680D2A24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99661" y="13129299"/>
          <a:ext cx="5708651" cy="41986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73660</xdr:colOff>
      <xdr:row>85</xdr:row>
      <xdr:rowOff>81280</xdr:rowOff>
    </xdr:from>
    <xdr:ext cx="11936095" cy="5446395"/>
    <xdr:pic>
      <xdr:nvPicPr>
        <xdr:cNvPr id="3" name="Picture 2" descr="This diagram shows that Renewable Fuels require a 20% GHG reduction; Advanced and Biodiesel Fuels require a 50% reduction and Cellulosic Fuels require 60% compared to a 2005 petroleum baseline.">
          <a:extLst>
            <a:ext uri="{FF2B5EF4-FFF2-40B4-BE49-F238E27FC236}">
              <a16:creationId xmlns:a16="http://schemas.microsoft.com/office/drawing/2014/main" id="{7CF4EF07-3BD6-4A93-A7F8-ACA3BC20D6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61060" y="17407255"/>
          <a:ext cx="11936095" cy="54463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17</xdr:col>
      <xdr:colOff>277014</xdr:colOff>
      <xdr:row>63</xdr:row>
      <xdr:rowOff>36099</xdr:rowOff>
    </xdr:from>
    <xdr:to>
      <xdr:col>22</xdr:col>
      <xdr:colOff>734214</xdr:colOff>
      <xdr:row>76</xdr:row>
      <xdr:rowOff>137160</xdr:rowOff>
    </xdr:to>
    <xdr:graphicFrame macro="">
      <xdr:nvGraphicFramePr>
        <xdr:cNvPr id="4" name="Chart 3">
          <a:extLst>
            <a:ext uri="{FF2B5EF4-FFF2-40B4-BE49-F238E27FC236}">
              <a16:creationId xmlns:a16="http://schemas.microsoft.com/office/drawing/2014/main" id="{9EB90081-273A-40DA-B25B-3081EBCF6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692805</xdr:colOff>
      <xdr:row>66</xdr:row>
      <xdr:rowOff>19858</xdr:rowOff>
    </xdr:from>
    <xdr:to>
      <xdr:col>29</xdr:col>
      <xdr:colOff>312420</xdr:colOff>
      <xdr:row>79</xdr:row>
      <xdr:rowOff>119766</xdr:rowOff>
    </xdr:to>
    <xdr:graphicFrame macro="">
      <xdr:nvGraphicFramePr>
        <xdr:cNvPr id="5" name="Chart 4">
          <a:extLst>
            <a:ext uri="{FF2B5EF4-FFF2-40B4-BE49-F238E27FC236}">
              <a16:creationId xmlns:a16="http://schemas.microsoft.com/office/drawing/2014/main" id="{24149111-101C-4ED2-BA44-397D2A928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779318</xdr:colOff>
      <xdr:row>20</xdr:row>
      <xdr:rowOff>96212</xdr:rowOff>
    </xdr:from>
    <xdr:ext cx="5001517" cy="1837651"/>
    <xdr:pic>
      <xdr:nvPicPr>
        <xdr:cNvPr id="6" name="Picture 5">
          <a:extLst>
            <a:ext uri="{FF2B5EF4-FFF2-40B4-BE49-F238E27FC236}">
              <a16:creationId xmlns:a16="http://schemas.microsoft.com/office/drawing/2014/main" id="{268602F1-9520-45ED-B206-35C1B602819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075718" y="4230062"/>
          <a:ext cx="5001517" cy="183765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orem\Dropbox\RLC%20Documents\Models\Oilseeds\EMTS%20Data.xlsx" TargetMode="External"/><Relationship Id="rId1" Type="http://schemas.openxmlformats.org/officeDocument/2006/relationships/externalLinkPath" Target="EMTS%20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orem\Dropbox\RLC%20Documents\Models\Oilseeds\RFS%20Mandates.xlsx" TargetMode="External"/><Relationship Id="rId1" Type="http://schemas.openxmlformats.org/officeDocument/2006/relationships/externalLinkPath" Target="RFS%20Mandat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orld%20BBD%20Trad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FS Data"/>
      <sheetName val="RIN Summary"/>
      <sheetName val="Monthly RIN Summary"/>
      <sheetName val="Monthly Gallon Summary"/>
      <sheetName val="Qtrly Gallon Summary"/>
      <sheetName val="Production Summary"/>
      <sheetName val="D3 Gallon Forecast"/>
      <sheetName val="Monthly D3 Gallon Data"/>
      <sheetName val="D3 RIN Forecast"/>
      <sheetName val="Monthly D3 RIN Data"/>
      <sheetName val="D4 Gallon Forecast"/>
      <sheetName val="Monthly D4 Gallon Data"/>
      <sheetName val="D4 RIN Forecast"/>
      <sheetName val="Monthly D4 RIN Data"/>
      <sheetName val="D5 Gallon Forecast"/>
      <sheetName val="Monthly D5 Gallon Data"/>
      <sheetName val="D5 RIN Forecast"/>
      <sheetName val="Monthly D5 RIN Data"/>
      <sheetName val="D6 Gallon Forecast"/>
      <sheetName val="Monthly D6 Gallon Data"/>
      <sheetName val="D6 RIN Forecast"/>
      <sheetName val="Monthly D6 RIN Data"/>
      <sheetName val="D7 Gallon Forecast"/>
      <sheetName val="Monthly D7 Gallon Data"/>
      <sheetName val="D7 RIN Forecast"/>
      <sheetName val="Monthly D7 RIN Data"/>
    </sheetNames>
    <sheetDataSet>
      <sheetData sheetId="0"/>
      <sheetData sheetId="1"/>
      <sheetData sheetId="2"/>
      <sheetData sheetId="3">
        <row r="176">
          <cell r="C176">
            <v>1143591192</v>
          </cell>
          <cell r="D176">
            <v>1159850473</v>
          </cell>
          <cell r="E176">
            <v>1987866219</v>
          </cell>
          <cell r="F176">
            <v>1976615894</v>
          </cell>
          <cell r="G176">
            <v>2103082154</v>
          </cell>
          <cell r="H176">
            <v>2898448908</v>
          </cell>
          <cell r="I176">
            <v>2652888204</v>
          </cell>
          <cell r="J176">
            <v>2645925155</v>
          </cell>
          <cell r="K176">
            <v>2808649811</v>
          </cell>
          <cell r="L176">
            <v>3001159813</v>
          </cell>
          <cell r="M176">
            <v>3211226926</v>
          </cell>
          <cell r="N176">
            <v>3741651213</v>
          </cell>
          <cell r="O176">
            <v>5063581916</v>
          </cell>
          <cell r="P176">
            <v>5634980835</v>
          </cell>
          <cell r="Q176">
            <v>4700349336.2851629</v>
          </cell>
          <cell r="R176">
            <v>4615176519.150053</v>
          </cell>
        </row>
        <row r="304">
          <cell r="C304">
            <v>13802805925</v>
          </cell>
          <cell r="D304">
            <v>13590204834</v>
          </cell>
          <cell r="E304">
            <v>13557221593</v>
          </cell>
          <cell r="F304">
            <v>14145535990</v>
          </cell>
          <cell r="G304">
            <v>14649144465</v>
          </cell>
          <cell r="H304">
            <v>14978434370</v>
          </cell>
          <cell r="I304">
            <v>15214237066</v>
          </cell>
          <cell r="J304">
            <v>15381973558</v>
          </cell>
          <cell r="K304">
            <v>15364011726</v>
          </cell>
          <cell r="L304">
            <v>13571703077</v>
          </cell>
          <cell r="M304">
            <v>14777604054</v>
          </cell>
          <cell r="N304">
            <v>15201590957</v>
          </cell>
          <cell r="O304">
            <v>15504637870</v>
          </cell>
          <cell r="P304">
            <v>15817376377</v>
          </cell>
          <cell r="Q304">
            <v>15271969238.086517</v>
          </cell>
          <cell r="R304">
            <v>15472584728.187359</v>
          </cell>
        </row>
      </sheetData>
      <sheetData sheetId="4"/>
      <sheetData sheetId="5">
        <row r="74">
          <cell r="O74">
            <v>20677715718</v>
          </cell>
        </row>
      </sheetData>
      <sheetData sheetId="6">
        <row r="3">
          <cell r="J3">
            <v>8158168</v>
          </cell>
        </row>
      </sheetData>
      <sheetData sheetId="7"/>
      <sheetData sheetId="8">
        <row r="15">
          <cell r="B15">
            <v>0</v>
          </cell>
          <cell r="C15">
            <v>0</v>
          </cell>
          <cell r="D15">
            <v>20069</v>
          </cell>
          <cell r="E15">
            <v>422740</v>
          </cell>
          <cell r="F15">
            <v>33360560</v>
          </cell>
          <cell r="G15">
            <v>142040241</v>
          </cell>
          <cell r="H15">
            <v>192361795</v>
          </cell>
          <cell r="I15">
            <v>250624473</v>
          </cell>
          <cell r="J15">
            <v>312348198</v>
          </cell>
          <cell r="K15">
            <v>414122810</v>
          </cell>
          <cell r="L15">
            <v>505872211</v>
          </cell>
          <cell r="M15">
            <v>568414154</v>
          </cell>
          <cell r="N15">
            <v>668618747</v>
          </cell>
          <cell r="O15">
            <v>704232859</v>
          </cell>
          <cell r="P15">
            <v>921163090</v>
          </cell>
          <cell r="Q15">
            <v>642893076.81687927</v>
          </cell>
          <cell r="R15">
            <v>772558826.29679656</v>
          </cell>
          <cell r="S15">
            <v>775384939.27208924</v>
          </cell>
          <cell r="T15">
            <v>822873120.59585667</v>
          </cell>
          <cell r="U15">
            <v>889247611.70624554</v>
          </cell>
          <cell r="V15">
            <v>1002672360.7283525</v>
          </cell>
          <cell r="W15">
            <v>1066474459.0683435</v>
          </cell>
          <cell r="X15">
            <v>1177139741.306216</v>
          </cell>
          <cell r="Y15">
            <v>1357409485.3158479</v>
          </cell>
          <cell r="Z15">
            <v>1531826069.9641216</v>
          </cell>
          <cell r="AA15">
            <v>1731877156.6922889</v>
          </cell>
          <cell r="AB15">
            <v>1978592899.6411026</v>
          </cell>
          <cell r="AC15">
            <v>2248581266.9977798</v>
          </cell>
          <cell r="AD15">
            <v>2538390493.6344814</v>
          </cell>
          <cell r="AE15">
            <v>2864803464.6798182</v>
          </cell>
          <cell r="AF15">
            <v>3220144119.3196259</v>
          </cell>
          <cell r="AG15">
            <v>3599899839.9662867</v>
          </cell>
          <cell r="AH15"/>
          <cell r="AI15"/>
          <cell r="AJ15">
            <v>1</v>
          </cell>
          <cell r="AK15">
            <v>1</v>
          </cell>
          <cell r="AL15"/>
          <cell r="AM15"/>
          <cell r="AN15"/>
          <cell r="AO15"/>
          <cell r="AP15"/>
        </row>
      </sheetData>
      <sheetData sheetId="9"/>
      <sheetData sheetId="10">
        <row r="4">
          <cell r="B4">
            <v>201955850</v>
          </cell>
          <cell r="C4">
            <v>1032917947</v>
          </cell>
          <cell r="D4">
            <v>1016202001</v>
          </cell>
          <cell r="E4">
            <v>1378586362</v>
          </cell>
          <cell r="F4">
            <v>1305909690</v>
          </cell>
          <cell r="G4">
            <v>1254228294</v>
          </cell>
          <cell r="H4">
            <v>1632752622</v>
          </cell>
          <cell r="I4">
            <v>1588249740</v>
          </cell>
          <cell r="J4">
            <v>1855120823</v>
          </cell>
          <cell r="K4">
            <v>1713762399</v>
          </cell>
          <cell r="L4">
            <v>1824873638</v>
          </cell>
        </row>
        <row r="5">
          <cell r="B5">
            <v>0</v>
          </cell>
          <cell r="C5">
            <v>0</v>
          </cell>
          <cell r="D5">
            <v>6781908</v>
          </cell>
          <cell r="E5">
            <v>2790763</v>
          </cell>
          <cell r="F5">
            <v>0</v>
          </cell>
          <cell r="G5">
            <v>0</v>
          </cell>
          <cell r="H5">
            <v>0</v>
          </cell>
          <cell r="I5">
            <v>0</v>
          </cell>
          <cell r="J5">
            <v>0</v>
          </cell>
          <cell r="K5">
            <v>0</v>
          </cell>
          <cell r="L5">
            <v>0</v>
          </cell>
        </row>
        <row r="6">
          <cell r="B6">
            <v>12487506</v>
          </cell>
          <cell r="C6">
            <v>44459572</v>
          </cell>
          <cell r="D6">
            <v>33446862</v>
          </cell>
          <cell r="E6">
            <v>153024954</v>
          </cell>
          <cell r="F6">
            <v>129629026</v>
          </cell>
          <cell r="G6">
            <v>261256195</v>
          </cell>
          <cell r="H6">
            <v>561640318</v>
          </cell>
          <cell r="I6">
            <v>461914644</v>
          </cell>
          <cell r="J6">
            <v>175141321</v>
          </cell>
          <cell r="K6">
            <v>184741553</v>
          </cell>
          <cell r="L6">
            <v>209493674</v>
          </cell>
        </row>
        <row r="8">
          <cell r="B8">
            <v>959557</v>
          </cell>
          <cell r="C8">
            <v>45321674</v>
          </cell>
          <cell r="D8">
            <v>40195484</v>
          </cell>
          <cell r="E8">
            <v>72007416</v>
          </cell>
          <cell r="F8">
            <v>150536188</v>
          </cell>
          <cell r="G8">
            <v>171867841</v>
          </cell>
          <cell r="H8">
            <v>236821419</v>
          </cell>
          <cell r="I8">
            <v>253194888</v>
          </cell>
          <cell r="J8">
            <v>281876562</v>
          </cell>
          <cell r="K8">
            <v>457843380</v>
          </cell>
          <cell r="L8">
            <v>482911676</v>
          </cell>
        </row>
        <row r="12">
          <cell r="B12">
            <v>0</v>
          </cell>
          <cell r="C12">
            <v>0</v>
          </cell>
          <cell r="D12">
            <v>50272922</v>
          </cell>
          <cell r="E12">
            <v>166292775</v>
          </cell>
          <cell r="F12">
            <v>171747164</v>
          </cell>
          <cell r="G12">
            <v>135765543</v>
          </cell>
          <cell r="H12">
            <v>184028971</v>
          </cell>
          <cell r="I12">
            <v>199517243</v>
          </cell>
          <cell r="J12">
            <v>203337808</v>
          </cell>
          <cell r="K12">
            <v>304019646</v>
          </cell>
          <cell r="L12">
            <v>359210967</v>
          </cell>
        </row>
        <row r="16">
          <cell r="B16">
            <v>0</v>
          </cell>
          <cell r="C16">
            <v>0</v>
          </cell>
          <cell r="D16">
            <v>0</v>
          </cell>
          <cell r="E16">
            <v>21602599</v>
          </cell>
          <cell r="F16">
            <v>5612400</v>
          </cell>
          <cell r="G16">
            <v>0</v>
          </cell>
          <cell r="H16">
            <v>0</v>
          </cell>
          <cell r="I16">
            <v>757255</v>
          </cell>
          <cell r="J16">
            <v>0</v>
          </cell>
          <cell r="K16">
            <v>0</v>
          </cell>
          <cell r="L16">
            <v>0</v>
          </cell>
        </row>
        <row r="65">
          <cell r="C65">
            <v>1077377519</v>
          </cell>
          <cell r="D65">
            <v>1056430771</v>
          </cell>
          <cell r="E65">
            <v>1534402079</v>
          </cell>
          <cell r="F65">
            <v>1435538716</v>
          </cell>
          <cell r="G65">
            <v>1515484489</v>
          </cell>
          <cell r="H65">
            <v>2194392940</v>
          </cell>
          <cell r="I65">
            <v>2050164384</v>
          </cell>
          <cell r="J65">
            <v>2030262144</v>
          </cell>
          <cell r="K65">
            <v>1898503952</v>
          </cell>
          <cell r="L65">
            <v>2034367312</v>
          </cell>
          <cell r="M65">
            <v>1913078061</v>
          </cell>
          <cell r="N65">
            <v>1860533654</v>
          </cell>
          <cell r="O65">
            <v>2174183180</v>
          </cell>
          <cell r="P65">
            <v>2058817810</v>
          </cell>
        </row>
        <row r="129">
          <cell r="C129">
            <v>45321674</v>
          </cell>
          <cell r="D129">
            <v>90468406</v>
          </cell>
          <cell r="E129">
            <v>259902790</v>
          </cell>
          <cell r="F129">
            <v>327895752</v>
          </cell>
          <cell r="G129">
            <v>307633384</v>
          </cell>
          <cell r="H129">
            <v>420850390</v>
          </cell>
          <cell r="I129">
            <v>453469386</v>
          </cell>
          <cell r="J129">
            <v>485214370</v>
          </cell>
          <cell r="K129">
            <v>761863026</v>
          </cell>
          <cell r="L129">
            <v>842122643</v>
          </cell>
          <cell r="M129">
            <v>1174779147</v>
          </cell>
          <cell r="N129">
            <v>1750829725</v>
          </cell>
          <cell r="O129">
            <v>2776343198</v>
          </cell>
          <cell r="P129">
            <v>3496640697</v>
          </cell>
        </row>
      </sheetData>
      <sheetData sheetId="11"/>
      <sheetData sheetId="12">
        <row r="27">
          <cell r="B27">
            <v>323276448</v>
          </cell>
          <cell r="C27">
            <v>1691614024</v>
          </cell>
          <cell r="D27">
            <v>1737333997</v>
          </cell>
          <cell r="E27">
            <v>2740474431</v>
          </cell>
          <cell r="F27">
            <v>2709972461</v>
          </cell>
          <cell r="G27">
            <v>2795798365</v>
          </cell>
          <cell r="H27">
            <v>4008319745</v>
          </cell>
          <cell r="I27">
            <v>3848913464</v>
          </cell>
          <cell r="J27">
            <v>3873220242</v>
          </cell>
          <cell r="K27">
            <v>4146607014</v>
          </cell>
          <cell r="L27">
            <v>4490232144</v>
          </cell>
          <cell r="M27">
            <v>4872998352</v>
          </cell>
          <cell r="N27">
            <v>5786573550</v>
          </cell>
          <cell r="O27">
            <v>7964744893</v>
          </cell>
          <cell r="P27">
            <v>9158971248</v>
          </cell>
          <cell r="Q27">
            <v>7801222920.4370031</v>
          </cell>
          <cell r="R27">
            <v>8190474675.8414841</v>
          </cell>
        </row>
      </sheetData>
      <sheetData sheetId="13"/>
      <sheetData sheetId="14">
        <row r="3">
          <cell r="J3">
            <v>102382010</v>
          </cell>
        </row>
        <row r="7">
          <cell r="B7">
            <v>7817036</v>
          </cell>
          <cell r="C7">
            <v>16719616</v>
          </cell>
          <cell r="D7">
            <v>12205618</v>
          </cell>
          <cell r="E7">
            <v>41278442</v>
          </cell>
          <cell r="F7">
            <v>8605018</v>
          </cell>
          <cell r="G7">
            <v>4979775</v>
          </cell>
          <cell r="H7">
            <v>4666016</v>
          </cell>
          <cell r="I7">
            <v>5147237</v>
          </cell>
          <cell r="J7">
            <v>23607885</v>
          </cell>
          <cell r="K7">
            <v>34293809</v>
          </cell>
          <cell r="L7">
            <v>50596671</v>
          </cell>
        </row>
        <row r="9">
          <cell r="C9">
            <v>4536038</v>
          </cell>
          <cell r="D9">
            <v>10038332</v>
          </cell>
          <cell r="E9">
            <v>41266830</v>
          </cell>
          <cell r="F9">
            <v>8604718</v>
          </cell>
          <cell r="G9">
            <v>4979775</v>
          </cell>
          <cell r="H9">
            <v>4666016</v>
          </cell>
          <cell r="I9">
            <v>5147237</v>
          </cell>
          <cell r="J9">
            <v>23607885</v>
          </cell>
          <cell r="K9">
            <v>34293809</v>
          </cell>
          <cell r="L9">
            <v>50596671</v>
          </cell>
          <cell r="M9">
            <v>62444807</v>
          </cell>
          <cell r="N9">
            <v>75967064</v>
          </cell>
          <cell r="O9">
            <v>72161104</v>
          </cell>
          <cell r="P9">
            <v>67136623</v>
          </cell>
        </row>
        <row r="10">
          <cell r="B10">
            <v>0</v>
          </cell>
          <cell r="C10">
            <v>0</v>
          </cell>
          <cell r="D10">
            <v>0</v>
          </cell>
          <cell r="E10">
            <v>0</v>
          </cell>
          <cell r="F10">
            <v>0</v>
          </cell>
          <cell r="G10">
            <v>0</v>
          </cell>
          <cell r="H10">
            <v>0</v>
          </cell>
          <cell r="I10">
            <v>0</v>
          </cell>
          <cell r="J10">
            <v>0</v>
          </cell>
          <cell r="K10">
            <v>0</v>
          </cell>
          <cell r="L10">
            <v>0</v>
          </cell>
        </row>
        <row r="28">
          <cell r="C28">
            <v>215755059</v>
          </cell>
          <cell r="D28">
            <v>618671889</v>
          </cell>
          <cell r="E28">
            <v>527775069</v>
          </cell>
          <cell r="F28">
            <v>131427352</v>
          </cell>
          <cell r="G28">
            <v>135291787</v>
          </cell>
          <cell r="H28">
            <v>85201935</v>
          </cell>
          <cell r="I28">
            <v>128800020</v>
          </cell>
          <cell r="J28">
            <v>150976112</v>
          </cell>
          <cell r="K28">
            <v>284667030</v>
          </cell>
          <cell r="L28">
            <v>287574491</v>
          </cell>
          <cell r="M28">
            <v>178038588</v>
          </cell>
          <cell r="N28">
            <v>256398192</v>
          </cell>
          <cell r="O28">
            <v>184397469</v>
          </cell>
          <cell r="P28">
            <v>164671255</v>
          </cell>
          <cell r="BB28">
            <v>187865954</v>
          </cell>
          <cell r="BD28">
            <v>213000000</v>
          </cell>
          <cell r="BF28">
            <v>234750000</v>
          </cell>
          <cell r="BH28">
            <v>246750000</v>
          </cell>
          <cell r="BJ28">
            <v>260000000</v>
          </cell>
          <cell r="BL28">
            <v>280000000</v>
          </cell>
          <cell r="BN28">
            <v>300000000</v>
          </cell>
          <cell r="BP28">
            <v>310000000</v>
          </cell>
          <cell r="BR28">
            <v>325000000</v>
          </cell>
          <cell r="BT28">
            <v>340000000</v>
          </cell>
          <cell r="BV28">
            <v>360500000</v>
          </cell>
          <cell r="BX28">
            <v>380000000</v>
          </cell>
          <cell r="BZ28">
            <v>400000000</v>
          </cell>
          <cell r="CB28">
            <v>425000000</v>
          </cell>
          <cell r="CD28">
            <v>450000000</v>
          </cell>
          <cell r="CF28">
            <v>475000000</v>
          </cell>
          <cell r="CH28">
            <v>495000000</v>
          </cell>
          <cell r="CJ28">
            <v>525000000</v>
          </cell>
          <cell r="CL28">
            <v>550000000</v>
          </cell>
          <cell r="CN28">
            <v>575000000</v>
          </cell>
          <cell r="CP28">
            <v>600000000</v>
          </cell>
          <cell r="CR28">
            <v>650000000</v>
          </cell>
          <cell r="CT28">
            <v>700000000</v>
          </cell>
          <cell r="CV28">
            <v>800000000</v>
          </cell>
          <cell r="CX28">
            <v>900000000</v>
          </cell>
          <cell r="CZ28">
            <v>1000000000</v>
          </cell>
          <cell r="DA28">
            <v>-771793777</v>
          </cell>
        </row>
        <row r="100">
          <cell r="C100">
            <v>172425788</v>
          </cell>
          <cell r="D100">
            <v>575793102</v>
          </cell>
          <cell r="E100">
            <v>435313268</v>
          </cell>
          <cell r="F100">
            <v>64474655</v>
          </cell>
          <cell r="G100">
            <v>88954450</v>
          </cell>
          <cell r="H100">
            <v>34404034</v>
          </cell>
          <cell r="I100">
            <v>73889090</v>
          </cell>
          <cell r="J100">
            <v>77668319</v>
          </cell>
          <cell r="K100">
            <v>195603169</v>
          </cell>
          <cell r="L100">
            <v>185186372</v>
          </cell>
          <cell r="M100">
            <v>59514391</v>
          </cell>
          <cell r="N100">
            <v>80546883</v>
          </cell>
          <cell r="O100">
            <v>21239003</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row>
        <row r="116">
          <cell r="C116">
            <v>16719616</v>
          </cell>
          <cell r="D116">
            <v>12205618</v>
          </cell>
          <cell r="E116">
            <v>41278442</v>
          </cell>
          <cell r="F116">
            <v>8605018</v>
          </cell>
          <cell r="G116">
            <v>4979775</v>
          </cell>
          <cell r="H116">
            <v>4666016</v>
          </cell>
          <cell r="I116">
            <v>5147237</v>
          </cell>
          <cell r="J116">
            <v>23607885</v>
          </cell>
          <cell r="K116">
            <v>34293809</v>
          </cell>
          <cell r="L116">
            <v>50596671</v>
          </cell>
          <cell r="M116">
            <v>62444807</v>
          </cell>
          <cell r="N116">
            <v>75967064</v>
          </cell>
          <cell r="O116">
            <v>72161104</v>
          </cell>
          <cell r="P116">
            <v>67136623</v>
          </cell>
        </row>
      </sheetData>
      <sheetData sheetId="15"/>
      <sheetData sheetId="16">
        <row r="28">
          <cell r="B28">
            <v>28611632</v>
          </cell>
          <cell r="C28">
            <v>228558018</v>
          </cell>
          <cell r="D28">
            <v>627072689</v>
          </cell>
          <cell r="E28">
            <v>557824688</v>
          </cell>
          <cell r="F28">
            <v>143540533</v>
          </cell>
          <cell r="G28">
            <v>147091443</v>
          </cell>
          <cell r="H28">
            <v>98103017</v>
          </cell>
          <cell r="I28">
            <v>143646572</v>
          </cell>
          <cell r="J28">
            <v>179304816</v>
          </cell>
          <cell r="K28">
            <v>322343569</v>
          </cell>
          <cell r="L28">
            <v>335236581</v>
          </cell>
          <cell r="M28">
            <v>233872099</v>
          </cell>
          <cell r="N28">
            <v>342763665</v>
          </cell>
          <cell r="O28">
            <v>262944960</v>
          </cell>
          <cell r="P28">
            <v>243155929</v>
          </cell>
          <cell r="Q28">
            <v>273837991.68352491</v>
          </cell>
          <cell r="R28">
            <v>309320703.17245978</v>
          </cell>
        </row>
      </sheetData>
      <sheetData sheetId="17"/>
      <sheetData sheetId="18">
        <row r="4">
          <cell r="B4">
            <v>12519647</v>
          </cell>
          <cell r="C4">
            <v>4172383</v>
          </cell>
          <cell r="D4">
            <v>745678</v>
          </cell>
          <cell r="E4">
            <v>6007320</v>
          </cell>
          <cell r="F4">
            <v>1303427</v>
          </cell>
          <cell r="G4">
            <v>44430</v>
          </cell>
          <cell r="H4">
            <v>354498</v>
          </cell>
          <cell r="I4">
            <v>0</v>
          </cell>
          <cell r="J4">
            <v>331927</v>
          </cell>
          <cell r="K4">
            <v>11178</v>
          </cell>
          <cell r="L4">
            <v>0</v>
          </cell>
        </row>
        <row r="5">
          <cell r="B5">
            <v>0</v>
          </cell>
          <cell r="C5">
            <v>0</v>
          </cell>
          <cell r="D5">
            <v>0</v>
          </cell>
          <cell r="E5">
            <v>30771420</v>
          </cell>
          <cell r="F5">
            <v>51881055</v>
          </cell>
          <cell r="G5">
            <v>74408661</v>
          </cell>
          <cell r="H5">
            <v>112527999</v>
          </cell>
          <cell r="I5">
            <v>0</v>
          </cell>
          <cell r="J5">
            <v>0</v>
          </cell>
          <cell r="K5">
            <v>0</v>
          </cell>
          <cell r="L5">
            <v>0</v>
          </cell>
        </row>
        <row r="7">
          <cell r="L7">
            <v>12845194670</v>
          </cell>
          <cell r="M7">
            <v>14110176420</v>
          </cell>
          <cell r="N7">
            <v>14409400981</v>
          </cell>
          <cell r="O7">
            <v>14666291777</v>
          </cell>
          <cell r="P7">
            <v>14853081800</v>
          </cell>
          <cell r="Q7">
            <v>14581438774.088144</v>
          </cell>
          <cell r="R7">
            <v>14655293890.620512</v>
          </cell>
          <cell r="S7">
            <v>14687014784.203905</v>
          </cell>
          <cell r="T7">
            <v>14833602876.012686</v>
          </cell>
          <cell r="U7">
            <v>14945196786.482641</v>
          </cell>
          <cell r="V7">
            <v>15043549140.126476</v>
          </cell>
          <cell r="W7">
            <v>15203856925.802042</v>
          </cell>
        </row>
        <row r="13">
          <cell r="B13">
            <v>0</v>
          </cell>
          <cell r="C13">
            <v>0</v>
          </cell>
          <cell r="D13">
            <v>0</v>
          </cell>
          <cell r="E13">
            <v>0</v>
          </cell>
          <cell r="F13">
            <v>0</v>
          </cell>
          <cell r="G13">
            <v>0</v>
          </cell>
          <cell r="H13">
            <v>0</v>
          </cell>
          <cell r="I13">
            <v>0</v>
          </cell>
          <cell r="J13">
            <v>0</v>
          </cell>
          <cell r="K13">
            <v>0</v>
          </cell>
          <cell r="L13">
            <v>0</v>
          </cell>
        </row>
        <row r="14">
          <cell r="B14">
            <v>0</v>
          </cell>
          <cell r="C14">
            <v>0</v>
          </cell>
          <cell r="D14">
            <v>0</v>
          </cell>
          <cell r="E14">
            <v>115504168</v>
          </cell>
          <cell r="F14">
            <v>151391926</v>
          </cell>
          <cell r="G14">
            <v>200531415</v>
          </cell>
          <cell r="H14">
            <v>165657065</v>
          </cell>
          <cell r="I14">
            <v>144107197</v>
          </cell>
          <cell r="J14">
            <v>106508829</v>
          </cell>
          <cell r="K14">
            <v>116353451</v>
          </cell>
          <cell r="L14">
            <v>76268925</v>
          </cell>
        </row>
        <row r="15">
          <cell r="B15">
            <v>0</v>
          </cell>
          <cell r="C15">
            <v>0</v>
          </cell>
          <cell r="D15">
            <v>0</v>
          </cell>
          <cell r="E15">
            <v>0</v>
          </cell>
          <cell r="F15">
            <v>0</v>
          </cell>
          <cell r="G15">
            <v>0</v>
          </cell>
          <cell r="H15">
            <v>0</v>
          </cell>
          <cell r="I15">
            <v>0</v>
          </cell>
          <cell r="J15">
            <v>0</v>
          </cell>
          <cell r="K15">
            <v>0</v>
          </cell>
          <cell r="L15">
            <v>0</v>
          </cell>
        </row>
        <row r="61">
          <cell r="C61">
            <v>4172383</v>
          </cell>
          <cell r="D61">
            <v>745678</v>
          </cell>
          <cell r="E61">
            <v>36778740</v>
          </cell>
          <cell r="F61">
            <v>53184482</v>
          </cell>
          <cell r="G61">
            <v>74453091</v>
          </cell>
          <cell r="H61">
            <v>112882497</v>
          </cell>
          <cell r="I61">
            <v>0</v>
          </cell>
          <cell r="J61">
            <v>331927</v>
          </cell>
          <cell r="K61">
            <v>11178</v>
          </cell>
          <cell r="L61">
            <v>0</v>
          </cell>
          <cell r="M61">
            <v>0</v>
          </cell>
          <cell r="N61">
            <v>0</v>
          </cell>
          <cell r="O61">
            <v>9310804</v>
          </cell>
          <cell r="P61">
            <v>15172254</v>
          </cell>
        </row>
        <row r="141">
          <cell r="C141">
            <v>3204291</v>
          </cell>
          <cell r="D141">
            <v>0</v>
          </cell>
          <cell r="E141">
            <v>0</v>
          </cell>
          <cell r="F141">
            <v>1187430</v>
          </cell>
          <cell r="G141">
            <v>7007845</v>
          </cell>
          <cell r="H141">
            <v>11738985</v>
          </cell>
          <cell r="I141">
            <v>12347968</v>
          </cell>
          <cell r="J141">
            <v>12738772</v>
          </cell>
          <cell r="K141">
            <v>13483230</v>
          </cell>
          <cell r="L141">
            <v>11997947</v>
          </cell>
          <cell r="M141">
            <v>13427479</v>
          </cell>
          <cell r="N141">
            <v>14102849</v>
          </cell>
          <cell r="O141">
            <v>12449754</v>
          </cell>
          <cell r="P141">
            <v>14445998</v>
          </cell>
          <cell r="Q141">
            <v>14250000</v>
          </cell>
          <cell r="R141">
            <v>12500000</v>
          </cell>
          <cell r="S141">
            <v>12500000</v>
          </cell>
          <cell r="T141">
            <v>12500000</v>
          </cell>
          <cell r="U141">
            <v>12500000</v>
          </cell>
          <cell r="V141">
            <v>12500000</v>
          </cell>
          <cell r="W141">
            <v>12500000</v>
          </cell>
          <cell r="X141">
            <v>12500000</v>
          </cell>
          <cell r="Y141">
            <v>12500000</v>
          </cell>
          <cell r="Z141">
            <v>12500000</v>
          </cell>
          <cell r="AA141">
            <v>12500000</v>
          </cell>
          <cell r="AB141">
            <v>12500000</v>
          </cell>
          <cell r="AC141">
            <v>12500000</v>
          </cell>
          <cell r="AD141">
            <v>12500000</v>
          </cell>
          <cell r="AE141">
            <v>12500000</v>
          </cell>
          <cell r="AF141">
            <v>12500000</v>
          </cell>
          <cell r="AG141">
            <v>12500000</v>
          </cell>
          <cell r="AH141">
            <v>12500001</v>
          </cell>
          <cell r="AI141">
            <v>12500002</v>
          </cell>
          <cell r="AJ141">
            <v>12500003</v>
          </cell>
          <cell r="AK141">
            <v>12500004</v>
          </cell>
          <cell r="AL141">
            <v>12500005</v>
          </cell>
          <cell r="AM141">
            <v>12500006</v>
          </cell>
          <cell r="AN141">
            <v>12500007</v>
          </cell>
          <cell r="AO141">
            <v>12500008</v>
          </cell>
          <cell r="AP141">
            <v>12500009</v>
          </cell>
          <cell r="AQ141">
            <v>12500010</v>
          </cell>
        </row>
        <row r="205">
          <cell r="C205">
            <v>0</v>
          </cell>
          <cell r="D205">
            <v>0</v>
          </cell>
          <cell r="E205">
            <v>115504168</v>
          </cell>
          <cell r="F205">
            <v>151391926</v>
          </cell>
          <cell r="G205">
            <v>200531415</v>
          </cell>
          <cell r="H205">
            <v>165657065</v>
          </cell>
          <cell r="I205">
            <v>144107197</v>
          </cell>
          <cell r="J205">
            <v>106508829</v>
          </cell>
          <cell r="K205">
            <v>116353451</v>
          </cell>
          <cell r="L205">
            <v>76268925</v>
          </cell>
          <cell r="M205">
            <v>79217986</v>
          </cell>
          <cell r="N205">
            <v>74962365</v>
          </cell>
          <cell r="O205">
            <v>60044033</v>
          </cell>
          <cell r="P205">
            <v>147171</v>
          </cell>
        </row>
      </sheetData>
      <sheetData sheetId="19"/>
      <sheetData sheetId="20">
        <row r="23">
          <cell r="B23">
            <v>6796087849</v>
          </cell>
          <cell r="C23">
            <v>13615315697</v>
          </cell>
          <cell r="D23">
            <v>12987841601</v>
          </cell>
          <cell r="E23">
            <v>13350511585</v>
          </cell>
          <cell r="F23">
            <v>14359064491</v>
          </cell>
          <cell r="G23">
            <v>14845902013</v>
          </cell>
          <cell r="H23">
            <v>15175717036</v>
          </cell>
          <cell r="I23">
            <v>15109202482</v>
          </cell>
          <cell r="J23">
            <v>15148806254</v>
          </cell>
          <cell r="K23">
            <v>14928211250</v>
          </cell>
          <cell r="L23">
            <v>12986850360</v>
          </cell>
          <cell r="M23">
            <v>14258274476</v>
          </cell>
          <cell r="N23">
            <v>14542634779</v>
          </cell>
          <cell r="O23">
            <v>14794782637</v>
          </cell>
          <cell r="P23">
            <v>14890536490</v>
          </cell>
          <cell r="Q23">
            <v>14599509898.419432</v>
          </cell>
          <cell r="R23">
            <v>14672198594.498865</v>
          </cell>
        </row>
      </sheetData>
      <sheetData sheetId="21"/>
      <sheetData sheetId="22">
        <row r="13">
          <cell r="D13">
            <v>1024</v>
          </cell>
        </row>
      </sheetData>
      <sheetData sheetId="23"/>
      <sheetData sheetId="24">
        <row r="13">
          <cell r="B13">
            <v>0</v>
          </cell>
          <cell r="C13">
            <v>0</v>
          </cell>
          <cell r="D13">
            <v>1741</v>
          </cell>
          <cell r="E13">
            <v>395777</v>
          </cell>
          <cell r="F13">
            <v>59305</v>
          </cell>
          <cell r="G13">
            <v>275315</v>
          </cell>
          <cell r="H13">
            <v>534429</v>
          </cell>
          <cell r="I13">
            <v>1743894</v>
          </cell>
          <cell r="J13">
            <v>2451256</v>
          </cell>
          <cell r="K13">
            <v>1315943</v>
          </cell>
          <cell r="L13">
            <v>55892</v>
          </cell>
          <cell r="M13">
            <v>247518</v>
          </cell>
          <cell r="N13">
            <v>236352</v>
          </cell>
          <cell r="O13">
            <v>208643</v>
          </cell>
          <cell r="P13">
            <v>227964</v>
          </cell>
          <cell r="Q13">
            <v>217777.54330304067</v>
          </cell>
          <cell r="R13">
            <v>271355.95510375156</v>
          </cell>
          <cell r="AE13">
            <v>1.7001953125</v>
          </cell>
          <cell r="AF13">
            <v>1.7000146043091302</v>
          </cell>
          <cell r="AG13">
            <v>1.06554431607884</v>
          </cell>
          <cell r="AH13">
            <v>1</v>
          </cell>
          <cell r="AI13">
            <v>1</v>
          </cell>
          <cell r="AJ13">
            <v>1.0001083898939327</v>
          </cell>
          <cell r="AK13">
            <v>1.0018948590300087</v>
          </cell>
          <cell r="AL13">
            <v>1</v>
          </cell>
          <cell r="AM13">
            <v>1</v>
          </cell>
          <cell r="AN13">
            <v>1</v>
          </cell>
          <cell r="AO13">
            <v>1</v>
          </cell>
          <cell r="AP13">
            <v>1</v>
          </cell>
          <cell r="AQ13">
            <v>1</v>
          </cell>
          <cell r="AR13">
            <v>1.0000291282917695</v>
          </cell>
          <cell r="AS13">
            <v>1.0001108940974242</v>
          </cell>
        </row>
      </sheetData>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dj BBD Production 2023-2025"/>
      <sheetName val="Adj BBD Prod Split 2023-2025"/>
      <sheetName val="Unadj BBD Prod Split 2023-2025"/>
      <sheetName val="Mandates v Supply"/>
      <sheetName val="D3 and eRINs"/>
      <sheetName val="FM Mandate Analysis"/>
      <sheetName val="10 Year RFS Curves (2020)"/>
      <sheetName val="Fuel Cat Chart"/>
      <sheetName val="Production by Fuel Cat"/>
      <sheetName val="2023 Mandate Analysis"/>
      <sheetName val="High Scenario Balance Sheets"/>
      <sheetName val="Mid Scenario Balance Sheets"/>
      <sheetName val="Low Scenario Balance Sheets"/>
    </sheetNames>
    <sheetDataSet>
      <sheetData sheetId="0" refreshError="1"/>
      <sheetData sheetId="1" refreshError="1"/>
      <sheetData sheetId="2" refreshError="1"/>
      <sheetData sheetId="3" refreshError="1"/>
      <sheetData sheetId="4" refreshError="1"/>
      <sheetData sheetId="5" refreshError="1"/>
      <sheetData sheetId="6">
        <row r="13">
          <cell r="D13">
            <v>2.1</v>
          </cell>
          <cell r="E13">
            <v>2.4300000000000002</v>
          </cell>
          <cell r="F13">
            <v>2.4300000000000002</v>
          </cell>
          <cell r="G13">
            <v>2.76</v>
          </cell>
          <cell r="H13">
            <v>2.82</v>
          </cell>
          <cell r="I13">
            <v>3.04</v>
          </cell>
          <cell r="J13">
            <v>3.5</v>
          </cell>
          <cell r="K13">
            <v>7.12</v>
          </cell>
          <cell r="L13">
            <v>7.5</v>
          </cell>
          <cell r="M13">
            <v>7.75</v>
          </cell>
          <cell r="N13">
            <v>8</v>
          </cell>
          <cell r="O13">
            <v>8.25</v>
          </cell>
          <cell r="P13">
            <v>8.5</v>
          </cell>
          <cell r="Q13">
            <v>8.75</v>
          </cell>
          <cell r="R13">
            <v>9</v>
          </cell>
          <cell r="S13">
            <v>9.1</v>
          </cell>
          <cell r="T13">
            <v>9.1999999999999993</v>
          </cell>
          <cell r="U13">
            <v>9.3000000000000007</v>
          </cell>
          <cell r="V13">
            <v>9.4</v>
          </cell>
          <cell r="W13">
            <v>9.5</v>
          </cell>
          <cell r="X13">
            <v>7.8</v>
          </cell>
          <cell r="Y13">
            <v>8.15</v>
          </cell>
          <cell r="Z13">
            <v>8.5</v>
          </cell>
          <cell r="AA13">
            <v>8.9</v>
          </cell>
          <cell r="AB13">
            <v>9.3000000000000007</v>
          </cell>
          <cell r="AC13">
            <v>9.6999999999999993</v>
          </cell>
          <cell r="AD13">
            <v>10.1</v>
          </cell>
          <cell r="AE13">
            <v>10.5</v>
          </cell>
          <cell r="AF13">
            <v>10.9</v>
          </cell>
          <cell r="AG13">
            <v>11.4</v>
          </cell>
          <cell r="AH13">
            <v>11.9</v>
          </cell>
          <cell r="AI13">
            <v>12.4</v>
          </cell>
          <cell r="AJ13">
            <v>12.9</v>
          </cell>
        </row>
        <row r="15">
          <cell r="D15">
            <v>2.4019999999999997</v>
          </cell>
          <cell r="E15">
            <v>1.69</v>
          </cell>
          <cell r="F15">
            <v>2.06</v>
          </cell>
          <cell r="G15">
            <v>2.2400000000000002</v>
          </cell>
          <cell r="H15">
            <v>2.2800000000000007</v>
          </cell>
          <cell r="I15">
            <v>2.41</v>
          </cell>
          <cell r="J15">
            <v>2.4500000000000002</v>
          </cell>
          <cell r="K15">
            <v>0.59999999999999964</v>
          </cell>
          <cell r="L15">
            <v>0.60000000000000142</v>
          </cell>
          <cell r="M15">
            <v>1.0999999999999996</v>
          </cell>
          <cell r="N15">
            <v>0.25</v>
          </cell>
          <cell r="O15">
            <v>0.84999999999999964</v>
          </cell>
          <cell r="P15">
            <v>1.4499999999999993</v>
          </cell>
          <cell r="Q15">
            <v>2.0500000000000007</v>
          </cell>
          <cell r="R15">
            <v>2.6500000000000004</v>
          </cell>
          <cell r="S15">
            <v>3.4000000000000004</v>
          </cell>
          <cell r="T15">
            <v>4.1500000000000021</v>
          </cell>
          <cell r="U15">
            <v>4.8999999999999986</v>
          </cell>
          <cell r="V15">
            <v>5.65</v>
          </cell>
          <cell r="W15">
            <v>6.3999999999999986</v>
          </cell>
          <cell r="X15">
            <v>8.9499999999999993</v>
          </cell>
          <cell r="Y15">
            <v>9.4500000000000011</v>
          </cell>
          <cell r="Z15">
            <v>9.9499999999999993</v>
          </cell>
          <cell r="AA15">
            <v>9.5499999999999989</v>
          </cell>
          <cell r="AB15">
            <v>9.1499999999999986</v>
          </cell>
          <cell r="AC15">
            <v>8.75</v>
          </cell>
          <cell r="AD15">
            <v>8.35</v>
          </cell>
          <cell r="AE15">
            <v>7.9499999999999993</v>
          </cell>
          <cell r="AF15">
            <v>7.5499999999999989</v>
          </cell>
          <cell r="AG15">
            <v>7.0499999999999989</v>
          </cell>
          <cell r="AH15">
            <v>6.5500000000000025</v>
          </cell>
          <cell r="AI15">
            <v>6.0500000000000025</v>
          </cell>
          <cell r="AJ15">
            <v>5.5500000000000025</v>
          </cell>
        </row>
        <row r="16">
          <cell r="E16">
            <v>12.5</v>
          </cell>
          <cell r="F16">
            <v>13.79</v>
          </cell>
          <cell r="G16">
            <v>14.999999999999998</v>
          </cell>
          <cell r="H16">
            <v>15.25</v>
          </cell>
          <cell r="I16">
            <v>15</v>
          </cell>
          <cell r="J16">
            <v>15</v>
          </cell>
          <cell r="K16">
            <v>14.999999999999996</v>
          </cell>
          <cell r="L16">
            <v>15</v>
          </cell>
          <cell r="M16">
            <v>14.999999999999998</v>
          </cell>
          <cell r="N16">
            <v>15</v>
          </cell>
          <cell r="O16">
            <v>15</v>
          </cell>
          <cell r="P16">
            <v>15</v>
          </cell>
          <cell r="Q16">
            <v>15</v>
          </cell>
          <cell r="R16">
            <v>15</v>
          </cell>
          <cell r="S16">
            <v>15</v>
          </cell>
          <cell r="T16">
            <v>15</v>
          </cell>
          <cell r="U16">
            <v>15.000000000000004</v>
          </cell>
          <cell r="V16">
            <v>15</v>
          </cell>
          <cell r="W16">
            <v>15</v>
          </cell>
          <cell r="X16">
            <v>15</v>
          </cell>
          <cell r="Y16">
            <v>15</v>
          </cell>
          <cell r="Z16">
            <v>15.000000000000004</v>
          </cell>
          <cell r="AA16">
            <v>15.000000000000007</v>
          </cell>
          <cell r="AB16">
            <v>15.000000000000007</v>
          </cell>
          <cell r="AC16">
            <v>15</v>
          </cell>
          <cell r="AD16">
            <v>15</v>
          </cell>
          <cell r="AE16">
            <v>15.000000000000004</v>
          </cell>
          <cell r="AF16">
            <v>15.000000000000007</v>
          </cell>
          <cell r="AG16">
            <v>15.000000000000007</v>
          </cell>
          <cell r="AH16">
            <v>15</v>
          </cell>
          <cell r="AI16">
            <v>15</v>
          </cell>
          <cell r="AJ16">
            <v>15</v>
          </cell>
        </row>
        <row r="17">
          <cell r="D17">
            <v>0.41799999999999998</v>
          </cell>
          <cell r="E17">
            <v>0.51</v>
          </cell>
          <cell r="F17">
            <v>0.56000000000000005</v>
          </cell>
          <cell r="G17">
            <v>0.63</v>
          </cell>
          <cell r="H17">
            <v>0.84</v>
          </cell>
          <cell r="I17">
            <v>1.0900000000000001</v>
          </cell>
          <cell r="J17">
            <v>1.38</v>
          </cell>
          <cell r="K17">
            <v>1.3</v>
          </cell>
          <cell r="L17">
            <v>1.36</v>
          </cell>
          <cell r="M17">
            <v>1.4</v>
          </cell>
          <cell r="N17">
            <v>3.25</v>
          </cell>
          <cell r="O17">
            <v>3.5</v>
          </cell>
          <cell r="P17">
            <v>3.75</v>
          </cell>
          <cell r="Q17">
            <v>4</v>
          </cell>
          <cell r="R17">
            <v>4.25</v>
          </cell>
          <cell r="S17">
            <v>4.5</v>
          </cell>
          <cell r="T17">
            <v>4.75</v>
          </cell>
          <cell r="U17">
            <v>5</v>
          </cell>
          <cell r="V17">
            <v>5.25</v>
          </cell>
          <cell r="W17">
            <v>5.5</v>
          </cell>
          <cell r="X17">
            <v>5.75</v>
          </cell>
          <cell r="Y17">
            <v>6</v>
          </cell>
          <cell r="Z17">
            <v>6.25</v>
          </cell>
          <cell r="AA17">
            <v>7.25</v>
          </cell>
          <cell r="AB17">
            <v>8.25</v>
          </cell>
          <cell r="AC17">
            <v>9.25</v>
          </cell>
          <cell r="AD17">
            <v>10.25</v>
          </cell>
          <cell r="AE17">
            <v>11.25</v>
          </cell>
          <cell r="AF17">
            <v>12.25</v>
          </cell>
          <cell r="AG17">
            <v>13.25</v>
          </cell>
          <cell r="AH17">
            <v>14.25</v>
          </cell>
          <cell r="AI17">
            <v>15.25</v>
          </cell>
          <cell r="AJ17">
            <v>16.25</v>
          </cell>
        </row>
        <row r="18">
          <cell r="C18">
            <v>19.29</v>
          </cell>
          <cell r="D18">
            <v>19.920000000000002</v>
          </cell>
          <cell r="E18">
            <v>17.13</v>
          </cell>
          <cell r="F18">
            <v>18.84</v>
          </cell>
          <cell r="G18">
            <v>20.63</v>
          </cell>
          <cell r="H18">
            <v>20.94</v>
          </cell>
          <cell r="I18">
            <v>21.54</v>
          </cell>
          <cell r="J18">
            <v>22.33</v>
          </cell>
          <cell r="K18">
            <v>24.02</v>
          </cell>
          <cell r="L18">
            <v>24.46</v>
          </cell>
          <cell r="M18">
            <v>25.25</v>
          </cell>
          <cell r="N18">
            <v>26.5</v>
          </cell>
          <cell r="O18">
            <v>27.6</v>
          </cell>
          <cell r="P18">
            <v>28.7</v>
          </cell>
          <cell r="Q18">
            <v>29.8</v>
          </cell>
          <cell r="R18">
            <v>30.9</v>
          </cell>
          <cell r="S18">
            <v>32</v>
          </cell>
          <cell r="T18">
            <v>33.1</v>
          </cell>
          <cell r="U18">
            <v>34.200000000000003</v>
          </cell>
          <cell r="V18">
            <v>35.299999999999997</v>
          </cell>
          <cell r="W18">
            <v>36.4</v>
          </cell>
          <cell r="X18">
            <v>37.5</v>
          </cell>
          <cell r="Y18">
            <v>38.6</v>
          </cell>
          <cell r="Z18">
            <v>39.700000000000003</v>
          </cell>
          <cell r="AA18">
            <v>40.700000000000003</v>
          </cell>
          <cell r="AB18">
            <v>41.7</v>
          </cell>
          <cell r="AC18">
            <v>42.7</v>
          </cell>
          <cell r="AD18">
            <v>43.7</v>
          </cell>
          <cell r="AE18">
            <v>44.7</v>
          </cell>
          <cell r="AF18">
            <v>45.7</v>
          </cell>
          <cell r="AG18">
            <v>46.7</v>
          </cell>
          <cell r="AH18">
            <v>47.7</v>
          </cell>
          <cell r="AI18">
            <v>48.7</v>
          </cell>
          <cell r="AJ18">
            <v>49.7</v>
          </cell>
        </row>
        <row r="20">
          <cell r="C20">
            <v>4.29</v>
          </cell>
          <cell r="D20">
            <v>4.92</v>
          </cell>
          <cell r="E20">
            <v>4.63</v>
          </cell>
          <cell r="F20">
            <v>5.05</v>
          </cell>
          <cell r="G20">
            <v>5.63</v>
          </cell>
          <cell r="H20">
            <v>5.94</v>
          </cell>
          <cell r="I20">
            <v>6.54</v>
          </cell>
          <cell r="J20">
            <v>7.33</v>
          </cell>
          <cell r="K20">
            <v>9.02</v>
          </cell>
        </row>
        <row r="45">
          <cell r="J45">
            <v>1.5809160410664111</v>
          </cell>
          <cell r="K45">
            <v>1.4562889208928502</v>
          </cell>
          <cell r="L45">
            <v>1.4741037746967698</v>
          </cell>
          <cell r="M45">
            <v>1.1900367778718348</v>
          </cell>
          <cell r="N45">
            <v>1.3937372358532385</v>
          </cell>
          <cell r="O45">
            <v>1.431556783575296</v>
          </cell>
          <cell r="P45">
            <v>1.436439275890566</v>
          </cell>
          <cell r="Q45">
            <v>1.4914821547054964</v>
          </cell>
          <cell r="R45">
            <v>1.0367201658333904</v>
          </cell>
          <cell r="S45">
            <v>1.3349140122352912</v>
          </cell>
          <cell r="T45">
            <v>1.3032997336258769</v>
          </cell>
          <cell r="U45">
            <v>1.0191015416860563</v>
          </cell>
          <cell r="V45">
            <v>0.78288317154872755</v>
          </cell>
          <cell r="W45">
            <v>0.75985761463568102</v>
          </cell>
          <cell r="X45">
            <v>0.60315308077925434</v>
          </cell>
          <cell r="Y45">
            <v>0.30470374764333696</v>
          </cell>
          <cell r="Z45">
            <v>0.35025761720065324</v>
          </cell>
          <cell r="AA45">
            <v>0.34189790660752356</v>
          </cell>
          <cell r="AB45">
            <v>0.25913543924485949</v>
          </cell>
          <cell r="AC45">
            <v>0.2651114741936863</v>
          </cell>
          <cell r="AD45">
            <v>0.26902199476006389</v>
          </cell>
          <cell r="AE45">
            <v>0.26854567420251296</v>
          </cell>
          <cell r="AF45">
            <v>0.26967250508195562</v>
          </cell>
          <cell r="AG45">
            <v>0.27726190549302393</v>
          </cell>
          <cell r="AH45">
            <v>0.28521263013278242</v>
          </cell>
          <cell r="AI45">
            <v>0.29509552276939643</v>
          </cell>
          <cell r="AJ45">
            <v>0.3145543748802998</v>
          </cell>
        </row>
        <row r="46">
          <cell r="J46">
            <v>2.7895965663052382</v>
          </cell>
          <cell r="K46">
            <v>2.7143447224657029</v>
          </cell>
          <cell r="L46">
            <v>2.9704608008380613</v>
          </cell>
          <cell r="M46">
            <v>3.0164947623133673</v>
          </cell>
          <cell r="N46">
            <v>3.0319185758463245</v>
          </cell>
          <cell r="O46">
            <v>3.1796222209516429</v>
          </cell>
          <cell r="P46">
            <v>3.4578266353126303</v>
          </cell>
          <cell r="Q46">
            <v>4.1105962230101731</v>
          </cell>
          <cell r="R46">
            <v>4.0861964712601679</v>
          </cell>
          <cell r="S46">
            <v>3.9634897674394653</v>
          </cell>
          <cell r="T46">
            <v>4.200392253024769</v>
          </cell>
          <cell r="U46">
            <v>4.5545096676966708</v>
          </cell>
          <cell r="V46">
            <v>5.1892550799016517</v>
          </cell>
          <cell r="W46">
            <v>5.722051329610176</v>
          </cell>
          <cell r="X46">
            <v>5.7223102771676402</v>
          </cell>
          <cell r="Y46">
            <v>5.4625344770382656</v>
          </cell>
          <cell r="Z46">
            <v>5.7395681243398062</v>
          </cell>
          <cell r="AA46">
            <v>6.0303341300087396</v>
          </cell>
          <cell r="AB46">
            <v>6.5110651586509976</v>
          </cell>
          <cell r="AC46">
            <v>6.606260767612631</v>
          </cell>
          <cell r="AD46">
            <v>6.5180311486420646</v>
          </cell>
          <cell r="AE46">
            <v>6.160248787524802</v>
          </cell>
          <cell r="AF46">
            <v>5.9826550978000812</v>
          </cell>
          <cell r="AG46">
            <v>6.2115943453546256</v>
          </cell>
          <cell r="AH46">
            <v>6.4357919906141872</v>
          </cell>
          <cell r="AI46">
            <v>6.7252633018047172</v>
          </cell>
          <cell r="AJ46">
            <v>7.2358165560640302</v>
          </cell>
        </row>
        <row r="47">
          <cell r="J47">
            <v>6.1713905573394054E-2</v>
          </cell>
          <cell r="K47">
            <v>7.464447986780684E-2</v>
          </cell>
          <cell r="L47">
            <v>9.0174702882584001E-2</v>
          </cell>
          <cell r="M47">
            <v>9.4265461322292729E-2</v>
          </cell>
          <cell r="N47">
            <v>0.10106395252821082</v>
          </cell>
          <cell r="O47">
            <v>0.10810715551235586</v>
          </cell>
          <cell r="P47">
            <v>0.11237936564766049</v>
          </cell>
          <cell r="Q47">
            <v>0.12742848291331538</v>
          </cell>
          <cell r="R47">
            <v>0.13075828708032539</v>
          </cell>
          <cell r="S47">
            <v>0.13703555046998153</v>
          </cell>
          <cell r="T47">
            <v>0.145226327897133</v>
          </cell>
          <cell r="U47">
            <v>0.14202234447656284</v>
          </cell>
          <cell r="V47">
            <v>0.15355958909913053</v>
          </cell>
          <cell r="W47">
            <v>0.16932600873336237</v>
          </cell>
          <cell r="X47">
            <v>0.1849635645145096</v>
          </cell>
          <cell r="Y47">
            <v>0.18484333836442618</v>
          </cell>
          <cell r="Z47">
            <v>0.18552139391805433</v>
          </cell>
          <cell r="AA47">
            <v>0.19491989107098956</v>
          </cell>
          <cell r="AB47">
            <v>0.21045867179477973</v>
          </cell>
          <cell r="AC47">
            <v>0.2157146373098002</v>
          </cell>
          <cell r="AD47">
            <v>0.21530210190128429</v>
          </cell>
          <cell r="AE47">
            <v>0.214329643561469</v>
          </cell>
          <cell r="AF47">
            <v>0.21065686964084795</v>
          </cell>
          <cell r="AG47">
            <v>0.21871811075192346</v>
          </cell>
          <cell r="AH47">
            <v>0.22661239403571085</v>
          </cell>
          <cell r="AI47">
            <v>0.22864318376592827</v>
          </cell>
          <cell r="AJ47">
            <v>0.25478227310084617</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Biodiesel Imports"/>
      <sheetName val="US Biodiesel Exports"/>
      <sheetName val="Conversions"/>
    </sheetNames>
    <sheetDataSet>
      <sheetData sheetId="0">
        <row r="293">
          <cell r="R293">
            <v>22.912362669411806</v>
          </cell>
          <cell r="S293">
            <v>46.454325035999972</v>
          </cell>
          <cell r="T293">
            <v>33.513434343058805</v>
          </cell>
          <cell r="U293">
            <v>324.84598943035303</v>
          </cell>
          <cell r="V293">
            <v>185.11049544894115</v>
          </cell>
          <cell r="W293">
            <v>339.80717852941149</v>
          </cell>
          <cell r="X293">
            <v>709.5457427314285</v>
          </cell>
          <cell r="Y293">
            <v>397.25191799485714</v>
          </cell>
          <cell r="Z293">
            <v>0</v>
          </cell>
        </row>
      </sheetData>
      <sheetData sheetId="1">
        <row r="293">
          <cell r="R293">
            <v>0</v>
          </cell>
          <cell r="S293">
            <v>0</v>
          </cell>
          <cell r="T293">
            <v>0</v>
          </cell>
          <cell r="U293">
            <v>0</v>
          </cell>
          <cell r="V293">
            <v>0</v>
          </cell>
          <cell r="W293">
            <v>0</v>
          </cell>
          <cell r="X293">
            <v>0</v>
          </cell>
          <cell r="Y293">
            <v>0</v>
          </cell>
          <cell r="Z293">
            <v>0</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govinfo.gov/content/pkg/USCODE-2010-title42/pdf/USCODE-2010-title42-chap85-subchapII-partA-sec7545.pdf" TargetMode="External"/><Relationship Id="rId2" Type="http://schemas.openxmlformats.org/officeDocument/2006/relationships/hyperlink" Target="https://www.federalregister.gov/documents/2021/01/15/2021-00204/extension-of-2019-and-2020-renewable-fuel-standard-compliance-and-attest-engagement-reporting" TargetMode="External"/><Relationship Id="rId1" Type="http://schemas.openxmlformats.org/officeDocument/2006/relationships/hyperlink" Target="https://fas.org/sgp/crs/misc/R44045.pdf" TargetMode="External"/><Relationship Id="rId4"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C4586-19FC-4F39-9568-4D1587AB6076}">
  <dimension ref="A1:BK75"/>
  <sheetViews>
    <sheetView zoomScaleNormal="100" workbookViewId="0">
      <pane xSplit="1" ySplit="1" topLeftCell="J2" activePane="bottomRight" state="frozen"/>
      <selection activeCell="AD6" sqref="AD6"/>
      <selection pane="topRight" activeCell="AD6" sqref="AD6"/>
      <selection pane="bottomLeft" activeCell="AD6" sqref="AD6"/>
      <selection pane="bottomRight" activeCell="Q19" sqref="Q19"/>
    </sheetView>
  </sheetViews>
  <sheetFormatPr defaultColWidth="16.85546875" defaultRowHeight="12.75"/>
  <cols>
    <col min="1" max="1" width="39" style="167" bestFit="1" customWidth="1"/>
    <col min="2" max="2" width="12.85546875" style="167" customWidth="1"/>
    <col min="3" max="42" width="15.7109375" style="167" customWidth="1"/>
    <col min="43" max="45" width="12.85546875" style="167" customWidth="1"/>
    <col min="46" max="58" width="12.85546875" style="167" hidden="1" customWidth="1"/>
    <col min="59" max="59" width="17" style="167" bestFit="1" customWidth="1"/>
    <col min="60" max="60" width="18.42578125" style="167" bestFit="1" customWidth="1"/>
    <col min="61" max="63" width="17" style="167" bestFit="1" customWidth="1"/>
    <col min="64" max="16384" width="16.85546875" style="167"/>
  </cols>
  <sheetData>
    <row r="1" spans="1:62" ht="19.5" thickBot="1">
      <c r="A1" s="165" t="s">
        <v>0</v>
      </c>
      <c r="B1" s="166">
        <v>2010</v>
      </c>
      <c r="C1" s="166">
        <v>2011</v>
      </c>
      <c r="D1" s="166">
        <v>2012</v>
      </c>
      <c r="E1" s="166">
        <v>2013</v>
      </c>
      <c r="F1" s="166">
        <v>2014</v>
      </c>
      <c r="G1" s="166">
        <v>2015</v>
      </c>
      <c r="H1" s="166">
        <v>2016</v>
      </c>
      <c r="I1" s="166">
        <v>2017</v>
      </c>
      <c r="J1" s="166">
        <v>2018</v>
      </c>
      <c r="K1" s="166">
        <v>2019</v>
      </c>
      <c r="L1" s="166">
        <v>2020</v>
      </c>
      <c r="M1" s="166">
        <v>2021</v>
      </c>
      <c r="N1" s="166">
        <v>2022</v>
      </c>
      <c r="O1" s="166">
        <v>2023</v>
      </c>
      <c r="P1" s="166">
        <v>2024</v>
      </c>
      <c r="Q1" s="166">
        <v>2025</v>
      </c>
      <c r="R1" s="166">
        <v>2026</v>
      </c>
      <c r="S1" s="166">
        <v>2027</v>
      </c>
      <c r="T1" s="166">
        <v>2028</v>
      </c>
      <c r="U1" s="166">
        <v>2029</v>
      </c>
      <c r="V1" s="166">
        <v>2030</v>
      </c>
      <c r="W1" s="166">
        <v>2031</v>
      </c>
      <c r="X1" s="166">
        <v>2032</v>
      </c>
      <c r="Y1" s="166">
        <v>2033</v>
      </c>
      <c r="Z1" s="166">
        <v>2034</v>
      </c>
      <c r="AA1" s="166">
        <v>2035</v>
      </c>
      <c r="AB1" s="166">
        <v>2036</v>
      </c>
      <c r="AC1" s="166">
        <v>2037</v>
      </c>
      <c r="AD1" s="166">
        <v>2038</v>
      </c>
      <c r="AE1" s="166">
        <v>2039</v>
      </c>
      <c r="AF1" s="166">
        <v>2040</v>
      </c>
      <c r="AG1" s="166">
        <v>2041</v>
      </c>
      <c r="AH1" s="166">
        <v>2042</v>
      </c>
      <c r="AI1" s="166">
        <v>2043</v>
      </c>
      <c r="AJ1" s="166">
        <v>2044</v>
      </c>
      <c r="AK1" s="166">
        <v>2045</v>
      </c>
      <c r="AL1" s="166">
        <v>2046</v>
      </c>
      <c r="AM1" s="166">
        <v>2047</v>
      </c>
      <c r="AN1" s="166">
        <v>2048</v>
      </c>
      <c r="AO1" s="166">
        <v>2049</v>
      </c>
      <c r="AP1" s="166">
        <v>2050</v>
      </c>
    </row>
    <row r="2" spans="1:62" ht="15">
      <c r="A2" s="204" t="s">
        <v>1</v>
      </c>
      <c r="B2" s="168"/>
      <c r="C2" s="168">
        <f t="shared" ref="C2:P3" si="0">C10</f>
        <v>42</v>
      </c>
      <c r="D2" s="169">
        <f t="shared" si="0"/>
        <v>41</v>
      </c>
      <c r="E2" s="168">
        <f t="shared" si="0"/>
        <v>30</v>
      </c>
      <c r="F2" s="168">
        <f t="shared" si="0"/>
        <v>28</v>
      </c>
      <c r="G2" s="168">
        <f t="shared" si="0"/>
        <v>28</v>
      </c>
      <c r="H2" s="168">
        <f t="shared" si="0"/>
        <v>29</v>
      </c>
      <c r="I2" s="168">
        <f t="shared" si="0"/>
        <v>37</v>
      </c>
      <c r="J2" s="168">
        <f t="shared" si="0"/>
        <v>44</v>
      </c>
      <c r="K2" s="168">
        <f t="shared" si="0"/>
        <v>34</v>
      </c>
      <c r="L2" s="168">
        <f t="shared" si="0"/>
        <v>32</v>
      </c>
      <c r="M2" s="168">
        <f t="shared" si="0"/>
        <v>26</v>
      </c>
      <c r="N2" s="168">
        <f t="shared" si="0"/>
        <v>24</v>
      </c>
      <c r="O2" s="168">
        <f t="shared" si="0"/>
        <v>26</v>
      </c>
      <c r="P2" s="168">
        <f t="shared" si="0"/>
        <v>30</v>
      </c>
      <c r="Q2" s="171">
        <f>FORECAST(P10,D8:O8,D10:O10)*P2+15</f>
        <v>30.372759217206848</v>
      </c>
      <c r="R2" s="171">
        <f>FORECAST(Q10,E8:P8,E10:P10)*Q2+15</f>
        <v>30.513041962748463</v>
      </c>
      <c r="S2" s="171">
        <f>FORECAST(R10,F8:Q8,F10:Q10)*R2+15</f>
        <v>30.53056245729725</v>
      </c>
      <c r="T2" s="171">
        <f>FORECAST(S10,G8:R8,G10:R10)*S2+14</f>
        <v>29.684778957784154</v>
      </c>
      <c r="U2" s="171">
        <f>FORECAST(T10,H8:S8,H10:S10)*T2+14</f>
        <v>29.509777465883069</v>
      </c>
      <c r="V2" s="171">
        <f>FORECAST(U10,I8:T8,I10:T10)*U2+14</f>
        <v>29.740363110193471</v>
      </c>
      <c r="W2" s="171">
        <f t="shared" ref="W2:AH2" si="1">FORECAST(V10,J8:U8,J10:U10)*V2+13</f>
        <v>29.080415128924116</v>
      </c>
      <c r="X2" s="171">
        <f t="shared" si="1"/>
        <v>28.762713636941527</v>
      </c>
      <c r="Y2" s="171">
        <f t="shared" si="1"/>
        <v>28.556121966080685</v>
      </c>
      <c r="Z2" s="171">
        <f t="shared" si="1"/>
        <v>28.337775291321801</v>
      </c>
      <c r="AA2" s="171">
        <f t="shared" si="1"/>
        <v>28.205308781042461</v>
      </c>
      <c r="AB2" s="171">
        <f t="shared" si="1"/>
        <v>28.104347197956685</v>
      </c>
      <c r="AC2" s="171">
        <f t="shared" si="1"/>
        <v>28.031420163998082</v>
      </c>
      <c r="AD2" s="171">
        <f t="shared" si="1"/>
        <v>27.91149483875321</v>
      </c>
      <c r="AE2" s="171">
        <f t="shared" si="1"/>
        <v>27.297392592483426</v>
      </c>
      <c r="AF2" s="171">
        <f t="shared" si="1"/>
        <v>26.60265459441775</v>
      </c>
      <c r="AG2" s="171">
        <f t="shared" si="1"/>
        <v>25.754387120477368</v>
      </c>
      <c r="AH2" s="171">
        <f t="shared" si="1"/>
        <v>25.123960314744522</v>
      </c>
      <c r="AI2" s="171">
        <f>FORECAST(AH10,V8:AG8,V10:AG10)*AH2+14</f>
        <v>25.873368717452131</v>
      </c>
      <c r="AJ2" s="171">
        <f t="shared" ref="AJ2:AO2" si="2">FORECAST(AI10,W8:AH8,W10:AH10)*AI2+14</f>
        <v>26.639494821516465</v>
      </c>
      <c r="AK2" s="171">
        <f t="shared" si="2"/>
        <v>27.23124054231976</v>
      </c>
      <c r="AL2" s="171">
        <f t="shared" si="2"/>
        <v>27.63911479052036</v>
      </c>
      <c r="AM2" s="171">
        <f t="shared" si="2"/>
        <v>27.846348534970161</v>
      </c>
      <c r="AN2" s="171">
        <f>FORECAST(AM10,AA8:AL8,AA10:AL10)*AM2+15</f>
        <v>28.822394415383528</v>
      </c>
      <c r="AO2" s="171">
        <f t="shared" si="2"/>
        <v>28.175758032226618</v>
      </c>
      <c r="AP2" s="171">
        <f>FORECAST(AO10,AC8:AN8,AC10:AN10)*AO2+15</f>
        <v>28.601144581084611</v>
      </c>
    </row>
    <row r="3" spans="1:62" ht="15">
      <c r="A3" s="205" t="s">
        <v>2</v>
      </c>
      <c r="B3" s="172"/>
      <c r="C3" s="172">
        <f>C11</f>
        <v>24</v>
      </c>
      <c r="D3" s="166">
        <f t="shared" si="0"/>
        <v>23</v>
      </c>
      <c r="E3" s="172">
        <f t="shared" si="0"/>
        <v>8</v>
      </c>
      <c r="F3" s="172">
        <f t="shared" si="0"/>
        <v>8</v>
      </c>
      <c r="G3" s="172">
        <f t="shared" si="0"/>
        <v>7</v>
      </c>
      <c r="H3" s="172">
        <f t="shared" si="0"/>
        <v>19</v>
      </c>
      <c r="I3" s="173">
        <f t="shared" si="0"/>
        <v>35</v>
      </c>
      <c r="J3" s="174">
        <f t="shared" si="0"/>
        <v>29</v>
      </c>
      <c r="K3" s="174">
        <f t="shared" si="0"/>
        <v>25</v>
      </c>
      <c r="L3" s="174">
        <f t="shared" si="0"/>
        <v>7</v>
      </c>
      <c r="M3" s="174">
        <f t="shared" si="0"/>
        <v>15</v>
      </c>
      <c r="N3" s="174">
        <f t="shared" si="0"/>
        <v>6</v>
      </c>
      <c r="O3" s="174">
        <f>O2-O4-O6-O7</f>
        <v>21</v>
      </c>
      <c r="P3" s="174">
        <f>P2-P4-P6-P7</f>
        <v>18.990764790764793</v>
      </c>
      <c r="Q3" s="175">
        <f>Q2-Q4-Q6-Q7</f>
        <v>14.702491465970624</v>
      </c>
      <c r="R3" s="175">
        <f>R2-R4-R6-R7</f>
        <v>15.997707524613235</v>
      </c>
      <c r="S3" s="175">
        <f t="shared" ref="S3:AP3" si="3">S2-S4-S6-S7</f>
        <v>17.451114303963379</v>
      </c>
      <c r="T3" s="175">
        <f t="shared" si="3"/>
        <v>14.197674946624954</v>
      </c>
      <c r="U3" s="175">
        <f t="shared" si="3"/>
        <v>14.948533064874711</v>
      </c>
      <c r="V3" s="175">
        <f t="shared" si="3"/>
        <v>14.963372610354588</v>
      </c>
      <c r="W3" s="175">
        <f t="shared" si="3"/>
        <v>12.986213345916328</v>
      </c>
      <c r="X3" s="175">
        <f t="shared" si="3"/>
        <v>13.335699198557897</v>
      </c>
      <c r="Y3" s="175">
        <f t="shared" si="3"/>
        <v>12.066695829485488</v>
      </c>
      <c r="Z3" s="175">
        <f t="shared" si="3"/>
        <v>5.97133158460651</v>
      </c>
      <c r="AA3" s="175">
        <f t="shared" si="3"/>
        <v>8.651265329044632</v>
      </c>
      <c r="AB3" s="175">
        <f t="shared" si="3"/>
        <v>10.371567899709637</v>
      </c>
      <c r="AC3" s="175">
        <f t="shared" si="3"/>
        <v>12.252961639743535</v>
      </c>
      <c r="AD3" s="175">
        <f t="shared" si="3"/>
        <v>12.054102798751535</v>
      </c>
      <c r="AE3" s="175">
        <f t="shared" si="3"/>
        <v>12.36216095890936</v>
      </c>
      <c r="AF3" s="175">
        <f t="shared" si="3"/>
        <v>10.632311849552369</v>
      </c>
      <c r="AG3" s="175">
        <f t="shared" si="3"/>
        <v>8.6661767408813013</v>
      </c>
      <c r="AH3" s="175">
        <f t="shared" si="3"/>
        <v>8.6727937874834282</v>
      </c>
      <c r="AI3" s="175">
        <f t="shared" si="3"/>
        <v>9.2244615231634235</v>
      </c>
      <c r="AJ3" s="175">
        <f t="shared" si="3"/>
        <v>9.925275674389253</v>
      </c>
      <c r="AK3" s="175">
        <f t="shared" si="3"/>
        <v>9.8773031775055156</v>
      </c>
      <c r="AL3" s="175">
        <f t="shared" si="3"/>
        <v>9.5503363100418497</v>
      </c>
      <c r="AM3" s="175">
        <f t="shared" si="3"/>
        <v>9.5220434832949188</v>
      </c>
      <c r="AN3" s="175">
        <f t="shared" si="3"/>
        <v>10.344787368499327</v>
      </c>
      <c r="AO3" s="175">
        <f t="shared" si="3"/>
        <v>10.834452224306062</v>
      </c>
      <c r="AP3" s="175">
        <f t="shared" si="3"/>
        <v>11.336915814836832</v>
      </c>
      <c r="BH3" s="176" t="s">
        <v>3</v>
      </c>
    </row>
    <row r="4" spans="1:62" ht="15">
      <c r="A4" s="205" t="s">
        <v>4</v>
      </c>
      <c r="B4" s="172"/>
      <c r="C4" s="172"/>
      <c r="D4" s="166"/>
      <c r="E4" s="172">
        <v>0</v>
      </c>
      <c r="F4" s="172">
        <v>0</v>
      </c>
      <c r="G4" s="172">
        <v>0</v>
      </c>
      <c r="H4" s="172">
        <v>0</v>
      </c>
      <c r="I4" s="172">
        <v>0</v>
      </c>
      <c r="J4" s="172">
        <v>0</v>
      </c>
      <c r="K4" s="172">
        <v>0</v>
      </c>
      <c r="L4" s="172">
        <v>0</v>
      </c>
      <c r="M4" s="172">
        <v>0</v>
      </c>
      <c r="N4" s="172">
        <v>0</v>
      </c>
      <c r="O4" s="172">
        <v>0</v>
      </c>
      <c r="P4" s="172">
        <v>0</v>
      </c>
      <c r="Q4" s="175">
        <f>FORECAST(Q2,G12:P12,G10:P10)</f>
        <v>7.992584877339489</v>
      </c>
      <c r="R4" s="175">
        <f>FORECAST(R2,H12:Q12,H10:Q10)</f>
        <v>7.6611531265371084</v>
      </c>
      <c r="S4" s="175">
        <f>FORECAST(S2,I12:R12,I10:R10)</f>
        <v>7.6473051876317584</v>
      </c>
      <c r="T4" s="175">
        <f>FORECAST(T2,J12:S12,J10:S10)</f>
        <v>7.7224051932004514</v>
      </c>
      <c r="U4" s="175">
        <f>FORECAST(U2,K12:T12,K10:T10)</f>
        <v>7.8289884920301542</v>
      </c>
      <c r="V4" s="175">
        <f t="shared" ref="V4:AP4" si="4">FORECAST(V2,L11:U11,L2:U2)</f>
        <v>8.2811605610014958</v>
      </c>
      <c r="W4" s="175">
        <f t="shared" si="4"/>
        <v>9.2552207842275536</v>
      </c>
      <c r="X4" s="175">
        <f t="shared" si="4"/>
        <v>8.9816048225628293</v>
      </c>
      <c r="Y4" s="175">
        <f t="shared" si="4"/>
        <v>9.8979427454290931</v>
      </c>
      <c r="Z4" s="175">
        <f t="shared" si="4"/>
        <v>15.902254236988654</v>
      </c>
      <c r="AA4" s="175">
        <f t="shared" si="4"/>
        <v>12.843579321440487</v>
      </c>
      <c r="AB4" s="175">
        <f t="shared" si="4"/>
        <v>10.832120957378486</v>
      </c>
      <c r="AC4" s="175">
        <f t="shared" si="4"/>
        <v>8.7294838685984217</v>
      </c>
      <c r="AD4" s="175">
        <f t="shared" si="4"/>
        <v>9.103803228451028</v>
      </c>
      <c r="AE4" s="175">
        <f t="shared" si="4"/>
        <v>8.0026128621652788</v>
      </c>
      <c r="AF4" s="175">
        <f t="shared" si="4"/>
        <v>8.8280193200719026</v>
      </c>
      <c r="AG4" s="175">
        <f t="shared" si="4"/>
        <v>10.197691530642087</v>
      </c>
      <c r="AH4" s="175">
        <f t="shared" si="4"/>
        <v>9.3185715933121074</v>
      </c>
      <c r="AI4" s="175">
        <f t="shared" si="4"/>
        <v>9.5963583933145333</v>
      </c>
      <c r="AJ4" s="175">
        <f t="shared" si="4"/>
        <v>9.7642776786802976</v>
      </c>
      <c r="AK4" s="175">
        <f t="shared" si="4"/>
        <v>10.493011413287242</v>
      </c>
      <c r="AL4" s="175">
        <f t="shared" si="4"/>
        <v>11.265166400963963</v>
      </c>
      <c r="AM4" s="175">
        <f t="shared" si="4"/>
        <v>11.509789006532227</v>
      </c>
      <c r="AN4" s="175">
        <f t="shared" si="4"/>
        <v>11.702998787979194</v>
      </c>
      <c r="AO4" s="175">
        <f t="shared" si="4"/>
        <v>10.492473872036676</v>
      </c>
      <c r="AP4" s="175">
        <f t="shared" si="4"/>
        <v>10.456549761627087</v>
      </c>
      <c r="BG4" s="167" t="s">
        <v>5</v>
      </c>
      <c r="BH4" s="177">
        <f>P21*P28</f>
        <v>2692500000</v>
      </c>
    </row>
    <row r="5" spans="1:62" ht="15">
      <c r="A5" s="205" t="s">
        <v>6</v>
      </c>
      <c r="B5" s="172"/>
      <c r="C5" s="208">
        <v>0.5</v>
      </c>
      <c r="D5" s="208">
        <v>0.5</v>
      </c>
      <c r="E5" s="208">
        <v>0.5</v>
      </c>
      <c r="F5" s="208">
        <v>0.5</v>
      </c>
      <c r="G5" s="208">
        <v>0.5</v>
      </c>
      <c r="H5" s="208">
        <v>0.5</v>
      </c>
      <c r="I5" s="208">
        <v>0.5</v>
      </c>
      <c r="J5" s="208">
        <v>0.5</v>
      </c>
      <c r="K5" s="208">
        <v>0.5</v>
      </c>
      <c r="L5" s="208">
        <v>0.5</v>
      </c>
      <c r="M5" s="208">
        <v>0.5</v>
      </c>
      <c r="N5" s="208">
        <v>0.5</v>
      </c>
      <c r="O5" s="208">
        <v>0.5</v>
      </c>
      <c r="P5" s="208">
        <v>0.5</v>
      </c>
      <c r="Q5" s="209">
        <v>0.5</v>
      </c>
      <c r="R5" s="209">
        <v>0.5</v>
      </c>
      <c r="S5" s="209">
        <v>0.5</v>
      </c>
      <c r="T5" s="209">
        <v>0.5</v>
      </c>
      <c r="U5" s="209">
        <v>0.5</v>
      </c>
      <c r="V5" s="209">
        <v>0.5</v>
      </c>
      <c r="W5" s="209">
        <v>0.5</v>
      </c>
      <c r="X5" s="209">
        <v>0.5</v>
      </c>
      <c r="Y5" s="209">
        <v>0.5</v>
      </c>
      <c r="Z5" s="209">
        <v>0.5</v>
      </c>
      <c r="AA5" s="209">
        <v>0.5</v>
      </c>
      <c r="AB5" s="209">
        <v>0.5</v>
      </c>
      <c r="AC5" s="209">
        <v>0.5</v>
      </c>
      <c r="AD5" s="209">
        <v>0.5</v>
      </c>
      <c r="AE5" s="209">
        <v>0.5</v>
      </c>
      <c r="AF5" s="209">
        <v>0.5</v>
      </c>
      <c r="AG5" s="209">
        <v>0.5</v>
      </c>
      <c r="AH5" s="209">
        <v>0.5</v>
      </c>
      <c r="AI5" s="209">
        <v>0.5</v>
      </c>
      <c r="AJ5" s="209">
        <v>0.5</v>
      </c>
      <c r="AK5" s="209">
        <v>0.5</v>
      </c>
      <c r="AL5" s="209">
        <v>0.5</v>
      </c>
      <c r="AM5" s="209">
        <v>0.5</v>
      </c>
      <c r="AN5" s="209">
        <v>0.5</v>
      </c>
      <c r="AO5" s="209">
        <v>0.5</v>
      </c>
      <c r="AP5" s="209">
        <v>0.5</v>
      </c>
      <c r="BH5" s="177"/>
      <c r="BI5" s="167" t="s">
        <v>7</v>
      </c>
    </row>
    <row r="6" spans="1:62" ht="15">
      <c r="A6" s="205" t="s">
        <v>8</v>
      </c>
      <c r="B6" s="172"/>
      <c r="C6" s="172">
        <f>C15</f>
        <v>0</v>
      </c>
      <c r="D6" s="166">
        <f t="shared" ref="D6:M6" si="5">D15</f>
        <v>0</v>
      </c>
      <c r="E6" s="172">
        <f t="shared" si="5"/>
        <v>0</v>
      </c>
      <c r="F6" s="172">
        <f t="shared" si="5"/>
        <v>0</v>
      </c>
      <c r="G6" s="172">
        <f t="shared" si="5"/>
        <v>0</v>
      </c>
      <c r="H6" s="172">
        <f t="shared" si="5"/>
        <v>0</v>
      </c>
      <c r="I6" s="172">
        <f t="shared" si="5"/>
        <v>0</v>
      </c>
      <c r="J6" s="172">
        <f t="shared" si="5"/>
        <v>0</v>
      </c>
      <c r="K6" s="172">
        <f t="shared" si="5"/>
        <v>0</v>
      </c>
      <c r="L6" s="172">
        <f t="shared" si="5"/>
        <v>0</v>
      </c>
      <c r="M6" s="172">
        <f t="shared" si="5"/>
        <v>2</v>
      </c>
      <c r="N6" s="172">
        <f>N15</f>
        <v>0</v>
      </c>
      <c r="O6" s="172">
        <f>O15</f>
        <v>0</v>
      </c>
      <c r="P6" s="172">
        <f>FORECAST(P10,C6:O6,C10:O10)</f>
        <v>0.21096681096681102</v>
      </c>
      <c r="Q6" s="175">
        <v>0</v>
      </c>
      <c r="R6" s="175">
        <v>0</v>
      </c>
      <c r="S6" s="175">
        <v>0</v>
      </c>
      <c r="T6" s="175">
        <v>0</v>
      </c>
      <c r="U6" s="175">
        <v>0</v>
      </c>
      <c r="V6" s="175">
        <v>0</v>
      </c>
      <c r="W6" s="175">
        <v>0</v>
      </c>
      <c r="X6" s="175">
        <v>0</v>
      </c>
      <c r="Y6" s="175">
        <v>0</v>
      </c>
      <c r="Z6" s="175">
        <v>0</v>
      </c>
      <c r="AA6" s="175">
        <v>0</v>
      </c>
      <c r="AB6" s="175">
        <v>0</v>
      </c>
      <c r="AC6" s="175">
        <v>0</v>
      </c>
      <c r="AD6" s="175">
        <v>0</v>
      </c>
      <c r="AE6" s="175">
        <v>0</v>
      </c>
      <c r="AF6" s="175">
        <v>0</v>
      </c>
      <c r="AG6" s="175">
        <v>0</v>
      </c>
      <c r="AH6" s="175">
        <v>0</v>
      </c>
      <c r="AI6" s="175">
        <v>0</v>
      </c>
      <c r="AJ6" s="175">
        <v>0</v>
      </c>
      <c r="AK6" s="175">
        <v>0</v>
      </c>
      <c r="AL6" s="175">
        <v>0</v>
      </c>
      <c r="AM6" s="175">
        <v>0</v>
      </c>
      <c r="AN6" s="175">
        <v>0</v>
      </c>
      <c r="AO6" s="175">
        <v>0</v>
      </c>
      <c r="AP6" s="175">
        <v>0</v>
      </c>
      <c r="BH6" s="177"/>
    </row>
    <row r="7" spans="1:62" ht="15">
      <c r="A7" s="205" t="s">
        <v>9</v>
      </c>
      <c r="B7" s="172"/>
      <c r="C7" s="172">
        <f t="shared" ref="C7:M7" si="6">C13+C14</f>
        <v>18</v>
      </c>
      <c r="D7" s="166">
        <f t="shared" si="6"/>
        <v>18</v>
      </c>
      <c r="E7" s="172">
        <f t="shared" si="6"/>
        <v>22</v>
      </c>
      <c r="F7" s="172">
        <f t="shared" si="6"/>
        <v>20</v>
      </c>
      <c r="G7" s="172">
        <f t="shared" si="6"/>
        <v>21</v>
      </c>
      <c r="H7" s="172">
        <f t="shared" si="6"/>
        <v>10</v>
      </c>
      <c r="I7" s="172">
        <f t="shared" si="6"/>
        <v>2</v>
      </c>
      <c r="J7" s="172">
        <f t="shared" si="6"/>
        <v>12</v>
      </c>
      <c r="K7" s="172">
        <f t="shared" si="6"/>
        <v>5</v>
      </c>
      <c r="L7" s="172">
        <f t="shared" si="6"/>
        <v>8</v>
      </c>
      <c r="M7" s="172">
        <f t="shared" si="6"/>
        <v>3</v>
      </c>
      <c r="N7" s="172">
        <f>N13+N14</f>
        <v>4</v>
      </c>
      <c r="O7" s="172">
        <f>O13+O14</f>
        <v>5</v>
      </c>
      <c r="P7" s="172">
        <f>FORECAST(P2,C7:O7,C10:O10)</f>
        <v>10.798268398268398</v>
      </c>
      <c r="Q7" s="175">
        <f>FORECAST(Q2,D13:P13,D10:P10)</f>
        <v>7.6776828738967344</v>
      </c>
      <c r="R7" s="175">
        <f>FORECAST(R2,E13:Q13,E10:Q10)</f>
        <v>6.8541813115981203</v>
      </c>
      <c r="S7" s="175">
        <f>FORECAST(S2,F13:R13,F10:R10)</f>
        <v>5.432142965702111</v>
      </c>
      <c r="T7" s="175">
        <f t="shared" ref="T7:AP7" si="7">FORECAST(T2,G7:S7,G10:S10)</f>
        <v>7.7646988179587488</v>
      </c>
      <c r="U7" s="175">
        <f t="shared" si="7"/>
        <v>6.7322559089782015</v>
      </c>
      <c r="V7" s="175">
        <f t="shared" si="7"/>
        <v>6.495829938837387</v>
      </c>
      <c r="W7" s="175">
        <f t="shared" si="7"/>
        <v>6.8389809987802348</v>
      </c>
      <c r="X7" s="175">
        <f t="shared" si="7"/>
        <v>6.4454096158208003</v>
      </c>
      <c r="Y7" s="175">
        <f t="shared" si="7"/>
        <v>6.5914833911661024</v>
      </c>
      <c r="Z7" s="175">
        <f t="shared" si="7"/>
        <v>6.4641894697266373</v>
      </c>
      <c r="AA7" s="175">
        <f t="shared" si="7"/>
        <v>6.7104641305573427</v>
      </c>
      <c r="AB7" s="175">
        <f t="shared" si="7"/>
        <v>6.9006583408685618</v>
      </c>
      <c r="AC7" s="175">
        <f t="shared" si="7"/>
        <v>7.0489746556561235</v>
      </c>
      <c r="AD7" s="175">
        <f t="shared" si="7"/>
        <v>6.7535888115506477</v>
      </c>
      <c r="AE7" s="175">
        <f t="shared" si="7"/>
        <v>6.9326187714087872</v>
      </c>
      <c r="AF7" s="175">
        <f t="shared" si="7"/>
        <v>7.1423234247934788</v>
      </c>
      <c r="AG7" s="175">
        <f t="shared" si="7"/>
        <v>6.8905188489539793</v>
      </c>
      <c r="AH7" s="175">
        <f t="shared" si="7"/>
        <v>7.1325949339489858</v>
      </c>
      <c r="AI7" s="175">
        <f t="shared" si="7"/>
        <v>7.0525488009741757</v>
      </c>
      <c r="AJ7" s="175">
        <f t="shared" si="7"/>
        <v>6.9499414684469141</v>
      </c>
      <c r="AK7" s="175">
        <f t="shared" si="7"/>
        <v>6.8609259515270029</v>
      </c>
      <c r="AL7" s="175">
        <f t="shared" si="7"/>
        <v>6.8236120795145467</v>
      </c>
      <c r="AM7" s="175">
        <f t="shared" si="7"/>
        <v>6.8145160451430167</v>
      </c>
      <c r="AN7" s="175">
        <f t="shared" si="7"/>
        <v>6.7746082589050065</v>
      </c>
      <c r="AO7" s="175">
        <f t="shared" si="7"/>
        <v>6.8488319358838803</v>
      </c>
      <c r="AP7" s="175">
        <f t="shared" si="7"/>
        <v>6.8076790046206908</v>
      </c>
      <c r="BH7" s="177"/>
    </row>
    <row r="8" spans="1:62" ht="15">
      <c r="A8" s="205" t="s">
        <v>10</v>
      </c>
      <c r="B8" s="178"/>
      <c r="C8" s="210">
        <f>AVERAGE(B3:$C3)/AVERAGE(B2:$C2)</f>
        <v>0.5714285714285714</v>
      </c>
      <c r="D8" s="210">
        <f>AVERAGE($C3:C3)/AVERAGE($C2:C2)</f>
        <v>0.5714285714285714</v>
      </c>
      <c r="E8" s="210">
        <f>AVERAGE($C3:D3)/AVERAGE($C2:D2)</f>
        <v>0.5662650602409639</v>
      </c>
      <c r="F8" s="210">
        <f>AVERAGE($C3:E3)/AVERAGE($C2:E2)</f>
        <v>0.48672566371681414</v>
      </c>
      <c r="G8" s="210">
        <f>AVERAGE($C3:F3)/AVERAGE($C2:F2)</f>
        <v>0.44680851063829785</v>
      </c>
      <c r="H8" s="210">
        <f>AVERAGE($C3:G3)/AVERAGE($C2:G2)</f>
        <v>0.41420118343195272</v>
      </c>
      <c r="I8" s="210">
        <f>AVERAGE($C3:H3)/AVERAGE($C2:H2)</f>
        <v>0.4494949494949495</v>
      </c>
      <c r="J8" s="210">
        <f>AVERAGE($C3:I3)/AVERAGE($C2:I2)</f>
        <v>0.5276595744680852</v>
      </c>
      <c r="K8" s="210">
        <f>AVERAGE($C3:J3)/AVERAGE($C2:J2)</f>
        <v>0.54838709677419351</v>
      </c>
      <c r="L8" s="210">
        <f>AVERAGE($C3:K3)/AVERAGE($C2:K2)</f>
        <v>0.56869009584664543</v>
      </c>
      <c r="M8" s="210">
        <f>AVERAGE($C3:L3)/AVERAGE($C2:L2)</f>
        <v>0.53623188405797106</v>
      </c>
      <c r="N8" s="210">
        <f>AVERAGE($C3:M3)/AVERAGE($C2:M2)</f>
        <v>0.53908355795148255</v>
      </c>
      <c r="O8" s="210">
        <f>AVERAGE($C3:N3)/AVERAGE($C2:N2)</f>
        <v>0.52151898734177227</v>
      </c>
      <c r="P8" s="210">
        <f>AVERAGE($C3:O3)/AVERAGE($C2:O2)</f>
        <v>0.53919239904988114</v>
      </c>
      <c r="Q8" s="179">
        <f>AVERAGE($C3:P3)/AVERAGE($C2:P2)</f>
        <v>0.54543406827220575</v>
      </c>
      <c r="R8" s="179">
        <f>AVERAGE($C3:Q3)/AVERAGE($C2:Q2)</f>
        <v>0.5415621288596939</v>
      </c>
      <c r="S8" s="179">
        <f>AVERAGE($C3:R3)/AVERAGE($C2:R2)</f>
        <v>0.54053260149733473</v>
      </c>
      <c r="T8" s="179">
        <f>AVERAGE($C3:S3)/AVERAGE($C2:S2)</f>
        <v>0.54228098155612259</v>
      </c>
      <c r="U8" s="179">
        <f>AVERAGE($C3:T3)/AVERAGE($C2:T2)</f>
        <v>0.53896021188371612</v>
      </c>
      <c r="V8" s="179">
        <f>AVERAGE($C3:U3)/AVERAGE($C2:U2)</f>
        <v>0.53737104051248807</v>
      </c>
      <c r="W8" s="179">
        <f>AVERAGE($C3:V3)/AVERAGE($C2:V2)</f>
        <v>0.53575825015863787</v>
      </c>
      <c r="X8" s="179">
        <f>AVERAGE($C3:W3)/AVERAGE($C2:W2)</f>
        <v>0.53183072974415835</v>
      </c>
      <c r="Y8" s="179">
        <f>AVERAGE($C3:X3)/AVERAGE($C2:X2)</f>
        <v>0.52898509468033494</v>
      </c>
      <c r="Z8" s="179">
        <f>AVERAGE($C3:Y3)/AVERAGE($C2:Y2)</f>
        <v>0.52475093962381592</v>
      </c>
      <c r="AA8" s="179">
        <f>AVERAGE($C3:Z3)/AVERAGE($C2:Z2)</f>
        <v>0.51282347404541517</v>
      </c>
      <c r="AB8" s="179">
        <f>AVERAGE($C3:AA3)/AVERAGE($C2:AA2)</f>
        <v>0.50531588393796611</v>
      </c>
      <c r="AC8" s="179">
        <f>AVERAGE($C3:AB3)/AVERAGE($C2:AB2)</f>
        <v>0.50054268496020238</v>
      </c>
      <c r="AD8" s="179">
        <f>AVERAGE($C3:AC3)/AVERAGE($C2:AC2)</f>
        <v>0.49840167128247798</v>
      </c>
      <c r="AE8" s="179">
        <f>AVERAGE($C3:AD3)/AVERAGE($C2:AD2)</f>
        <v>0.49623815685625805</v>
      </c>
      <c r="AF8" s="179">
        <f>AVERAGE($C3:AE3)/AVERAGE($C2:AE2)</f>
        <v>0.49490144088025873</v>
      </c>
      <c r="AG8" s="179">
        <f>AVERAGE($C3:AF3)/AVERAGE($C2:AF2)</f>
        <v>0.49212434530772403</v>
      </c>
      <c r="AH8" s="179">
        <f>AVERAGE($C3:AG3)/AVERAGE($C2:AG2)</f>
        <v>0.48785120652153258</v>
      </c>
      <c r="AI8" s="179">
        <f>AVERAGE($C3:AH3)/AVERAGE($C2:AH2)</f>
        <v>0.48413000535938733</v>
      </c>
      <c r="AJ8" s="179">
        <f>AVERAGE($C3:AI3)/AVERAGE($C2:AI2)</f>
        <v>0.48079164623778115</v>
      </c>
      <c r="AK8" s="179">
        <f>AVERAGE($C3:AJ3)/AVERAGE($C2:AJ2)</f>
        <v>0.4779532456132104</v>
      </c>
      <c r="AL8" s="179">
        <f>AVERAGE($C3:AK3)/AVERAGE($C2:AK2)</f>
        <v>0.4749442641058324</v>
      </c>
      <c r="AM8" s="179">
        <f>AVERAGE($C3:AL3)/AVERAGE($C2:AL2)</f>
        <v>0.47160312034780505</v>
      </c>
      <c r="AN8" s="179">
        <f>AVERAGE($C3:AM3)/AVERAGE($C2:AM2)</f>
        <v>0.4683160213521515</v>
      </c>
      <c r="AO8" s="179">
        <f>AVERAGE($C3:AN3)/AVERAGE($C2:AN2)</f>
        <v>0.46551857442704209</v>
      </c>
      <c r="AP8" s="179">
        <f>AVERAGE($C3:AO3)/AVERAGE($C2:AO2)</f>
        <v>0.46354350849549181</v>
      </c>
      <c r="BG8" s="180" t="s">
        <v>11</v>
      </c>
      <c r="BH8" s="177">
        <f>P27*BH4</f>
        <v>102045750.00000001</v>
      </c>
    </row>
    <row r="9" spans="1:62" ht="15.75" thickBot="1">
      <c r="A9" s="181" t="s">
        <v>12</v>
      </c>
      <c r="B9" s="178"/>
      <c r="C9" s="178">
        <f>C1</f>
        <v>2011</v>
      </c>
      <c r="D9" s="166">
        <f t="shared" ref="D9:AP11" si="8">D1</f>
        <v>2012</v>
      </c>
      <c r="E9" s="166">
        <f t="shared" si="8"/>
        <v>2013</v>
      </c>
      <c r="F9" s="166">
        <f t="shared" si="8"/>
        <v>2014</v>
      </c>
      <c r="G9" s="166">
        <f t="shared" si="8"/>
        <v>2015</v>
      </c>
      <c r="H9" s="166">
        <f t="shared" si="8"/>
        <v>2016</v>
      </c>
      <c r="I9" s="166">
        <f t="shared" si="8"/>
        <v>2017</v>
      </c>
      <c r="J9" s="166">
        <f t="shared" si="8"/>
        <v>2018</v>
      </c>
      <c r="K9" s="166">
        <f t="shared" si="8"/>
        <v>2019</v>
      </c>
      <c r="L9" s="166">
        <f t="shared" si="8"/>
        <v>2020</v>
      </c>
      <c r="M9" s="166">
        <f t="shared" si="8"/>
        <v>2021</v>
      </c>
      <c r="N9" s="166">
        <f t="shared" si="8"/>
        <v>2022</v>
      </c>
      <c r="O9" s="166">
        <f t="shared" si="8"/>
        <v>2023</v>
      </c>
      <c r="P9" s="166">
        <f t="shared" si="8"/>
        <v>2024</v>
      </c>
      <c r="Q9" s="166">
        <f t="shared" si="8"/>
        <v>2025</v>
      </c>
      <c r="R9" s="166">
        <f t="shared" si="8"/>
        <v>2026</v>
      </c>
      <c r="S9" s="166">
        <f t="shared" si="8"/>
        <v>2027</v>
      </c>
      <c r="T9" s="166">
        <f t="shared" si="8"/>
        <v>2028</v>
      </c>
      <c r="U9" s="166">
        <f t="shared" si="8"/>
        <v>2029</v>
      </c>
      <c r="V9" s="166">
        <f t="shared" si="8"/>
        <v>2030</v>
      </c>
      <c r="W9" s="166">
        <f t="shared" si="8"/>
        <v>2031</v>
      </c>
      <c r="X9" s="166">
        <f t="shared" si="8"/>
        <v>2032</v>
      </c>
      <c r="Y9" s="166">
        <f t="shared" si="8"/>
        <v>2033</v>
      </c>
      <c r="Z9" s="166">
        <f t="shared" si="8"/>
        <v>2034</v>
      </c>
      <c r="AA9" s="166">
        <f t="shared" si="8"/>
        <v>2035</v>
      </c>
      <c r="AB9" s="166">
        <f t="shared" si="8"/>
        <v>2036</v>
      </c>
      <c r="AC9" s="166">
        <f t="shared" si="8"/>
        <v>2037</v>
      </c>
      <c r="AD9" s="166">
        <f t="shared" si="8"/>
        <v>2038</v>
      </c>
      <c r="AE9" s="166">
        <f t="shared" si="8"/>
        <v>2039</v>
      </c>
      <c r="AF9" s="166">
        <f t="shared" si="8"/>
        <v>2040</v>
      </c>
      <c r="AG9" s="166">
        <f t="shared" si="8"/>
        <v>2041</v>
      </c>
      <c r="AH9" s="166">
        <f t="shared" si="8"/>
        <v>2042</v>
      </c>
      <c r="AI9" s="166">
        <f t="shared" si="8"/>
        <v>2043</v>
      </c>
      <c r="AJ9" s="166">
        <f t="shared" si="8"/>
        <v>2044</v>
      </c>
      <c r="AK9" s="166">
        <f t="shared" si="8"/>
        <v>2045</v>
      </c>
      <c r="AL9" s="166">
        <f t="shared" si="8"/>
        <v>2046</v>
      </c>
      <c r="AM9" s="166">
        <f t="shared" si="8"/>
        <v>2047</v>
      </c>
      <c r="AN9" s="166">
        <f t="shared" si="8"/>
        <v>2048</v>
      </c>
      <c r="AO9" s="166">
        <f t="shared" si="8"/>
        <v>2049</v>
      </c>
      <c r="AP9" s="178">
        <f t="shared" si="8"/>
        <v>2050</v>
      </c>
      <c r="BG9" s="182" t="s">
        <v>13</v>
      </c>
      <c r="BH9" s="177">
        <f>P28*BH4</f>
        <v>336562500</v>
      </c>
    </row>
    <row r="10" spans="1:62" ht="15">
      <c r="A10" s="206" t="s">
        <v>14</v>
      </c>
      <c r="B10" s="183"/>
      <c r="C10" s="183">
        <v>42</v>
      </c>
      <c r="D10" s="169">
        <v>41</v>
      </c>
      <c r="E10" s="168">
        <v>30</v>
      </c>
      <c r="F10" s="168">
        <v>28</v>
      </c>
      <c r="G10" s="168">
        <v>28</v>
      </c>
      <c r="H10" s="168">
        <v>29</v>
      </c>
      <c r="I10" s="168">
        <v>37</v>
      </c>
      <c r="J10" s="168">
        <v>44</v>
      </c>
      <c r="K10" s="168">
        <v>34</v>
      </c>
      <c r="L10" s="168">
        <v>32</v>
      </c>
      <c r="M10" s="168">
        <v>26</v>
      </c>
      <c r="N10" s="168">
        <v>24</v>
      </c>
      <c r="O10" s="168">
        <v>26</v>
      </c>
      <c r="P10" s="170">
        <v>30</v>
      </c>
      <c r="Q10" s="170">
        <v>11</v>
      </c>
      <c r="R10" s="171">
        <f>R2</f>
        <v>30.513041962748463</v>
      </c>
      <c r="S10" s="171">
        <f t="shared" si="8"/>
        <v>30.53056245729725</v>
      </c>
      <c r="T10" s="171">
        <f t="shared" si="8"/>
        <v>29.684778957784154</v>
      </c>
      <c r="U10" s="171">
        <f t="shared" si="8"/>
        <v>29.509777465883069</v>
      </c>
      <c r="V10" s="171">
        <f t="shared" si="8"/>
        <v>29.740363110193471</v>
      </c>
      <c r="W10" s="171">
        <f t="shared" si="8"/>
        <v>29.080415128924116</v>
      </c>
      <c r="X10" s="171">
        <f t="shared" si="8"/>
        <v>28.762713636941527</v>
      </c>
      <c r="Y10" s="171">
        <f t="shared" si="8"/>
        <v>28.556121966080685</v>
      </c>
      <c r="Z10" s="171">
        <f t="shared" si="8"/>
        <v>28.337775291321801</v>
      </c>
      <c r="AA10" s="171">
        <f t="shared" si="8"/>
        <v>28.205308781042461</v>
      </c>
      <c r="AB10" s="171">
        <f t="shared" si="8"/>
        <v>28.104347197956685</v>
      </c>
      <c r="AC10" s="171">
        <f t="shared" si="8"/>
        <v>28.031420163998082</v>
      </c>
      <c r="AD10" s="171">
        <f t="shared" si="8"/>
        <v>27.91149483875321</v>
      </c>
      <c r="AE10" s="171">
        <f t="shared" si="8"/>
        <v>27.297392592483426</v>
      </c>
      <c r="AF10" s="171">
        <f t="shared" si="8"/>
        <v>26.60265459441775</v>
      </c>
      <c r="AG10" s="171">
        <f t="shared" si="8"/>
        <v>25.754387120477368</v>
      </c>
      <c r="AH10" s="171">
        <f t="shared" si="8"/>
        <v>25.123960314744522</v>
      </c>
      <c r="AI10" s="171">
        <f t="shared" si="8"/>
        <v>25.873368717452131</v>
      </c>
      <c r="AJ10" s="171">
        <f t="shared" si="8"/>
        <v>26.639494821516465</v>
      </c>
      <c r="AK10" s="171">
        <f t="shared" si="8"/>
        <v>27.23124054231976</v>
      </c>
      <c r="AL10" s="171">
        <f t="shared" si="8"/>
        <v>27.63911479052036</v>
      </c>
      <c r="AM10" s="171">
        <f t="shared" si="8"/>
        <v>27.846348534970161</v>
      </c>
      <c r="AN10" s="171">
        <f t="shared" si="8"/>
        <v>28.822394415383528</v>
      </c>
      <c r="AO10" s="171">
        <f t="shared" si="8"/>
        <v>28.175758032226618</v>
      </c>
      <c r="AP10" s="184">
        <f t="shared" si="8"/>
        <v>28.601144581084611</v>
      </c>
      <c r="BG10" s="167" t="s">
        <v>15</v>
      </c>
      <c r="BH10" s="177">
        <f>BH9-BH8</f>
        <v>234516750</v>
      </c>
    </row>
    <row r="11" spans="1:62" ht="15">
      <c r="A11" s="205" t="s">
        <v>16</v>
      </c>
      <c r="B11" s="178"/>
      <c r="C11" s="178">
        <v>24</v>
      </c>
      <c r="D11" s="166">
        <v>23</v>
      </c>
      <c r="E11" s="172">
        <v>8</v>
      </c>
      <c r="F11" s="172">
        <v>8</v>
      </c>
      <c r="G11" s="172">
        <v>7</v>
      </c>
      <c r="H11" s="172">
        <v>19</v>
      </c>
      <c r="I11" s="173">
        <v>35</v>
      </c>
      <c r="J11" s="174">
        <v>29</v>
      </c>
      <c r="K11" s="174">
        <v>25</v>
      </c>
      <c r="L11" s="174">
        <v>7</v>
      </c>
      <c r="M11" s="174">
        <v>15</v>
      </c>
      <c r="N11" s="174">
        <v>6</v>
      </c>
      <c r="O11" s="174">
        <v>6</v>
      </c>
      <c r="P11" s="174">
        <v>4</v>
      </c>
      <c r="Q11" s="172">
        <v>0</v>
      </c>
      <c r="R11" s="175">
        <v>0</v>
      </c>
      <c r="S11" s="175">
        <f t="shared" si="8"/>
        <v>17.451114303963379</v>
      </c>
      <c r="T11" s="175">
        <f t="shared" si="8"/>
        <v>14.197674946624954</v>
      </c>
      <c r="U11" s="175">
        <f t="shared" si="8"/>
        <v>14.948533064874711</v>
      </c>
      <c r="V11" s="175">
        <f t="shared" si="8"/>
        <v>14.963372610354588</v>
      </c>
      <c r="W11" s="175">
        <f t="shared" si="8"/>
        <v>12.986213345916328</v>
      </c>
      <c r="X11" s="175">
        <f t="shared" si="8"/>
        <v>13.335699198557897</v>
      </c>
      <c r="Y11" s="175">
        <f t="shared" si="8"/>
        <v>12.066695829485488</v>
      </c>
      <c r="Z11" s="175">
        <f t="shared" si="8"/>
        <v>5.97133158460651</v>
      </c>
      <c r="AA11" s="175">
        <f t="shared" si="8"/>
        <v>8.651265329044632</v>
      </c>
      <c r="AB11" s="175">
        <f t="shared" si="8"/>
        <v>10.371567899709637</v>
      </c>
      <c r="AC11" s="175">
        <f t="shared" si="8"/>
        <v>12.252961639743535</v>
      </c>
      <c r="AD11" s="175">
        <f t="shared" si="8"/>
        <v>12.054102798751535</v>
      </c>
      <c r="AE11" s="175">
        <f t="shared" si="8"/>
        <v>12.36216095890936</v>
      </c>
      <c r="AF11" s="175">
        <f t="shared" si="8"/>
        <v>10.632311849552369</v>
      </c>
      <c r="AG11" s="175">
        <f t="shared" si="8"/>
        <v>8.6661767408813013</v>
      </c>
      <c r="AH11" s="175">
        <f t="shared" si="8"/>
        <v>8.6727937874834282</v>
      </c>
      <c r="AI11" s="175">
        <f t="shared" si="8"/>
        <v>9.2244615231634235</v>
      </c>
      <c r="AJ11" s="175">
        <f t="shared" si="8"/>
        <v>9.925275674389253</v>
      </c>
      <c r="AK11" s="175">
        <f t="shared" si="8"/>
        <v>9.8773031775055156</v>
      </c>
      <c r="AL11" s="175">
        <f t="shared" si="8"/>
        <v>9.5503363100418497</v>
      </c>
      <c r="AM11" s="175">
        <f t="shared" si="8"/>
        <v>9.5220434832949188</v>
      </c>
      <c r="AN11" s="175">
        <f t="shared" si="8"/>
        <v>10.344787368499327</v>
      </c>
      <c r="AO11" s="175">
        <f t="shared" si="8"/>
        <v>10.834452224306062</v>
      </c>
      <c r="AP11" s="185">
        <f t="shared" si="8"/>
        <v>11.336915814836832</v>
      </c>
      <c r="AQ11" s="221" t="s">
        <v>17</v>
      </c>
      <c r="AR11" s="221"/>
      <c r="AS11" s="221"/>
      <c r="AT11" s="221"/>
      <c r="AU11" s="221"/>
      <c r="AV11" s="221"/>
      <c r="AW11" s="221"/>
      <c r="AX11" s="221"/>
      <c r="AY11" s="221"/>
      <c r="AZ11" s="221"/>
      <c r="BA11" s="221"/>
      <c r="BB11" s="221"/>
      <c r="BC11" s="221"/>
      <c r="BD11" s="221"/>
      <c r="BE11" s="221"/>
      <c r="BF11" s="221"/>
      <c r="BG11" s="221"/>
      <c r="BH11" s="186">
        <f>BH10/BH4</f>
        <v>8.7099999999999997E-2</v>
      </c>
      <c r="BI11" s="167">
        <f>BH11*100</f>
        <v>8.7099999999999991</v>
      </c>
      <c r="BJ11" s="167">
        <f>BI11-0.14</f>
        <v>8.5699999999999985</v>
      </c>
    </row>
    <row r="12" spans="1:62" ht="12.95" customHeight="1">
      <c r="A12" s="205" t="s">
        <v>18</v>
      </c>
      <c r="B12" s="178"/>
      <c r="C12" s="178">
        <v>0</v>
      </c>
      <c r="D12" s="166">
        <v>0</v>
      </c>
      <c r="E12" s="172">
        <v>0</v>
      </c>
      <c r="F12" s="172">
        <v>0</v>
      </c>
      <c r="G12" s="172">
        <v>0</v>
      </c>
      <c r="H12" s="172">
        <v>0</v>
      </c>
      <c r="I12" s="172">
        <v>0</v>
      </c>
      <c r="J12" s="172">
        <v>3</v>
      </c>
      <c r="K12" s="172">
        <v>4</v>
      </c>
      <c r="L12" s="172">
        <v>17</v>
      </c>
      <c r="M12" s="172">
        <v>6</v>
      </c>
      <c r="N12" s="172">
        <v>14</v>
      </c>
      <c r="O12" s="172">
        <v>15</v>
      </c>
      <c r="P12" s="172">
        <v>18</v>
      </c>
      <c r="Q12" s="172">
        <v>0</v>
      </c>
      <c r="R12" s="175">
        <v>0</v>
      </c>
      <c r="S12" s="175">
        <v>0</v>
      </c>
      <c r="T12" s="175">
        <v>0</v>
      </c>
      <c r="U12" s="175">
        <v>0</v>
      </c>
      <c r="V12" s="175">
        <v>0</v>
      </c>
      <c r="W12" s="175">
        <v>0</v>
      </c>
      <c r="X12" s="175">
        <v>0</v>
      </c>
      <c r="Y12" s="175">
        <v>0</v>
      </c>
      <c r="Z12" s="175">
        <v>0</v>
      </c>
      <c r="AA12" s="175">
        <v>0</v>
      </c>
      <c r="AB12" s="175">
        <v>0</v>
      </c>
      <c r="AC12" s="175">
        <v>0</v>
      </c>
      <c r="AD12" s="175">
        <v>0</v>
      </c>
      <c r="AE12" s="175">
        <v>0</v>
      </c>
      <c r="AF12" s="175">
        <v>0</v>
      </c>
      <c r="AG12" s="175">
        <v>0</v>
      </c>
      <c r="AH12" s="175">
        <v>0</v>
      </c>
      <c r="AI12" s="175">
        <v>0</v>
      </c>
      <c r="AJ12" s="175">
        <v>0</v>
      </c>
      <c r="AK12" s="175">
        <v>0</v>
      </c>
      <c r="AL12" s="175">
        <v>0</v>
      </c>
      <c r="AM12" s="175">
        <v>0</v>
      </c>
      <c r="AN12" s="175">
        <v>0</v>
      </c>
      <c r="AO12" s="175">
        <v>0</v>
      </c>
      <c r="AP12" s="175">
        <v>0</v>
      </c>
      <c r="AQ12" s="221"/>
      <c r="AR12" s="221"/>
      <c r="AS12" s="221"/>
      <c r="AT12" s="221"/>
      <c r="AU12" s="221"/>
      <c r="AV12" s="221"/>
      <c r="AW12" s="221"/>
      <c r="AX12" s="221"/>
      <c r="AY12" s="221"/>
      <c r="AZ12" s="221"/>
      <c r="BA12" s="221"/>
      <c r="BB12" s="221"/>
      <c r="BC12" s="221"/>
      <c r="BD12" s="221"/>
      <c r="BE12" s="221"/>
      <c r="BF12" s="221"/>
      <c r="BG12" s="221"/>
      <c r="BH12" s="176"/>
    </row>
    <row r="13" spans="1:62" ht="15">
      <c r="A13" s="205" t="s">
        <v>19</v>
      </c>
      <c r="B13" s="178"/>
      <c r="C13" s="178">
        <v>13</v>
      </c>
      <c r="D13" s="166">
        <v>13</v>
      </c>
      <c r="E13" s="172">
        <v>18</v>
      </c>
      <c r="F13" s="172">
        <v>16</v>
      </c>
      <c r="G13" s="172">
        <v>17</v>
      </c>
      <c r="H13" s="172">
        <v>8</v>
      </c>
      <c r="I13" s="172">
        <v>1</v>
      </c>
      <c r="J13" s="172">
        <v>7</v>
      </c>
      <c r="K13" s="172">
        <v>1</v>
      </c>
      <c r="L13" s="172">
        <v>6</v>
      </c>
      <c r="M13" s="172">
        <v>1</v>
      </c>
      <c r="N13" s="172">
        <v>3</v>
      </c>
      <c r="O13" s="172">
        <v>4</v>
      </c>
      <c r="P13" s="172">
        <v>5</v>
      </c>
      <c r="Q13" s="172">
        <v>0</v>
      </c>
      <c r="R13" s="175">
        <v>0</v>
      </c>
      <c r="S13" s="175">
        <f t="shared" ref="S13:AP13" si="9">S7</f>
        <v>5.432142965702111</v>
      </c>
      <c r="T13" s="175">
        <f t="shared" si="9"/>
        <v>7.7646988179587488</v>
      </c>
      <c r="U13" s="175">
        <f t="shared" si="9"/>
        <v>6.7322559089782015</v>
      </c>
      <c r="V13" s="175">
        <f t="shared" si="9"/>
        <v>6.495829938837387</v>
      </c>
      <c r="W13" s="175">
        <f t="shared" si="9"/>
        <v>6.8389809987802348</v>
      </c>
      <c r="X13" s="175">
        <f t="shared" si="9"/>
        <v>6.4454096158208003</v>
      </c>
      <c r="Y13" s="175">
        <f t="shared" si="9"/>
        <v>6.5914833911661024</v>
      </c>
      <c r="Z13" s="175">
        <f t="shared" si="9"/>
        <v>6.4641894697266373</v>
      </c>
      <c r="AA13" s="175">
        <f t="shared" si="9"/>
        <v>6.7104641305573427</v>
      </c>
      <c r="AB13" s="175">
        <f t="shared" si="9"/>
        <v>6.9006583408685618</v>
      </c>
      <c r="AC13" s="175">
        <f t="shared" si="9"/>
        <v>7.0489746556561235</v>
      </c>
      <c r="AD13" s="175">
        <f t="shared" si="9"/>
        <v>6.7535888115506477</v>
      </c>
      <c r="AE13" s="175">
        <f t="shared" si="9"/>
        <v>6.9326187714087872</v>
      </c>
      <c r="AF13" s="175">
        <f t="shared" si="9"/>
        <v>7.1423234247934788</v>
      </c>
      <c r="AG13" s="175">
        <f t="shared" si="9"/>
        <v>6.8905188489539793</v>
      </c>
      <c r="AH13" s="175">
        <f t="shared" si="9"/>
        <v>7.1325949339489858</v>
      </c>
      <c r="AI13" s="175">
        <f t="shared" si="9"/>
        <v>7.0525488009741757</v>
      </c>
      <c r="AJ13" s="175">
        <f t="shared" si="9"/>
        <v>6.9499414684469141</v>
      </c>
      <c r="AK13" s="175">
        <f t="shared" si="9"/>
        <v>6.8609259515270029</v>
      </c>
      <c r="AL13" s="175">
        <f t="shared" si="9"/>
        <v>6.8236120795145467</v>
      </c>
      <c r="AM13" s="175">
        <f t="shared" si="9"/>
        <v>6.8145160451430167</v>
      </c>
      <c r="AN13" s="175">
        <f t="shared" si="9"/>
        <v>6.7746082589050065</v>
      </c>
      <c r="AO13" s="175">
        <f t="shared" si="9"/>
        <v>6.8488319358838803</v>
      </c>
      <c r="AP13" s="185">
        <f t="shared" si="9"/>
        <v>6.8076790046206908</v>
      </c>
      <c r="AQ13" s="221"/>
      <c r="AR13" s="221"/>
      <c r="AS13" s="221"/>
      <c r="AT13" s="221"/>
      <c r="AU13" s="221"/>
      <c r="AV13" s="221"/>
      <c r="AW13" s="221"/>
      <c r="AX13" s="221"/>
      <c r="AY13" s="221"/>
      <c r="AZ13" s="221"/>
      <c r="BA13" s="221"/>
      <c r="BB13" s="221"/>
      <c r="BC13" s="221"/>
      <c r="BD13" s="221"/>
      <c r="BE13" s="221"/>
      <c r="BF13" s="221"/>
      <c r="BG13" s="221"/>
      <c r="BH13" s="176"/>
    </row>
    <row r="14" spans="1:62" ht="15">
      <c r="A14" s="205" t="s">
        <v>20</v>
      </c>
      <c r="B14" s="178"/>
      <c r="C14" s="178">
        <v>5</v>
      </c>
      <c r="D14" s="166">
        <v>5</v>
      </c>
      <c r="E14" s="172">
        <v>4</v>
      </c>
      <c r="F14" s="172">
        <v>4</v>
      </c>
      <c r="G14" s="172">
        <v>4</v>
      </c>
      <c r="H14" s="172">
        <v>2</v>
      </c>
      <c r="I14" s="172">
        <v>1</v>
      </c>
      <c r="J14" s="172">
        <v>5</v>
      </c>
      <c r="K14" s="172">
        <v>4</v>
      </c>
      <c r="L14" s="172">
        <v>2</v>
      </c>
      <c r="M14" s="172">
        <v>2</v>
      </c>
      <c r="N14" s="172">
        <v>1</v>
      </c>
      <c r="O14" s="172">
        <v>1</v>
      </c>
      <c r="P14" s="172">
        <v>3</v>
      </c>
      <c r="Q14" s="172">
        <v>0</v>
      </c>
      <c r="R14" s="175">
        <v>0</v>
      </c>
      <c r="S14" s="175">
        <f t="shared" ref="S14:AP14" si="10">S10-S11-S13-S15</f>
        <v>7.6473051876317601</v>
      </c>
      <c r="T14" s="175">
        <f t="shared" si="10"/>
        <v>7.7224051932004514</v>
      </c>
      <c r="U14" s="175">
        <f t="shared" si="10"/>
        <v>7.828988492030156</v>
      </c>
      <c r="V14" s="175">
        <f t="shared" si="10"/>
        <v>8.2811605610014958</v>
      </c>
      <c r="W14" s="175">
        <f t="shared" si="10"/>
        <v>9.2552207842275553</v>
      </c>
      <c r="X14" s="175">
        <f t="shared" si="10"/>
        <v>8.9816048225628293</v>
      </c>
      <c r="Y14" s="175">
        <f t="shared" si="10"/>
        <v>9.8979427454290967</v>
      </c>
      <c r="Z14" s="175">
        <f t="shared" si="10"/>
        <v>15.902254236988654</v>
      </c>
      <c r="AA14" s="175">
        <f t="shared" si="10"/>
        <v>12.843579321440485</v>
      </c>
      <c r="AB14" s="175">
        <f t="shared" si="10"/>
        <v>10.832120957378484</v>
      </c>
      <c r="AC14" s="175">
        <f t="shared" si="10"/>
        <v>8.7294838685984217</v>
      </c>
      <c r="AD14" s="175">
        <f t="shared" si="10"/>
        <v>9.103803228451028</v>
      </c>
      <c r="AE14" s="175">
        <f t="shared" si="10"/>
        <v>8.0026128621652788</v>
      </c>
      <c r="AF14" s="175">
        <f t="shared" si="10"/>
        <v>8.8280193200719026</v>
      </c>
      <c r="AG14" s="175">
        <f t="shared" si="10"/>
        <v>10.197691530642087</v>
      </c>
      <c r="AH14" s="175">
        <f t="shared" si="10"/>
        <v>9.3185715933121074</v>
      </c>
      <c r="AI14" s="175">
        <f t="shared" si="10"/>
        <v>9.5963583933145316</v>
      </c>
      <c r="AJ14" s="175">
        <f t="shared" si="10"/>
        <v>9.7642776786802958</v>
      </c>
      <c r="AK14" s="175">
        <f t="shared" si="10"/>
        <v>10.49301141328724</v>
      </c>
      <c r="AL14" s="175">
        <f t="shared" si="10"/>
        <v>11.265166400963963</v>
      </c>
      <c r="AM14" s="175">
        <f t="shared" si="10"/>
        <v>11.509789006532227</v>
      </c>
      <c r="AN14" s="175">
        <f t="shared" si="10"/>
        <v>11.702998787979196</v>
      </c>
      <c r="AO14" s="175">
        <f t="shared" si="10"/>
        <v>10.492473872036676</v>
      </c>
      <c r="AP14" s="185">
        <f t="shared" si="10"/>
        <v>10.456549761627087</v>
      </c>
      <c r="AQ14" s="187"/>
      <c r="AR14" s="187"/>
      <c r="AS14" s="187"/>
      <c r="AT14" s="187"/>
      <c r="AU14" s="187"/>
      <c r="AV14" s="187"/>
      <c r="AW14" s="187"/>
      <c r="AX14" s="187"/>
      <c r="AY14" s="187"/>
      <c r="AZ14" s="187"/>
      <c r="BA14" s="187"/>
      <c r="BB14" s="187"/>
      <c r="BC14" s="187"/>
      <c r="BD14" s="187"/>
      <c r="BE14" s="187"/>
      <c r="BF14" s="187"/>
      <c r="BH14" s="188">
        <v>17050000000</v>
      </c>
    </row>
    <row r="15" spans="1:62" ht="15">
      <c r="A15" s="205" t="s">
        <v>21</v>
      </c>
      <c r="B15" s="178"/>
      <c r="C15" s="178">
        <v>0</v>
      </c>
      <c r="D15" s="166">
        <v>0</v>
      </c>
      <c r="E15" s="172">
        <v>0</v>
      </c>
      <c r="F15" s="172">
        <v>0</v>
      </c>
      <c r="G15" s="172">
        <v>0</v>
      </c>
      <c r="H15" s="172">
        <v>0</v>
      </c>
      <c r="I15" s="172">
        <v>0</v>
      </c>
      <c r="J15" s="172">
        <v>0</v>
      </c>
      <c r="K15" s="172">
        <v>0</v>
      </c>
      <c r="L15" s="172">
        <v>0</v>
      </c>
      <c r="M15" s="172">
        <v>2</v>
      </c>
      <c r="N15" s="172">
        <v>0</v>
      </c>
      <c r="O15" s="172">
        <v>0</v>
      </c>
      <c r="P15" s="172">
        <v>0</v>
      </c>
      <c r="Q15" s="172">
        <v>11</v>
      </c>
      <c r="R15" s="175">
        <v>0</v>
      </c>
      <c r="S15" s="175">
        <f t="shared" ref="S15:AP15" si="11">S6</f>
        <v>0</v>
      </c>
      <c r="T15" s="175">
        <f t="shared" si="11"/>
        <v>0</v>
      </c>
      <c r="U15" s="175">
        <f t="shared" si="11"/>
        <v>0</v>
      </c>
      <c r="V15" s="175">
        <f t="shared" si="11"/>
        <v>0</v>
      </c>
      <c r="W15" s="175">
        <f t="shared" si="11"/>
        <v>0</v>
      </c>
      <c r="X15" s="175">
        <f t="shared" si="11"/>
        <v>0</v>
      </c>
      <c r="Y15" s="175">
        <f t="shared" si="11"/>
        <v>0</v>
      </c>
      <c r="Z15" s="175">
        <f t="shared" si="11"/>
        <v>0</v>
      </c>
      <c r="AA15" s="175">
        <f t="shared" si="11"/>
        <v>0</v>
      </c>
      <c r="AB15" s="175">
        <f t="shared" si="11"/>
        <v>0</v>
      </c>
      <c r="AC15" s="175">
        <f t="shared" si="11"/>
        <v>0</v>
      </c>
      <c r="AD15" s="175">
        <f t="shared" si="11"/>
        <v>0</v>
      </c>
      <c r="AE15" s="175">
        <f t="shared" si="11"/>
        <v>0</v>
      </c>
      <c r="AF15" s="175">
        <f t="shared" si="11"/>
        <v>0</v>
      </c>
      <c r="AG15" s="175">
        <f t="shared" si="11"/>
        <v>0</v>
      </c>
      <c r="AH15" s="175">
        <f t="shared" si="11"/>
        <v>0</v>
      </c>
      <c r="AI15" s="175">
        <f t="shared" si="11"/>
        <v>0</v>
      </c>
      <c r="AJ15" s="175">
        <f t="shared" si="11"/>
        <v>0</v>
      </c>
      <c r="AK15" s="175">
        <f t="shared" si="11"/>
        <v>0</v>
      </c>
      <c r="AL15" s="175">
        <f t="shared" si="11"/>
        <v>0</v>
      </c>
      <c r="AM15" s="175">
        <f t="shared" si="11"/>
        <v>0</v>
      </c>
      <c r="AN15" s="175">
        <f t="shared" si="11"/>
        <v>0</v>
      </c>
      <c r="AO15" s="175">
        <f t="shared" si="11"/>
        <v>0</v>
      </c>
      <c r="AP15" s="185">
        <f t="shared" si="11"/>
        <v>0</v>
      </c>
      <c r="AQ15" s="187"/>
      <c r="AR15" s="187"/>
      <c r="AS15" s="187"/>
      <c r="AT15" s="187"/>
      <c r="AU15" s="187"/>
      <c r="AV15" s="187"/>
      <c r="AW15" s="187"/>
      <c r="AX15" s="187"/>
      <c r="AY15" s="187"/>
      <c r="AZ15" s="187"/>
      <c r="BA15" s="187"/>
      <c r="BB15" s="187"/>
      <c r="BC15" s="187"/>
      <c r="BD15" s="187"/>
      <c r="BE15" s="187"/>
      <c r="BF15" s="187"/>
      <c r="BH15" s="188">
        <f>BH14*K25</f>
        <v>39215000</v>
      </c>
    </row>
    <row r="16" spans="1:62">
      <c r="BG16" s="167">
        <f>11+15+57+34.5+7.5+26.5+22.3+50+75+15+20+40.7+74.5+18</f>
        <v>467</v>
      </c>
      <c r="BH16" s="188">
        <f>BH14*K26</f>
        <v>294965000</v>
      </c>
      <c r="BI16" s="167">
        <f>BH16/1.5</f>
        <v>196643333.33333334</v>
      </c>
    </row>
    <row r="17" spans="1:63">
      <c r="A17" s="167" t="s">
        <v>22</v>
      </c>
      <c r="B17" s="189"/>
      <c r="C17" s="189"/>
      <c r="D17" s="189"/>
      <c r="E17" s="189"/>
      <c r="F17" s="189"/>
      <c r="G17" s="189"/>
      <c r="H17" s="189"/>
      <c r="I17" s="189"/>
      <c r="J17" s="189"/>
      <c r="K17" s="189"/>
      <c r="L17" s="189"/>
      <c r="M17" s="189"/>
      <c r="N17" s="189"/>
      <c r="O17" s="189"/>
      <c r="P17" s="189"/>
      <c r="Q17" s="189"/>
      <c r="R17" s="189"/>
      <c r="S17" s="189"/>
      <c r="T17" s="189"/>
      <c r="U17" s="189"/>
      <c r="V17" s="189"/>
      <c r="W17" s="189"/>
      <c r="X17" s="189"/>
      <c r="Y17" s="189"/>
      <c r="Z17" s="189"/>
      <c r="AA17" s="189"/>
      <c r="AB17" s="189"/>
      <c r="AC17" s="189"/>
      <c r="AD17" s="189"/>
      <c r="AE17" s="189"/>
      <c r="AF17" s="189"/>
      <c r="AG17" s="189"/>
      <c r="AH17" s="189"/>
      <c r="AI17" s="189"/>
      <c r="AJ17" s="189"/>
      <c r="AK17" s="189"/>
      <c r="AL17" s="189"/>
      <c r="AM17" s="189"/>
      <c r="AN17" s="189"/>
      <c r="AO17" s="189"/>
      <c r="AP17" s="189"/>
      <c r="AQ17" s="189"/>
      <c r="AR17" s="189"/>
      <c r="AS17" s="189"/>
      <c r="AT17" s="189"/>
      <c r="AU17" s="189"/>
      <c r="AV17" s="189"/>
      <c r="AW17" s="189"/>
      <c r="AX17" s="189"/>
      <c r="AY17" s="189"/>
      <c r="AZ17" s="189"/>
      <c r="BA17" s="189"/>
      <c r="BB17" s="189"/>
      <c r="BC17" s="189"/>
      <c r="BD17" s="189"/>
      <c r="BE17" s="189"/>
      <c r="BF17" s="189"/>
      <c r="BG17" s="167">
        <f>BG16/14</f>
        <v>33.357142857142854</v>
      </c>
      <c r="BH17" s="188">
        <f>BH14*K27</f>
        <v>462055000</v>
      </c>
      <c r="BI17" s="167">
        <f>BH17/'RVO Forecast'!K6</f>
        <v>295332063.80636775</v>
      </c>
    </row>
    <row r="18" spans="1:63">
      <c r="A18" s="167" t="s">
        <v>23</v>
      </c>
      <c r="B18" s="189"/>
      <c r="C18" s="107">
        <f>'RVO Forecast'!B14</f>
        <v>0</v>
      </c>
      <c r="D18" s="107">
        <f>'RVO Forecast'!C14</f>
        <v>0</v>
      </c>
      <c r="E18" s="107">
        <f>'RVO Forecast'!D14</f>
        <v>800000</v>
      </c>
      <c r="F18" s="107">
        <f>'RVO Forecast'!E14</f>
        <v>33000000</v>
      </c>
      <c r="G18" s="107">
        <f>'RVO Forecast'!F14</f>
        <v>123000000</v>
      </c>
      <c r="H18" s="107">
        <f>'RVO Forecast'!G14</f>
        <v>230000000</v>
      </c>
      <c r="I18" s="107">
        <f>'RVO Forecast'!H14</f>
        <v>311000000</v>
      </c>
      <c r="J18" s="107">
        <f>'RVO Forecast'!I14</f>
        <v>288000000</v>
      </c>
      <c r="K18" s="107">
        <f>'RVO Forecast'!J14</f>
        <v>418000000</v>
      </c>
      <c r="L18" s="107">
        <f>'RVO Forecast'!K14</f>
        <v>510000000</v>
      </c>
      <c r="M18" s="107">
        <f>'RVO Forecast'!L14</f>
        <v>560000000</v>
      </c>
      <c r="N18" s="107">
        <f>'RVO Forecast'!M14</f>
        <v>630000000</v>
      </c>
      <c r="O18" s="107">
        <f>'RVO Forecast'!N14</f>
        <v>840000000</v>
      </c>
      <c r="P18" s="107">
        <f>'RVO Forecast'!O14</f>
        <v>1090000000</v>
      </c>
      <c r="Q18" s="107">
        <f>'RVO Forecast'!P14</f>
        <v>1380000000</v>
      </c>
      <c r="R18" s="107">
        <f>'RVO Forecast'!Q14</f>
        <v>1300000000</v>
      </c>
      <c r="S18" s="107">
        <f>'RVO Forecast'!R14</f>
        <v>1360000000</v>
      </c>
      <c r="T18" s="107">
        <f>'RVO Forecast'!S14</f>
        <v>1400000000</v>
      </c>
      <c r="U18" s="107">
        <f>'RVO Forecast'!T14</f>
        <v>3250000000</v>
      </c>
      <c r="V18" s="107">
        <f>'RVO Forecast'!U14</f>
        <v>3500000000</v>
      </c>
      <c r="W18" s="107">
        <f>'RVO Forecast'!V14</f>
        <v>3750000000</v>
      </c>
      <c r="X18" s="107">
        <f>'RVO Forecast'!W14</f>
        <v>4000000000</v>
      </c>
      <c r="Y18" s="107">
        <f>'RVO Forecast'!X14</f>
        <v>4250000000</v>
      </c>
      <c r="Z18" s="107">
        <f>'RVO Forecast'!Y14</f>
        <v>4500000000</v>
      </c>
      <c r="AA18" s="107">
        <f>'RVO Forecast'!Z14</f>
        <v>4750000000</v>
      </c>
      <c r="AB18" s="107">
        <f>'RVO Forecast'!AA14</f>
        <v>5000000000</v>
      </c>
      <c r="AC18" s="107">
        <f>'RVO Forecast'!AB14</f>
        <v>5250000000</v>
      </c>
      <c r="AD18" s="107">
        <f>'RVO Forecast'!AC14</f>
        <v>5500000000</v>
      </c>
      <c r="AE18" s="107">
        <f>'RVO Forecast'!AD14</f>
        <v>5750000000</v>
      </c>
      <c r="AF18" s="107">
        <f>'RVO Forecast'!AE14</f>
        <v>6000000000</v>
      </c>
      <c r="AG18" s="107">
        <f>'RVO Forecast'!AF14</f>
        <v>6250000000</v>
      </c>
      <c r="AH18" s="107">
        <f>'RVO Forecast'!AG14</f>
        <v>7250000000</v>
      </c>
      <c r="AI18" s="107">
        <f>'RVO Forecast'!AH14</f>
        <v>8250000000</v>
      </c>
      <c r="AJ18" s="107">
        <f>'RVO Forecast'!AI14</f>
        <v>9250000000</v>
      </c>
      <c r="AK18" s="107">
        <f>'RVO Forecast'!AJ14</f>
        <v>10250000000</v>
      </c>
      <c r="AL18" s="107">
        <f>'RVO Forecast'!AK14</f>
        <v>11250000000</v>
      </c>
      <c r="AM18" s="107">
        <f>'RVO Forecast'!AL14</f>
        <v>12250000000</v>
      </c>
      <c r="AN18" s="107">
        <f>'RVO Forecast'!AM14</f>
        <v>13250000000</v>
      </c>
      <c r="AO18" s="107">
        <f>'RVO Forecast'!AN14</f>
        <v>14250000000</v>
      </c>
      <c r="AP18" s="107">
        <f>'RVO Forecast'!AO14</f>
        <v>15250000000</v>
      </c>
      <c r="AQ18" s="189"/>
      <c r="AR18" s="189"/>
      <c r="AS18" s="189"/>
      <c r="AT18" s="189"/>
      <c r="AU18" s="189"/>
      <c r="AV18" s="189"/>
      <c r="AW18" s="189"/>
      <c r="AX18" s="189"/>
      <c r="AY18" s="189"/>
      <c r="AZ18" s="189"/>
      <c r="BA18" s="189"/>
      <c r="BB18" s="189"/>
      <c r="BC18" s="189"/>
      <c r="BD18" s="189"/>
      <c r="BE18" s="189"/>
      <c r="BF18" s="189"/>
      <c r="BG18" s="167">
        <f>BG17*7</f>
        <v>233.49999999999997</v>
      </c>
      <c r="BH18" s="188">
        <f>BH14*K28</f>
        <v>1870385000</v>
      </c>
    </row>
    <row r="19" spans="1:63">
      <c r="A19" s="167" t="s">
        <v>24</v>
      </c>
      <c r="B19" s="189"/>
      <c r="C19" s="107">
        <f>'RVO Forecast'!B10</f>
        <v>800000000</v>
      </c>
      <c r="D19" s="107">
        <f>'RVO Forecast'!C10</f>
        <v>1000000000</v>
      </c>
      <c r="E19" s="107">
        <f>'RVO Forecast'!D10</f>
        <v>1280000000</v>
      </c>
      <c r="F19" s="107">
        <f>'RVO Forecast'!E10</f>
        <v>1630000000</v>
      </c>
      <c r="G19" s="107">
        <f>'RVO Forecast'!F10</f>
        <v>1730000000</v>
      </c>
      <c r="H19" s="107">
        <f>'RVO Forecast'!G10</f>
        <v>1900000000</v>
      </c>
      <c r="I19" s="107">
        <f>'RVO Forecast'!H10</f>
        <v>2000000000</v>
      </c>
      <c r="J19" s="107">
        <f>'RVO Forecast'!I10</f>
        <v>2100000000</v>
      </c>
      <c r="K19" s="107">
        <f>'RVO Forecast'!J10</f>
        <v>2100000000</v>
      </c>
      <c r="L19" s="107">
        <f>'RVO Forecast'!K10</f>
        <v>2430000000</v>
      </c>
      <c r="M19" s="107">
        <f>'RVO Forecast'!L10</f>
        <v>2430000000</v>
      </c>
      <c r="N19" s="107">
        <f>'RVO Forecast'!M10</f>
        <v>2760000000</v>
      </c>
      <c r="O19" s="107">
        <f>'RVO Forecast'!N10</f>
        <v>2820000000</v>
      </c>
      <c r="P19" s="107">
        <f>'RVO Forecast'!O10</f>
        <v>3040000000</v>
      </c>
      <c r="Q19" s="107">
        <f>'RVO Forecast'!P10</f>
        <v>3500000000</v>
      </c>
      <c r="R19" s="107">
        <f>'RVO Forecast'!Q10</f>
        <v>7120000000</v>
      </c>
      <c r="S19" s="107">
        <v>2430000007</v>
      </c>
      <c r="T19" s="107">
        <v>2430000008</v>
      </c>
      <c r="U19" s="107">
        <v>2430000009</v>
      </c>
      <c r="V19" s="107">
        <v>2430000010</v>
      </c>
      <c r="W19" s="107">
        <v>2430000011</v>
      </c>
      <c r="X19" s="107">
        <v>2430000012</v>
      </c>
      <c r="Y19" s="107">
        <v>2430000013</v>
      </c>
      <c r="Z19" s="107">
        <v>2430000014</v>
      </c>
      <c r="AA19" s="107">
        <v>2430000015</v>
      </c>
      <c r="AB19" s="107">
        <v>2430000016</v>
      </c>
      <c r="AC19" s="107">
        <v>2430000017</v>
      </c>
      <c r="AD19" s="107">
        <v>2430000018</v>
      </c>
      <c r="AE19" s="107">
        <v>2430000019</v>
      </c>
      <c r="AF19" s="107">
        <v>2430000020</v>
      </c>
      <c r="AG19" s="107">
        <v>2430000021</v>
      </c>
      <c r="AH19" s="107">
        <v>2430000022</v>
      </c>
      <c r="AI19" s="107">
        <v>2430000023</v>
      </c>
      <c r="AJ19" s="107">
        <v>2430000024</v>
      </c>
      <c r="AK19" s="107">
        <v>2430000025</v>
      </c>
      <c r="AL19" s="107">
        <v>2430000026</v>
      </c>
      <c r="AM19" s="107">
        <v>2430000027</v>
      </c>
      <c r="AN19" s="107">
        <v>2430000028</v>
      </c>
      <c r="AO19" s="107">
        <v>2430000029</v>
      </c>
      <c r="AP19" s="107">
        <v>2430000030</v>
      </c>
      <c r="AQ19" s="189"/>
      <c r="AR19" s="189"/>
      <c r="AS19" s="189"/>
      <c r="AT19" s="189"/>
      <c r="AU19" s="189"/>
      <c r="AV19" s="189"/>
      <c r="AW19" s="189"/>
      <c r="AX19" s="189"/>
      <c r="AY19" s="189"/>
      <c r="AZ19" s="189"/>
      <c r="BA19" s="189"/>
      <c r="BB19" s="189"/>
      <c r="BC19" s="189"/>
      <c r="BD19" s="189"/>
      <c r="BE19" s="189"/>
      <c r="BF19" s="189"/>
      <c r="BH19" s="188">
        <f>BH14*K29</f>
        <v>1408330000</v>
      </c>
    </row>
    <row r="20" spans="1:63">
      <c r="A20" s="167" t="s">
        <v>25</v>
      </c>
      <c r="B20" s="189"/>
      <c r="C20" s="107">
        <f>'RVO Forecast'!B18</f>
        <v>1350000000</v>
      </c>
      <c r="D20" s="107">
        <f>'RVO Forecast'!C18</f>
        <v>2000000000</v>
      </c>
      <c r="E20" s="107">
        <f>'RVO Forecast'!D18</f>
        <v>2670000000</v>
      </c>
      <c r="F20" s="107">
        <f>'RVO Forecast'!E18</f>
        <v>2670000000</v>
      </c>
      <c r="G20" s="107">
        <f>'RVO Forecast'!F18</f>
        <v>2880000000</v>
      </c>
      <c r="H20" s="107">
        <f>'RVO Forecast'!G18</f>
        <v>3610000000</v>
      </c>
      <c r="I20" s="107">
        <f>'RVO Forecast'!H18</f>
        <v>4280000000</v>
      </c>
      <c r="J20" s="107">
        <f>'RVO Forecast'!I18</f>
        <v>4290000000</v>
      </c>
      <c r="K20" s="107">
        <f>'RVO Forecast'!J18</f>
        <v>4920000000</v>
      </c>
      <c r="L20" s="107">
        <f>'RVO Forecast'!K18</f>
        <v>4630000000</v>
      </c>
      <c r="M20" s="107">
        <f>'RVO Forecast'!L18</f>
        <v>5050000000.000001</v>
      </c>
      <c r="N20" s="107">
        <f>'RVO Forecast'!M18</f>
        <v>5630000000</v>
      </c>
      <c r="O20" s="107">
        <f>'RVO Forecast'!N18</f>
        <v>5940000000</v>
      </c>
      <c r="P20" s="107">
        <f>'RVO Forecast'!O18</f>
        <v>6540000000</v>
      </c>
      <c r="Q20" s="107">
        <f>'RVO Forecast'!P18</f>
        <v>7330000000</v>
      </c>
      <c r="R20" s="107">
        <f>'RVO Forecast'!Q18</f>
        <v>9020000000</v>
      </c>
      <c r="S20" s="107">
        <f>'RVO Forecast'!R18</f>
        <v>9460000000</v>
      </c>
      <c r="T20" s="107">
        <f>'RVO Forecast'!S18</f>
        <v>10250000000</v>
      </c>
      <c r="U20" s="107">
        <f>'RVO Forecast'!T18</f>
        <v>11500000000</v>
      </c>
      <c r="V20" s="107">
        <f>'RVO Forecast'!U18</f>
        <v>12600000000</v>
      </c>
      <c r="W20" s="107">
        <f>'RVO Forecast'!V18</f>
        <v>13700000000</v>
      </c>
      <c r="X20" s="107">
        <f>'RVO Forecast'!W18</f>
        <v>14800000000</v>
      </c>
      <c r="Y20" s="107">
        <f>'RVO Forecast'!X18</f>
        <v>15900000000</v>
      </c>
      <c r="Z20" s="107">
        <f>'RVO Forecast'!Y18</f>
        <v>17000000000</v>
      </c>
      <c r="AA20" s="107">
        <f>'RVO Forecast'!Z18</f>
        <v>18100000000</v>
      </c>
      <c r="AB20" s="107">
        <f>'RVO Forecast'!AA18</f>
        <v>19200000000</v>
      </c>
      <c r="AC20" s="107">
        <f>'RVO Forecast'!AB18</f>
        <v>20300000000</v>
      </c>
      <c r="AD20" s="107">
        <f>'RVO Forecast'!AC18</f>
        <v>21400000000</v>
      </c>
      <c r="AE20" s="107">
        <f>'RVO Forecast'!AD18</f>
        <v>22500000000</v>
      </c>
      <c r="AF20" s="107">
        <f>'RVO Forecast'!AE18</f>
        <v>23600000000</v>
      </c>
      <c r="AG20" s="107">
        <f>'RVO Forecast'!AF18</f>
        <v>24700000000</v>
      </c>
      <c r="AH20" s="107">
        <f>'RVO Forecast'!AG18</f>
        <v>25700000000</v>
      </c>
      <c r="AI20" s="107">
        <f>'RVO Forecast'!AH18</f>
        <v>26700000000</v>
      </c>
      <c r="AJ20" s="107">
        <f>'RVO Forecast'!AI18</f>
        <v>27700000000</v>
      </c>
      <c r="AK20" s="107">
        <f>'RVO Forecast'!AJ18</f>
        <v>28700000000</v>
      </c>
      <c r="AL20" s="107">
        <f>'RVO Forecast'!AK18</f>
        <v>29700000000</v>
      </c>
      <c r="AM20" s="107">
        <f>'RVO Forecast'!AL18</f>
        <v>30700000000</v>
      </c>
      <c r="AN20" s="107">
        <f>'RVO Forecast'!AM18</f>
        <v>31700000000</v>
      </c>
      <c r="AO20" s="107">
        <f>'RVO Forecast'!AN18</f>
        <v>32700000000.000004</v>
      </c>
      <c r="AP20" s="107">
        <f>'RVO Forecast'!AO18</f>
        <v>33700000000.000004</v>
      </c>
      <c r="AQ20" s="189"/>
      <c r="AR20" s="189"/>
      <c r="AS20" s="189"/>
      <c r="AT20" s="189"/>
      <c r="AU20" s="189"/>
      <c r="AV20" s="189"/>
      <c r="AW20" s="189"/>
      <c r="AX20" s="189"/>
      <c r="AY20" s="189"/>
      <c r="AZ20" s="189"/>
      <c r="BA20" s="189"/>
      <c r="BB20" s="189"/>
      <c r="BC20" s="189"/>
      <c r="BD20" s="189"/>
      <c r="BE20" s="189"/>
      <c r="BF20" s="189"/>
    </row>
    <row r="21" spans="1:63">
      <c r="A21" s="167" t="s">
        <v>26</v>
      </c>
      <c r="B21" s="189"/>
      <c r="C21" s="107"/>
      <c r="D21" s="107"/>
      <c r="E21" s="107">
        <f>'RVO Forecast'!D8</f>
        <v>16550000000</v>
      </c>
      <c r="F21" s="107">
        <f>'RVO Forecast'!E8</f>
        <v>16280000000</v>
      </c>
      <c r="G21" s="107">
        <f>'RVO Forecast'!F8</f>
        <v>16930000000</v>
      </c>
      <c r="H21" s="107">
        <f>'RVO Forecast'!G8</f>
        <v>18110000000</v>
      </c>
      <c r="I21" s="107">
        <f>'RVO Forecast'!H8</f>
        <v>19280000000</v>
      </c>
      <c r="J21" s="107">
        <f>'RVO Forecast'!I8</f>
        <v>19290000000</v>
      </c>
      <c r="K21" s="107">
        <f>'RVO Forecast'!J8</f>
        <v>19920000000</v>
      </c>
      <c r="L21" s="107">
        <f>'RVO Forecast'!K8</f>
        <v>17129999999.999998</v>
      </c>
      <c r="M21" s="107">
        <f>'RVO Forecast'!L8</f>
        <v>18840000000</v>
      </c>
      <c r="N21" s="107">
        <f>'RVO Forecast'!M8</f>
        <v>20630000000</v>
      </c>
      <c r="O21" s="107">
        <f>'RVO Forecast'!N8</f>
        <v>20940000000</v>
      </c>
      <c r="P21" s="107">
        <f>'RVO Forecast'!O8</f>
        <v>21540000000</v>
      </c>
      <c r="Q21" s="107">
        <f>'RVO Forecast'!P8</f>
        <v>22330000000</v>
      </c>
      <c r="R21" s="107">
        <f>'RVO Forecast'!Q8</f>
        <v>24020000000</v>
      </c>
      <c r="S21" s="107">
        <f>'RVO Forecast'!R8</f>
        <v>24460000000</v>
      </c>
      <c r="T21" s="107">
        <f>'RVO Forecast'!S8</f>
        <v>25250000000</v>
      </c>
      <c r="U21" s="107">
        <f>'RVO Forecast'!T8</f>
        <v>26500000000</v>
      </c>
      <c r="V21" s="107">
        <f>'RVO Forecast'!U8</f>
        <v>27600000000</v>
      </c>
      <c r="W21" s="107">
        <f>'RVO Forecast'!V8</f>
        <v>28700000000</v>
      </c>
      <c r="X21" s="107">
        <f>'RVO Forecast'!W8</f>
        <v>29800000000</v>
      </c>
      <c r="Y21" s="107">
        <f>'RVO Forecast'!X8</f>
        <v>30900000000</v>
      </c>
      <c r="Z21" s="107">
        <f>'RVO Forecast'!Y8</f>
        <v>32000000000</v>
      </c>
      <c r="AA21" s="107">
        <f>'RVO Forecast'!Z8</f>
        <v>33100000000</v>
      </c>
      <c r="AB21" s="107">
        <f>'RVO Forecast'!AA8</f>
        <v>34200000000.000004</v>
      </c>
      <c r="AC21" s="107">
        <f>'RVO Forecast'!AB8</f>
        <v>35300000000</v>
      </c>
      <c r="AD21" s="107">
        <f>'RVO Forecast'!AC8</f>
        <v>36400000000</v>
      </c>
      <c r="AE21" s="107">
        <f>'RVO Forecast'!AD8</f>
        <v>37500000000</v>
      </c>
      <c r="AF21" s="107">
        <f>'RVO Forecast'!AE8</f>
        <v>38600000000</v>
      </c>
      <c r="AG21" s="107">
        <f>'RVO Forecast'!AF8</f>
        <v>39700000000</v>
      </c>
      <c r="AH21" s="107">
        <f>'RVO Forecast'!AG8</f>
        <v>40700000000</v>
      </c>
      <c r="AI21" s="107">
        <f>'RVO Forecast'!AH8</f>
        <v>41700000000</v>
      </c>
      <c r="AJ21" s="107">
        <f>'RVO Forecast'!AI8</f>
        <v>42700000000</v>
      </c>
      <c r="AK21" s="107">
        <f>'RVO Forecast'!AJ8</f>
        <v>43700000000</v>
      </c>
      <c r="AL21" s="107">
        <f>'RVO Forecast'!AK8</f>
        <v>44700000000</v>
      </c>
      <c r="AM21" s="107">
        <f>'RVO Forecast'!AL8</f>
        <v>45700000000</v>
      </c>
      <c r="AN21" s="107">
        <f>'RVO Forecast'!AM8</f>
        <v>46700000000</v>
      </c>
      <c r="AO21" s="107">
        <f>'RVO Forecast'!AN8</f>
        <v>47700000000</v>
      </c>
      <c r="AP21" s="107">
        <f>'RVO Forecast'!AO8</f>
        <v>48700000000</v>
      </c>
      <c r="AQ21" s="189"/>
      <c r="AR21" s="189"/>
      <c r="AS21" s="189"/>
      <c r="AT21" s="189"/>
      <c r="AU21" s="189"/>
      <c r="AV21" s="189"/>
      <c r="AW21" s="189"/>
      <c r="AX21" s="189"/>
      <c r="AY21" s="189"/>
      <c r="AZ21" s="189"/>
      <c r="BA21" s="189"/>
      <c r="BB21" s="189"/>
      <c r="BC21" s="189"/>
      <c r="BD21" s="189"/>
      <c r="BE21" s="189"/>
      <c r="BF21" s="189"/>
    </row>
    <row r="22" spans="1:63">
      <c r="A22" s="167" t="s">
        <v>27</v>
      </c>
      <c r="B22" s="189"/>
      <c r="C22" s="107"/>
      <c r="D22" s="107"/>
      <c r="E22" s="107">
        <f>E21-E20</f>
        <v>13880000000</v>
      </c>
      <c r="F22" s="107">
        <f>F21-F20</f>
        <v>13610000000</v>
      </c>
      <c r="G22" s="107">
        <f>G21-G20</f>
        <v>14050000000</v>
      </c>
      <c r="H22" s="107">
        <f>H21-H20</f>
        <v>14500000000</v>
      </c>
      <c r="I22" s="107">
        <v>15000000000</v>
      </c>
      <c r="J22" s="107">
        <v>15000000000</v>
      </c>
      <c r="K22" s="107">
        <f>K21-K20</f>
        <v>15000000000</v>
      </c>
      <c r="L22" s="107">
        <f t="shared" ref="L22:AP22" si="12">L21-L20</f>
        <v>12499999999.999998</v>
      </c>
      <c r="M22" s="107">
        <f t="shared" si="12"/>
        <v>13790000000</v>
      </c>
      <c r="N22" s="107">
        <f t="shared" si="12"/>
        <v>15000000000</v>
      </c>
      <c r="O22" s="107">
        <f t="shared" si="12"/>
        <v>15000000000</v>
      </c>
      <c r="P22" s="107">
        <f t="shared" si="12"/>
        <v>15000000000</v>
      </c>
      <c r="Q22" s="107">
        <f t="shared" si="12"/>
        <v>15000000000</v>
      </c>
      <c r="R22" s="107">
        <f t="shared" si="12"/>
        <v>15000000000</v>
      </c>
      <c r="S22" s="107">
        <f t="shared" si="12"/>
        <v>15000000000</v>
      </c>
      <c r="T22" s="107">
        <f t="shared" si="12"/>
        <v>15000000000</v>
      </c>
      <c r="U22" s="107">
        <f t="shared" si="12"/>
        <v>15000000000</v>
      </c>
      <c r="V22" s="107">
        <f t="shared" si="12"/>
        <v>15000000000</v>
      </c>
      <c r="W22" s="107">
        <f t="shared" si="12"/>
        <v>15000000000</v>
      </c>
      <c r="X22" s="107">
        <f t="shared" si="12"/>
        <v>15000000000</v>
      </c>
      <c r="Y22" s="107">
        <f t="shared" si="12"/>
        <v>15000000000</v>
      </c>
      <c r="Z22" s="107">
        <f t="shared" si="12"/>
        <v>15000000000</v>
      </c>
      <c r="AA22" s="107">
        <f t="shared" si="12"/>
        <v>15000000000</v>
      </c>
      <c r="AB22" s="107">
        <f t="shared" si="12"/>
        <v>15000000000.000004</v>
      </c>
      <c r="AC22" s="107">
        <f t="shared" si="12"/>
        <v>15000000000</v>
      </c>
      <c r="AD22" s="107">
        <f t="shared" si="12"/>
        <v>15000000000</v>
      </c>
      <c r="AE22" s="107">
        <f t="shared" si="12"/>
        <v>15000000000</v>
      </c>
      <c r="AF22" s="107">
        <f t="shared" si="12"/>
        <v>15000000000</v>
      </c>
      <c r="AG22" s="107">
        <f t="shared" si="12"/>
        <v>15000000000</v>
      </c>
      <c r="AH22" s="107">
        <f t="shared" si="12"/>
        <v>15000000000</v>
      </c>
      <c r="AI22" s="107">
        <f t="shared" si="12"/>
        <v>15000000000</v>
      </c>
      <c r="AJ22" s="107">
        <f t="shared" si="12"/>
        <v>15000000000</v>
      </c>
      <c r="AK22" s="107">
        <f t="shared" si="12"/>
        <v>15000000000</v>
      </c>
      <c r="AL22" s="107">
        <f t="shared" si="12"/>
        <v>15000000000</v>
      </c>
      <c r="AM22" s="107">
        <f t="shared" si="12"/>
        <v>15000000000</v>
      </c>
      <c r="AN22" s="107">
        <f t="shared" si="12"/>
        <v>15000000000</v>
      </c>
      <c r="AO22" s="107">
        <f t="shared" si="12"/>
        <v>14999999999.999996</v>
      </c>
      <c r="AP22" s="107">
        <f t="shared" si="12"/>
        <v>14999999999.999996</v>
      </c>
      <c r="AQ22" s="189"/>
      <c r="AR22" s="189"/>
      <c r="AS22" s="189"/>
      <c r="AT22" s="189"/>
      <c r="AU22" s="189"/>
      <c r="AV22" s="189"/>
      <c r="AW22" s="189"/>
      <c r="AX22" s="189"/>
      <c r="AY22" s="189"/>
      <c r="AZ22" s="189"/>
      <c r="BA22" s="189"/>
      <c r="BB22" s="189"/>
      <c r="BC22" s="189"/>
      <c r="BD22" s="189"/>
      <c r="BE22" s="189"/>
      <c r="BF22" s="189"/>
    </row>
    <row r="23" spans="1:63">
      <c r="B23" s="189"/>
      <c r="C23" s="189"/>
      <c r="D23" s="189"/>
      <c r="E23" s="189"/>
      <c r="F23" s="189"/>
      <c r="G23" s="189"/>
      <c r="H23" s="189"/>
      <c r="I23" s="189"/>
      <c r="J23" s="189"/>
      <c r="K23" s="189"/>
      <c r="L23" s="189"/>
      <c r="M23" s="189"/>
      <c r="N23" s="189"/>
      <c r="O23" s="189"/>
      <c r="P23" s="189"/>
      <c r="Q23" s="189"/>
      <c r="R23" s="189"/>
      <c r="S23" s="189"/>
      <c r="T23" s="189"/>
      <c r="U23" s="189"/>
      <c r="V23" s="189"/>
      <c r="W23" s="189"/>
      <c r="X23" s="189"/>
      <c r="Y23" s="189"/>
      <c r="Z23" s="189"/>
      <c r="AA23" s="189"/>
      <c r="AB23" s="189"/>
      <c r="AC23" s="189"/>
      <c r="AD23" s="189"/>
      <c r="AE23" s="189"/>
      <c r="AF23" s="189"/>
      <c r="AG23" s="189"/>
      <c r="AH23" s="189"/>
      <c r="AI23" s="189"/>
      <c r="AJ23" s="189"/>
      <c r="AK23" s="189"/>
      <c r="AL23" s="189"/>
      <c r="AM23" s="189"/>
      <c r="AN23" s="189"/>
      <c r="AO23" s="189"/>
      <c r="AP23" s="189"/>
      <c r="AQ23" s="189"/>
      <c r="AR23" s="189"/>
      <c r="AS23" s="189"/>
      <c r="AT23" s="189"/>
      <c r="AU23" s="189"/>
      <c r="AV23" s="189"/>
      <c r="AW23" s="189"/>
      <c r="AX23" s="189"/>
      <c r="AY23" s="189"/>
      <c r="AZ23" s="189"/>
      <c r="BA23" s="189"/>
      <c r="BB23" s="189"/>
      <c r="BC23" s="189"/>
      <c r="BD23" s="189"/>
      <c r="BE23" s="189"/>
      <c r="BF23" s="189"/>
    </row>
    <row r="24" spans="1:63">
      <c r="A24" s="167" t="s">
        <v>28</v>
      </c>
      <c r="B24" s="189"/>
      <c r="C24" s="189"/>
      <c r="D24" s="189"/>
      <c r="E24" s="189"/>
      <c r="F24" s="189"/>
      <c r="G24" s="189"/>
      <c r="H24" s="189"/>
      <c r="I24" s="189"/>
      <c r="J24" s="189"/>
      <c r="K24" s="189"/>
      <c r="L24" s="189"/>
      <c r="M24" s="189"/>
      <c r="N24" s="189"/>
      <c r="O24" s="189"/>
      <c r="P24" s="189"/>
      <c r="Q24" s="189"/>
      <c r="R24" s="189"/>
      <c r="S24" s="189"/>
      <c r="T24" s="189"/>
      <c r="U24" s="189"/>
      <c r="V24" s="189"/>
      <c r="W24" s="189"/>
      <c r="X24" s="189"/>
      <c r="Y24" s="189"/>
      <c r="Z24" s="189"/>
      <c r="AA24" s="189"/>
      <c r="AB24" s="189"/>
      <c r="AC24" s="189"/>
      <c r="AD24" s="189"/>
      <c r="AE24" s="189"/>
      <c r="AF24" s="189"/>
      <c r="AG24" s="189"/>
      <c r="AH24" s="189"/>
      <c r="AI24" s="189"/>
      <c r="AJ24" s="189"/>
      <c r="AK24" s="189"/>
      <c r="AL24" s="189"/>
      <c r="AM24" s="189"/>
      <c r="AN24" s="189"/>
      <c r="AO24" s="189"/>
      <c r="AP24" s="189"/>
      <c r="AQ24" s="189"/>
      <c r="AR24" s="189"/>
      <c r="AS24" s="189"/>
      <c r="AT24" s="189"/>
      <c r="AU24" s="189"/>
      <c r="AV24" s="189"/>
      <c r="AW24" s="189"/>
      <c r="AX24" s="189"/>
      <c r="AY24" s="189"/>
      <c r="AZ24" s="189"/>
      <c r="BA24" s="189"/>
      <c r="BB24" s="189"/>
      <c r="BC24" s="189"/>
      <c r="BD24" s="189"/>
      <c r="BE24" s="189"/>
      <c r="BF24" s="189"/>
    </row>
    <row r="25" spans="1:63">
      <c r="A25" s="167" t="s">
        <v>23</v>
      </c>
      <c r="B25" s="189"/>
      <c r="C25" s="189"/>
      <c r="D25" s="189"/>
      <c r="E25" s="190">
        <v>4.0000000000000003E-5</v>
      </c>
      <c r="F25" s="190">
        <v>1.9000000000000001E-4</v>
      </c>
      <c r="G25" s="190">
        <v>6.8999999999999997E-4</v>
      </c>
      <c r="H25" s="190">
        <v>1.2800000000000001E-3</v>
      </c>
      <c r="I25" s="190">
        <v>1.73E-3</v>
      </c>
      <c r="J25" s="190">
        <v>1.5900000000000001E-3</v>
      </c>
      <c r="K25" s="191">
        <v>2.3E-3</v>
      </c>
      <c r="L25" s="190">
        <v>2.8999999999999998E-3</v>
      </c>
      <c r="M25" s="190">
        <v>3.3E-3</v>
      </c>
      <c r="N25" s="190">
        <v>3.5000000000000001E-3</v>
      </c>
      <c r="O25" s="192">
        <v>4.7999999999999996E-3</v>
      </c>
      <c r="P25" s="192">
        <v>6.3E-3</v>
      </c>
      <c r="Q25" s="213">
        <v>8.0999999999999996E-3</v>
      </c>
      <c r="R25" s="214">
        <f t="shared" ref="R25:AP29" si="13">FORECAST(R18,$F25:$J25,$F18:$J18)</f>
        <v>7.1800511162263877E-3</v>
      </c>
      <c r="S25" s="214">
        <f t="shared" si="13"/>
        <v>7.5110058460301802E-3</v>
      </c>
      <c r="T25" s="214">
        <f t="shared" si="13"/>
        <v>7.7316423325660419E-3</v>
      </c>
      <c r="U25" s="214">
        <f t="shared" si="13"/>
        <v>1.7936079834849645E-2</v>
      </c>
      <c r="V25" s="214">
        <f t="shared" si="13"/>
        <v>1.9315057875698781E-2</v>
      </c>
      <c r="W25" s="214">
        <f t="shared" si="13"/>
        <v>2.0694035916547917E-2</v>
      </c>
      <c r="X25" s="214">
        <f t="shared" si="13"/>
        <v>2.2073013957397053E-2</v>
      </c>
      <c r="Y25" s="214">
        <f t="shared" si="13"/>
        <v>2.3451991998246189E-2</v>
      </c>
      <c r="Z25" s="214">
        <f t="shared" si="13"/>
        <v>2.4830970039095325E-2</v>
      </c>
      <c r="AA25" s="214">
        <f t="shared" si="13"/>
        <v>2.6209948079944461E-2</v>
      </c>
      <c r="AB25" s="214">
        <f t="shared" si="13"/>
        <v>2.7588926120793597E-2</v>
      </c>
      <c r="AC25" s="214">
        <f t="shared" si="13"/>
        <v>2.8967904161642733E-2</v>
      </c>
      <c r="AD25" s="214">
        <f t="shared" si="13"/>
        <v>3.0346882202491869E-2</v>
      </c>
      <c r="AE25" s="214">
        <f t="shared" si="13"/>
        <v>3.1725860243341009E-2</v>
      </c>
      <c r="AF25" s="214">
        <f t="shared" si="13"/>
        <v>3.3104838284190141E-2</v>
      </c>
      <c r="AG25" s="214">
        <f t="shared" si="13"/>
        <v>3.4483816325039281E-2</v>
      </c>
      <c r="AH25" s="214">
        <f t="shared" si="13"/>
        <v>3.9999728488435825E-2</v>
      </c>
      <c r="AI25" s="214">
        <f t="shared" si="13"/>
        <v>4.5515640651832369E-2</v>
      </c>
      <c r="AJ25" s="214">
        <f t="shared" si="13"/>
        <v>5.1031552815228913E-2</v>
      </c>
      <c r="AK25" s="214">
        <f t="shared" si="13"/>
        <v>5.6547464978625457E-2</v>
      </c>
      <c r="AL25" s="214">
        <f t="shared" si="13"/>
        <v>6.2063377142022001E-2</v>
      </c>
      <c r="AM25" s="214">
        <f t="shared" si="13"/>
        <v>6.7579289305418538E-2</v>
      </c>
      <c r="AN25" s="214">
        <f t="shared" si="13"/>
        <v>7.3095201468815083E-2</v>
      </c>
      <c r="AO25" s="214">
        <f t="shared" si="13"/>
        <v>7.8611113632211627E-2</v>
      </c>
      <c r="AP25" s="214">
        <f t="shared" si="13"/>
        <v>8.4127025795608171E-2</v>
      </c>
      <c r="AQ25" s="191"/>
      <c r="AR25" s="191"/>
      <c r="AS25" s="191"/>
      <c r="AT25" s="191"/>
      <c r="AU25" s="191"/>
      <c r="AV25" s="191"/>
      <c r="AW25" s="191"/>
      <c r="AX25" s="191"/>
      <c r="AY25" s="191"/>
      <c r="AZ25" s="191"/>
      <c r="BA25" s="191"/>
      <c r="BB25" s="191"/>
      <c r="BC25" s="191"/>
      <c r="BD25" s="191"/>
      <c r="BE25" s="191"/>
      <c r="BF25" s="191"/>
    </row>
    <row r="26" spans="1:63">
      <c r="A26" s="167" t="s">
        <v>24</v>
      </c>
      <c r="B26" s="189"/>
      <c r="C26" s="189"/>
      <c r="D26" s="189"/>
      <c r="E26" s="190">
        <v>1.1299999999999999E-2</v>
      </c>
      <c r="F26" s="190">
        <v>1.41E-2</v>
      </c>
      <c r="G26" s="190">
        <v>1.49E-2</v>
      </c>
      <c r="H26" s="190">
        <v>1.5900000000000001E-2</v>
      </c>
      <c r="I26" s="190">
        <v>1.67E-2</v>
      </c>
      <c r="J26" s="190">
        <v>1.7399999999999999E-2</v>
      </c>
      <c r="K26" s="191">
        <v>1.7299999999999999E-2</v>
      </c>
      <c r="L26" s="190">
        <v>2.1000000000000001E-2</v>
      </c>
      <c r="M26" s="190">
        <v>2.1600000000000001E-2</v>
      </c>
      <c r="N26" s="190">
        <v>2.3300000000000001E-2</v>
      </c>
      <c r="O26" s="192">
        <v>2.58E-2</v>
      </c>
      <c r="P26" s="192">
        <v>2.8199999999999999E-2</v>
      </c>
      <c r="Q26" s="213">
        <v>3.15E-2</v>
      </c>
      <c r="R26" s="214">
        <f t="shared" si="13"/>
        <v>5.2068974844468478E-2</v>
      </c>
      <c r="S26" s="214">
        <f t="shared" si="13"/>
        <v>1.96563430291723E-2</v>
      </c>
      <c r="T26" s="214">
        <f t="shared" si="13"/>
        <v>1.9656343036083306E-2</v>
      </c>
      <c r="U26" s="214">
        <f t="shared" si="13"/>
        <v>1.9656343042994316E-2</v>
      </c>
      <c r="V26" s="214">
        <f t="shared" si="13"/>
        <v>1.9656343049905326E-2</v>
      </c>
      <c r="W26" s="214">
        <f t="shared" si="13"/>
        <v>1.9656343056816333E-2</v>
      </c>
      <c r="X26" s="214">
        <f t="shared" si="13"/>
        <v>1.9656343063727343E-2</v>
      </c>
      <c r="Y26" s="214">
        <f t="shared" si="13"/>
        <v>1.9656343070638353E-2</v>
      </c>
      <c r="Z26" s="214">
        <f t="shared" si="13"/>
        <v>1.9656343077549362E-2</v>
      </c>
      <c r="AA26" s="214">
        <f t="shared" si="13"/>
        <v>1.9656343084460369E-2</v>
      </c>
      <c r="AB26" s="214">
        <f t="shared" si="13"/>
        <v>1.9656343091371379E-2</v>
      </c>
      <c r="AC26" s="214">
        <f t="shared" si="13"/>
        <v>1.9656343098282389E-2</v>
      </c>
      <c r="AD26" s="214">
        <f t="shared" si="13"/>
        <v>1.9656343105193395E-2</v>
      </c>
      <c r="AE26" s="214">
        <f t="shared" si="13"/>
        <v>1.9656343112104405E-2</v>
      </c>
      <c r="AF26" s="214">
        <f t="shared" si="13"/>
        <v>1.9656343119015415E-2</v>
      </c>
      <c r="AG26" s="214">
        <f t="shared" si="13"/>
        <v>1.9656343125926422E-2</v>
      </c>
      <c r="AH26" s="214">
        <f t="shared" si="13"/>
        <v>1.9656343132837432E-2</v>
      </c>
      <c r="AI26" s="214">
        <f t="shared" si="13"/>
        <v>1.9656343139748442E-2</v>
      </c>
      <c r="AJ26" s="214">
        <f t="shared" si="13"/>
        <v>1.9656343146659452E-2</v>
      </c>
      <c r="AK26" s="214">
        <f t="shared" si="13"/>
        <v>1.9656343153570458E-2</v>
      </c>
      <c r="AL26" s="214">
        <f t="shared" si="13"/>
        <v>1.9656343160481468E-2</v>
      </c>
      <c r="AM26" s="214">
        <f t="shared" si="13"/>
        <v>1.9656343167392478E-2</v>
      </c>
      <c r="AN26" s="214">
        <f t="shared" si="13"/>
        <v>1.9656343174303485E-2</v>
      </c>
      <c r="AO26" s="214">
        <f t="shared" si="13"/>
        <v>1.9656343181214495E-2</v>
      </c>
      <c r="AP26" s="214">
        <f t="shared" si="13"/>
        <v>1.9656343188125504E-2</v>
      </c>
      <c r="AQ26" s="191"/>
      <c r="AR26" s="191"/>
      <c r="AS26" s="191"/>
      <c r="AT26" s="191"/>
      <c r="AU26" s="191"/>
      <c r="AV26" s="191"/>
      <c r="AW26" s="191"/>
      <c r="AX26" s="191"/>
      <c r="AY26" s="191"/>
      <c r="AZ26" s="191"/>
      <c r="BA26" s="191"/>
      <c r="BB26" s="191"/>
      <c r="BC26" s="191"/>
      <c r="BD26" s="191"/>
      <c r="BE26" s="191"/>
      <c r="BF26" s="191"/>
    </row>
    <row r="27" spans="1:63">
      <c r="A27" s="167" t="s">
        <v>25</v>
      </c>
      <c r="B27" s="189"/>
      <c r="C27" s="189"/>
      <c r="D27" s="189"/>
      <c r="E27" s="190">
        <v>1.6199999999999999E-2</v>
      </c>
      <c r="F27" s="190">
        <v>1.5100000000000001E-2</v>
      </c>
      <c r="G27" s="190">
        <v>1.6199999999999999E-2</v>
      </c>
      <c r="H27" s="190">
        <v>2.01E-2</v>
      </c>
      <c r="I27" s="190">
        <v>2.3800000000000002E-2</v>
      </c>
      <c r="J27" s="190">
        <v>2.3699999999999999E-2</v>
      </c>
      <c r="K27" s="191">
        <v>2.7099999999999999E-2</v>
      </c>
      <c r="L27" s="190">
        <v>2.93E-2</v>
      </c>
      <c r="M27" s="190">
        <v>0.03</v>
      </c>
      <c r="N27" s="190">
        <v>3.1600000000000003E-2</v>
      </c>
      <c r="O27" s="192">
        <v>3.39E-2</v>
      </c>
      <c r="P27" s="192">
        <v>3.7900000000000003E-2</v>
      </c>
      <c r="Q27" s="213">
        <v>4.3099999999999999E-2</v>
      </c>
      <c r="R27" s="214">
        <f t="shared" si="13"/>
        <v>4.9130995267236452E-2</v>
      </c>
      <c r="S27" s="214">
        <f t="shared" si="13"/>
        <v>5.1490227623389909E-2</v>
      </c>
      <c r="T27" s="214">
        <f t="shared" si="13"/>
        <v>5.5726122081029075E-2</v>
      </c>
      <c r="U27" s="214">
        <f t="shared" si="13"/>
        <v>6.2428486729192309E-2</v>
      </c>
      <c r="V27" s="214">
        <f t="shared" si="13"/>
        <v>6.8326567619575965E-2</v>
      </c>
      <c r="W27" s="214">
        <f t="shared" si="13"/>
        <v>7.4224648509959607E-2</v>
      </c>
      <c r="X27" s="214">
        <f t="shared" si="13"/>
        <v>8.0122729400343262E-2</v>
      </c>
      <c r="Y27" s="214">
        <f t="shared" si="13"/>
        <v>8.6020810290726904E-2</v>
      </c>
      <c r="Z27" s="214">
        <f t="shared" si="13"/>
        <v>9.191889118111056E-2</v>
      </c>
      <c r="AA27" s="214">
        <f t="shared" si="13"/>
        <v>9.7816972071494201E-2</v>
      </c>
      <c r="AB27" s="214">
        <f t="shared" si="13"/>
        <v>0.10371505296187784</v>
      </c>
      <c r="AC27" s="214">
        <f t="shared" si="13"/>
        <v>0.1096131338522615</v>
      </c>
      <c r="AD27" s="214">
        <f t="shared" si="13"/>
        <v>0.11551121474264514</v>
      </c>
      <c r="AE27" s="214">
        <f t="shared" si="13"/>
        <v>0.1214092956330288</v>
      </c>
      <c r="AF27" s="214">
        <f t="shared" si="13"/>
        <v>0.12730737652341245</v>
      </c>
      <c r="AG27" s="214">
        <f t="shared" si="13"/>
        <v>0.13320545741379608</v>
      </c>
      <c r="AH27" s="214">
        <f t="shared" si="13"/>
        <v>0.13856734913232668</v>
      </c>
      <c r="AI27" s="214">
        <f t="shared" si="13"/>
        <v>0.14392924085085726</v>
      </c>
      <c r="AJ27" s="214">
        <f t="shared" si="13"/>
        <v>0.14929113256938786</v>
      </c>
      <c r="AK27" s="214">
        <f t="shared" si="13"/>
        <v>0.15465302428791844</v>
      </c>
      <c r="AL27" s="214">
        <f t="shared" si="13"/>
        <v>0.16001491600644904</v>
      </c>
      <c r="AM27" s="214">
        <f t="shared" si="13"/>
        <v>0.16537680772497962</v>
      </c>
      <c r="AN27" s="214">
        <f t="shared" si="13"/>
        <v>0.17073869944351022</v>
      </c>
      <c r="AO27" s="214">
        <f t="shared" si="13"/>
        <v>0.17610059116204083</v>
      </c>
      <c r="AP27" s="214">
        <f t="shared" si="13"/>
        <v>0.18146248288057143</v>
      </c>
      <c r="AQ27" s="191"/>
      <c r="AR27" s="191"/>
      <c r="AS27" s="191"/>
      <c r="AT27" s="191"/>
      <c r="AU27" s="191"/>
      <c r="AV27" s="191"/>
      <c r="AW27" s="191"/>
      <c r="AX27" s="191"/>
      <c r="AY27" s="191"/>
      <c r="AZ27" s="191"/>
      <c r="BA27" s="191"/>
      <c r="BB27" s="191"/>
      <c r="BC27" s="191"/>
      <c r="BD27" s="191"/>
      <c r="BE27" s="191"/>
      <c r="BF27" s="191"/>
      <c r="BH27" s="167">
        <v>318054000</v>
      </c>
    </row>
    <row r="28" spans="1:63">
      <c r="A28" s="167" t="s">
        <v>26</v>
      </c>
      <c r="B28" s="189"/>
      <c r="C28" s="189"/>
      <c r="D28" s="189"/>
      <c r="E28" s="190">
        <v>9.74E-2</v>
      </c>
      <c r="F28" s="190">
        <v>9.1899999999999996E-2</v>
      </c>
      <c r="G28" s="190">
        <v>9.5200000000000007E-2</v>
      </c>
      <c r="H28" s="190">
        <v>0.10100000000000001</v>
      </c>
      <c r="I28" s="190">
        <v>0.107</v>
      </c>
      <c r="J28" s="190">
        <v>0.1067</v>
      </c>
      <c r="K28" s="191">
        <v>0.10970000000000001</v>
      </c>
      <c r="L28" s="190">
        <v>0.1009</v>
      </c>
      <c r="M28" s="190">
        <v>0.1119</v>
      </c>
      <c r="N28" s="190">
        <v>0.1159</v>
      </c>
      <c r="O28" s="192">
        <v>0.1196</v>
      </c>
      <c r="P28" s="192">
        <v>0.125</v>
      </c>
      <c r="Q28" s="213">
        <v>0.1313</v>
      </c>
      <c r="R28" s="214">
        <f t="shared" si="13"/>
        <v>0.13036076396942614</v>
      </c>
      <c r="S28" s="214">
        <f t="shared" si="13"/>
        <v>0.13254552665505134</v>
      </c>
      <c r="T28" s="214">
        <f t="shared" si="13"/>
        <v>0.13646816874969658</v>
      </c>
      <c r="U28" s="214">
        <f t="shared" si="13"/>
        <v>0.14267488092476821</v>
      </c>
      <c r="V28" s="214">
        <f t="shared" si="13"/>
        <v>0.1481367876388312</v>
      </c>
      <c r="W28" s="214">
        <f t="shared" si="13"/>
        <v>0.15359869435289425</v>
      </c>
      <c r="X28" s="214">
        <f t="shared" si="13"/>
        <v>0.15906060106695724</v>
      </c>
      <c r="Y28" s="214">
        <f t="shared" si="13"/>
        <v>0.16452250778102029</v>
      </c>
      <c r="Z28" s="214">
        <f t="shared" si="13"/>
        <v>0.16998441449508328</v>
      </c>
      <c r="AA28" s="214">
        <f t="shared" si="13"/>
        <v>0.17544632120914633</v>
      </c>
      <c r="AB28" s="214">
        <f t="shared" si="13"/>
        <v>0.18090822792320932</v>
      </c>
      <c r="AC28" s="214">
        <f t="shared" si="13"/>
        <v>0.18637013463727231</v>
      </c>
      <c r="AD28" s="214">
        <f t="shared" si="13"/>
        <v>0.19183204135133536</v>
      </c>
      <c r="AE28" s="214">
        <f t="shared" si="13"/>
        <v>0.19729394806539835</v>
      </c>
      <c r="AF28" s="214">
        <f t="shared" si="13"/>
        <v>0.2027558547794614</v>
      </c>
      <c r="AG28" s="214">
        <f t="shared" si="13"/>
        <v>0.20821776149352439</v>
      </c>
      <c r="AH28" s="214">
        <f t="shared" si="13"/>
        <v>0.21318313123358168</v>
      </c>
      <c r="AI28" s="214">
        <f t="shared" si="13"/>
        <v>0.21814850097363897</v>
      </c>
      <c r="AJ28" s="214">
        <f t="shared" si="13"/>
        <v>0.22311387071369626</v>
      </c>
      <c r="AK28" s="214">
        <f t="shared" si="13"/>
        <v>0.22807924045375355</v>
      </c>
      <c r="AL28" s="214">
        <f t="shared" si="13"/>
        <v>0.23304461019381084</v>
      </c>
      <c r="AM28" s="214">
        <f t="shared" si="13"/>
        <v>0.23800997993386813</v>
      </c>
      <c r="AN28" s="214">
        <f t="shared" si="13"/>
        <v>0.24297534967392542</v>
      </c>
      <c r="AO28" s="214">
        <f t="shared" si="13"/>
        <v>0.24794071941398271</v>
      </c>
      <c r="AP28" s="214">
        <f t="shared" si="13"/>
        <v>0.25290608915403995</v>
      </c>
      <c r="AQ28" s="191"/>
      <c r="AR28" s="191"/>
      <c r="AS28" s="191"/>
      <c r="AT28" s="191"/>
      <c r="AU28" s="191"/>
      <c r="AV28" s="191"/>
      <c r="AW28" s="191"/>
      <c r="AX28" s="191"/>
      <c r="AY28" s="191"/>
      <c r="AZ28" s="191"/>
      <c r="BA28" s="191"/>
      <c r="BB28" s="191"/>
      <c r="BC28" s="191"/>
      <c r="BD28" s="191"/>
      <c r="BE28" s="191"/>
      <c r="BF28" s="191"/>
      <c r="BH28" s="167">
        <f>BH27/J36</f>
        <v>0.78642922844115637</v>
      </c>
    </row>
    <row r="29" spans="1:63">
      <c r="A29" s="167" t="s">
        <v>27</v>
      </c>
      <c r="B29" s="189"/>
      <c r="C29" s="189"/>
      <c r="D29" s="189"/>
      <c r="E29" s="190">
        <f>E28-E27</f>
        <v>8.1199999999999994E-2</v>
      </c>
      <c r="F29" s="190">
        <f>F28-F27</f>
        <v>7.6799999999999993E-2</v>
      </c>
      <c r="G29" s="190">
        <f>G28-G27</f>
        <v>7.9000000000000015E-2</v>
      </c>
      <c r="H29" s="190">
        <v>8.09E-2</v>
      </c>
      <c r="I29" s="190">
        <v>8.3199999999999996E-2</v>
      </c>
      <c r="J29" s="190">
        <v>8.3000000000000004E-2</v>
      </c>
      <c r="K29" s="191">
        <v>8.2600000000000007E-2</v>
      </c>
      <c r="L29" s="190">
        <v>7.8899999999999998E-2</v>
      </c>
      <c r="M29" s="190">
        <v>8.1900000000000001E-2</v>
      </c>
      <c r="N29" s="191">
        <v>8.2900000000000001E-2</v>
      </c>
      <c r="O29" s="193">
        <v>8.5699999999999998E-2</v>
      </c>
      <c r="P29" s="193">
        <v>8.7099999999999997E-2</v>
      </c>
      <c r="Q29" s="215">
        <v>8.8200000000000001E-2</v>
      </c>
      <c r="R29" s="214">
        <f t="shared" si="13"/>
        <v>8.3125786283197861E-2</v>
      </c>
      <c r="S29" s="214">
        <f t="shared" si="13"/>
        <v>8.3125786283197861E-2</v>
      </c>
      <c r="T29" s="214">
        <f t="shared" si="13"/>
        <v>8.3125786283197861E-2</v>
      </c>
      <c r="U29" s="214">
        <f t="shared" si="13"/>
        <v>8.3125786283197861E-2</v>
      </c>
      <c r="V29" s="214">
        <f t="shared" si="13"/>
        <v>8.3125786283197861E-2</v>
      </c>
      <c r="W29" s="214">
        <f t="shared" si="13"/>
        <v>8.3125786283197861E-2</v>
      </c>
      <c r="X29" s="214">
        <f t="shared" si="13"/>
        <v>8.3125786283197861E-2</v>
      </c>
      <c r="Y29" s="214">
        <f t="shared" si="13"/>
        <v>8.3125786283197861E-2</v>
      </c>
      <c r="Z29" s="214">
        <f t="shared" si="13"/>
        <v>8.3125786283197861E-2</v>
      </c>
      <c r="AA29" s="214">
        <f t="shared" si="13"/>
        <v>8.3125786283197861E-2</v>
      </c>
      <c r="AB29" s="214">
        <f t="shared" si="13"/>
        <v>8.3125786283197889E-2</v>
      </c>
      <c r="AC29" s="214">
        <f t="shared" si="13"/>
        <v>8.3125786283197861E-2</v>
      </c>
      <c r="AD29" s="214">
        <f t="shared" si="13"/>
        <v>8.3125786283197861E-2</v>
      </c>
      <c r="AE29" s="214">
        <f t="shared" si="13"/>
        <v>8.3125786283197861E-2</v>
      </c>
      <c r="AF29" s="214">
        <f t="shared" si="13"/>
        <v>8.3125786283197861E-2</v>
      </c>
      <c r="AG29" s="214">
        <f t="shared" si="13"/>
        <v>8.3125786283197861E-2</v>
      </c>
      <c r="AH29" s="214">
        <f t="shared" si="13"/>
        <v>8.3125786283197861E-2</v>
      </c>
      <c r="AI29" s="214">
        <f t="shared" si="13"/>
        <v>8.3125786283197861E-2</v>
      </c>
      <c r="AJ29" s="214">
        <f t="shared" si="13"/>
        <v>8.3125786283197861E-2</v>
      </c>
      <c r="AK29" s="214">
        <f t="shared" si="13"/>
        <v>8.3125786283197861E-2</v>
      </c>
      <c r="AL29" s="214">
        <f t="shared" si="13"/>
        <v>8.3125786283197861E-2</v>
      </c>
      <c r="AM29" s="214">
        <f t="shared" si="13"/>
        <v>8.3125786283197861E-2</v>
      </c>
      <c r="AN29" s="214">
        <f t="shared" si="13"/>
        <v>8.3125786283197861E-2</v>
      </c>
      <c r="AO29" s="214">
        <f t="shared" si="13"/>
        <v>8.3125786283197847E-2</v>
      </c>
      <c r="AP29" s="214">
        <f t="shared" si="13"/>
        <v>8.3125786283197847E-2</v>
      </c>
      <c r="AQ29" s="191"/>
      <c r="AR29" s="191"/>
      <c r="AS29" s="191"/>
      <c r="AT29" s="191"/>
      <c r="AU29" s="191"/>
      <c r="AV29" s="191"/>
      <c r="AW29" s="191"/>
      <c r="AX29" s="191"/>
      <c r="AY29" s="191"/>
      <c r="AZ29" s="191"/>
      <c r="BA29" s="191"/>
      <c r="BB29" s="191"/>
      <c r="BC29" s="191"/>
      <c r="BD29" s="191"/>
      <c r="BE29" s="191"/>
      <c r="BF29" s="191"/>
    </row>
    <row r="30" spans="1:63">
      <c r="A30" s="167" t="s">
        <v>29</v>
      </c>
      <c r="B30" s="189"/>
      <c r="C30" s="189"/>
      <c r="D30" s="189"/>
      <c r="E30" s="189"/>
      <c r="F30" s="189"/>
      <c r="G30" s="189"/>
      <c r="H30" s="190"/>
      <c r="I30" s="190"/>
      <c r="J30" s="189"/>
      <c r="K30" s="190"/>
      <c r="L30" s="189"/>
      <c r="M30" s="189"/>
      <c r="N30" s="190">
        <v>1.4E-3</v>
      </c>
      <c r="O30" s="190">
        <v>1.4E-3</v>
      </c>
      <c r="P30" s="190"/>
      <c r="Q30" s="213"/>
      <c r="R30" s="213"/>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189"/>
      <c r="AR30" s="189"/>
      <c r="AS30" s="189"/>
      <c r="AT30" s="189"/>
      <c r="AU30" s="189"/>
      <c r="AV30" s="189"/>
      <c r="AW30" s="189"/>
      <c r="AX30" s="189"/>
      <c r="AY30" s="189"/>
      <c r="AZ30" s="189"/>
      <c r="BA30" s="189"/>
      <c r="BB30" s="189"/>
      <c r="BC30" s="189"/>
      <c r="BD30" s="189"/>
      <c r="BE30" s="189"/>
      <c r="BF30" s="189"/>
    </row>
    <row r="31" spans="1:63">
      <c r="A31" s="167" t="s">
        <v>30</v>
      </c>
      <c r="B31" s="189"/>
      <c r="C31" s="189"/>
      <c r="D31" s="189"/>
      <c r="E31" s="189">
        <v>1980000000</v>
      </c>
      <c r="F31" s="189">
        <v>2300000000</v>
      </c>
      <c r="G31" s="189">
        <v>3070000000</v>
      </c>
      <c r="H31" s="189">
        <v>7820000000</v>
      </c>
      <c r="I31" s="189">
        <v>17050000000</v>
      </c>
      <c r="J31" s="189">
        <v>13620000000</v>
      </c>
      <c r="K31" s="189">
        <v>13300000000</v>
      </c>
      <c r="L31" s="189">
        <v>7140000000</v>
      </c>
      <c r="M31" s="189">
        <v>8090000000</v>
      </c>
      <c r="N31" s="189">
        <v>6450000000</v>
      </c>
      <c r="O31" s="194">
        <v>5600000000</v>
      </c>
      <c r="P31" s="194">
        <v>5820000000</v>
      </c>
      <c r="Q31" s="207">
        <f>MROUND(AVERAGE(L32:P32)*Q3,10000000)</f>
        <v>6670000000</v>
      </c>
      <c r="R31" s="207">
        <f t="shared" ref="R31:AP31" si="14">MROUND($I$32*R3,10000000)</f>
        <v>7790000000</v>
      </c>
      <c r="S31" s="207">
        <f t="shared" si="14"/>
        <v>8500000000</v>
      </c>
      <c r="T31" s="207">
        <f t="shared" si="14"/>
        <v>6920000000</v>
      </c>
      <c r="U31" s="207">
        <f t="shared" si="14"/>
        <v>7280000000</v>
      </c>
      <c r="V31" s="207">
        <f t="shared" si="14"/>
        <v>7290000000</v>
      </c>
      <c r="W31" s="207">
        <f t="shared" si="14"/>
        <v>6330000000</v>
      </c>
      <c r="X31" s="207">
        <f t="shared" si="14"/>
        <v>6500000000</v>
      </c>
      <c r="Y31" s="207">
        <f t="shared" si="14"/>
        <v>5880000000</v>
      </c>
      <c r="Z31" s="207">
        <f t="shared" si="14"/>
        <v>2910000000</v>
      </c>
      <c r="AA31" s="207">
        <f t="shared" si="14"/>
        <v>4210000000</v>
      </c>
      <c r="AB31" s="207">
        <f t="shared" si="14"/>
        <v>5050000000</v>
      </c>
      <c r="AC31" s="207">
        <f t="shared" si="14"/>
        <v>5970000000</v>
      </c>
      <c r="AD31" s="207">
        <f t="shared" si="14"/>
        <v>5870000000</v>
      </c>
      <c r="AE31" s="207">
        <f t="shared" si="14"/>
        <v>6020000000</v>
      </c>
      <c r="AF31" s="207">
        <f t="shared" si="14"/>
        <v>5180000000</v>
      </c>
      <c r="AG31" s="207">
        <f t="shared" si="14"/>
        <v>4220000000</v>
      </c>
      <c r="AH31" s="207">
        <f t="shared" si="14"/>
        <v>4220000000</v>
      </c>
      <c r="AI31" s="207">
        <f t="shared" si="14"/>
        <v>4490000000</v>
      </c>
      <c r="AJ31" s="207">
        <f t="shared" si="14"/>
        <v>4840000000</v>
      </c>
      <c r="AK31" s="207">
        <f t="shared" si="14"/>
        <v>4810000000</v>
      </c>
      <c r="AL31" s="207">
        <f t="shared" si="14"/>
        <v>4650000000</v>
      </c>
      <c r="AM31" s="207">
        <f t="shared" si="14"/>
        <v>4640000000</v>
      </c>
      <c r="AN31" s="207">
        <f t="shared" si="14"/>
        <v>5040000000</v>
      </c>
      <c r="AO31" s="207">
        <f t="shared" si="14"/>
        <v>5280000000</v>
      </c>
      <c r="AP31" s="207">
        <f t="shared" si="14"/>
        <v>5520000000</v>
      </c>
      <c r="AQ31" s="194"/>
      <c r="AR31" s="194"/>
      <c r="AS31" s="194"/>
      <c r="AT31" s="194"/>
      <c r="AU31" s="194"/>
      <c r="AV31" s="194"/>
      <c r="AW31" s="194"/>
      <c r="AX31" s="194"/>
      <c r="AY31" s="194"/>
      <c r="AZ31" s="194"/>
      <c r="BA31" s="194"/>
      <c r="BB31" s="194"/>
      <c r="BC31" s="194"/>
      <c r="BD31" s="194"/>
      <c r="BE31" s="194"/>
      <c r="BF31" s="194"/>
      <c r="BG31" s="189"/>
      <c r="BH31" s="194">
        <v>14858000000</v>
      </c>
      <c r="BI31" s="189">
        <f>J31-BH31</f>
        <v>-1238000000</v>
      </c>
      <c r="BJ31" s="194">
        <v>19031000000</v>
      </c>
      <c r="BK31" s="189">
        <f>K31-BJ31</f>
        <v>-5731000000</v>
      </c>
    </row>
    <row r="32" spans="1:63">
      <c r="A32" s="167" t="s">
        <v>31</v>
      </c>
      <c r="B32" s="189"/>
      <c r="C32" s="189"/>
      <c r="D32" s="189"/>
      <c r="E32" s="189">
        <f t="shared" ref="E32:O32" si="15">IF(E10=0,0,E31/(E11+(E12*E5)))</f>
        <v>247500000</v>
      </c>
      <c r="F32" s="189">
        <f t="shared" si="15"/>
        <v>287500000</v>
      </c>
      <c r="G32" s="189">
        <f t="shared" si="15"/>
        <v>438571428.5714286</v>
      </c>
      <c r="H32" s="189">
        <f t="shared" si="15"/>
        <v>411578947.36842108</v>
      </c>
      <c r="I32" s="189">
        <f t="shared" si="15"/>
        <v>487142857.14285713</v>
      </c>
      <c r="J32" s="189">
        <f t="shared" si="15"/>
        <v>446557377.04918033</v>
      </c>
      <c r="K32" s="189">
        <f t="shared" si="15"/>
        <v>492592592.5925926</v>
      </c>
      <c r="L32" s="189">
        <f t="shared" si="15"/>
        <v>460645161.2903226</v>
      </c>
      <c r="M32" s="189">
        <f t="shared" si="15"/>
        <v>449444444.44444442</v>
      </c>
      <c r="N32" s="189">
        <f t="shared" si="15"/>
        <v>496153846.15384614</v>
      </c>
      <c r="O32" s="189">
        <f t="shared" si="15"/>
        <v>414814814.81481481</v>
      </c>
      <c r="P32" s="189">
        <f>IF(P10=0,0,P31/(P11+(P12*P5)))</f>
        <v>447692307.69230771</v>
      </c>
      <c r="Q32" s="216">
        <f>IF(Q3=0,0,Q31/(Q3+(Q4*Q5)))</f>
        <v>356707689.33506662</v>
      </c>
      <c r="R32" s="216">
        <f>IF(R3=0,0,R31/(R3+(R4*R5)))</f>
        <v>392873128.37931943</v>
      </c>
      <c r="S32" s="216">
        <f>IF(S3=0,0,S31/(S3+(S4*S5)))</f>
        <v>399534342.29576743</v>
      </c>
      <c r="T32" s="216">
        <f>IF(T3=0,0,T31/(T3+(T4*T5)))</f>
        <v>383191036.28874493</v>
      </c>
      <c r="U32" s="216">
        <f>IF(U3=0,0,U31/(U3+(U4*U5)))</f>
        <v>385940171.7452423</v>
      </c>
      <c r="V32" s="216">
        <f t="shared" ref="V32:AP32" si="16">AVERAGE($E32:$I32)</f>
        <v>374458646.61654133</v>
      </c>
      <c r="W32" s="216">
        <f t="shared" si="16"/>
        <v>374458646.61654133</v>
      </c>
      <c r="X32" s="216">
        <f t="shared" si="16"/>
        <v>374458646.61654133</v>
      </c>
      <c r="Y32" s="216">
        <f t="shared" si="16"/>
        <v>374458646.61654133</v>
      </c>
      <c r="Z32" s="216">
        <f t="shared" si="16"/>
        <v>374458646.61654133</v>
      </c>
      <c r="AA32" s="216">
        <f t="shared" si="16"/>
        <v>374458646.61654133</v>
      </c>
      <c r="AB32" s="216">
        <f t="shared" si="16"/>
        <v>374458646.61654133</v>
      </c>
      <c r="AC32" s="216">
        <f t="shared" si="16"/>
        <v>374458646.61654133</v>
      </c>
      <c r="AD32" s="216">
        <f t="shared" si="16"/>
        <v>374458646.61654133</v>
      </c>
      <c r="AE32" s="216">
        <f t="shared" si="16"/>
        <v>374458646.61654133</v>
      </c>
      <c r="AF32" s="216">
        <f t="shared" si="16"/>
        <v>374458646.61654133</v>
      </c>
      <c r="AG32" s="216">
        <f t="shared" si="16"/>
        <v>374458646.61654133</v>
      </c>
      <c r="AH32" s="216">
        <f t="shared" si="16"/>
        <v>374458646.61654133</v>
      </c>
      <c r="AI32" s="216">
        <f t="shared" si="16"/>
        <v>374458646.61654133</v>
      </c>
      <c r="AJ32" s="216">
        <f t="shared" si="16"/>
        <v>374458646.61654133</v>
      </c>
      <c r="AK32" s="216">
        <f t="shared" si="16"/>
        <v>374458646.61654133</v>
      </c>
      <c r="AL32" s="216">
        <f t="shared" si="16"/>
        <v>374458646.61654133</v>
      </c>
      <c r="AM32" s="216">
        <f t="shared" si="16"/>
        <v>374458646.61654133</v>
      </c>
      <c r="AN32" s="216">
        <f t="shared" si="16"/>
        <v>374458646.61654133</v>
      </c>
      <c r="AO32" s="216">
        <f t="shared" si="16"/>
        <v>374458646.61654133</v>
      </c>
      <c r="AP32" s="216">
        <f t="shared" si="16"/>
        <v>374458646.61654133</v>
      </c>
      <c r="AQ32" s="189"/>
      <c r="AR32" s="189"/>
      <c r="AS32" s="189"/>
      <c r="AT32" s="189"/>
      <c r="AU32" s="189"/>
      <c r="AV32" s="189"/>
      <c r="AW32" s="189"/>
      <c r="AX32" s="189"/>
      <c r="AY32" s="189"/>
      <c r="AZ32" s="189"/>
      <c r="BA32" s="189"/>
      <c r="BB32" s="189"/>
      <c r="BC32" s="189"/>
      <c r="BD32" s="189"/>
      <c r="BE32" s="189"/>
      <c r="BF32" s="189"/>
      <c r="BG32" s="189"/>
      <c r="BH32" s="189"/>
      <c r="BJ32" s="189"/>
    </row>
    <row r="33" spans="1:63">
      <c r="A33" s="167" t="s">
        <v>32</v>
      </c>
      <c r="D33" s="189"/>
      <c r="E33" s="189"/>
      <c r="F33" s="189"/>
      <c r="G33" s="189"/>
      <c r="H33" s="189"/>
      <c r="I33" s="189"/>
      <c r="J33" s="189"/>
      <c r="K33" s="189"/>
      <c r="Q33" s="217"/>
      <c r="R33" s="217"/>
      <c r="S33" s="217"/>
      <c r="T33" s="217"/>
      <c r="U33" s="217"/>
      <c r="V33" s="217"/>
      <c r="W33" s="217"/>
      <c r="X33" s="217"/>
      <c r="Y33" s="217"/>
      <c r="Z33" s="217"/>
      <c r="AA33" s="217"/>
      <c r="AB33" s="217"/>
      <c r="AC33" s="217"/>
      <c r="AD33" s="217"/>
      <c r="AE33" s="217"/>
      <c r="AF33" s="217"/>
      <c r="AG33" s="217"/>
      <c r="AH33" s="217"/>
      <c r="AI33" s="217"/>
      <c r="AJ33" s="217"/>
      <c r="AK33" s="217"/>
      <c r="AL33" s="217"/>
      <c r="AM33" s="217"/>
      <c r="AN33" s="217"/>
      <c r="AO33" s="217"/>
      <c r="AP33" s="217"/>
    </row>
    <row r="34" spans="1:63">
      <c r="A34" s="167" t="s">
        <v>23</v>
      </c>
      <c r="D34" s="189">
        <f>SUM(E34:I34)</f>
        <v>42140600</v>
      </c>
      <c r="E34" s="189">
        <f>E$31*E25</f>
        <v>79200</v>
      </c>
      <c r="F34" s="189">
        <f>F$31*F25</f>
        <v>437000</v>
      </c>
      <c r="G34" s="189">
        <f>G$31*G25</f>
        <v>2118300</v>
      </c>
      <c r="H34" s="189">
        <f>H$31*H25</f>
        <v>10009600</v>
      </c>
      <c r="I34" s="189">
        <f>I$31*I25</f>
        <v>29496500</v>
      </c>
      <c r="J34" s="189">
        <f>(J$31*J25)+5933900</f>
        <v>27589700</v>
      </c>
      <c r="K34" s="194">
        <f>(K$31*K25)</f>
        <v>30590000</v>
      </c>
      <c r="L34" s="194">
        <f>L$31*L25</f>
        <v>20706000</v>
      </c>
      <c r="M34" s="194">
        <f>M$31*M25</f>
        <v>26697000</v>
      </c>
      <c r="N34" s="194">
        <f>N$31*N25</f>
        <v>22575000</v>
      </c>
      <c r="O34" s="194">
        <f t="shared" ref="O34:AP34" si="17">O$31*O25</f>
        <v>26879999.999999996</v>
      </c>
      <c r="P34" s="194">
        <f>P$31*P25</f>
        <v>36666000</v>
      </c>
      <c r="Q34" s="207">
        <f>Q$31*Q25</f>
        <v>54027000</v>
      </c>
      <c r="R34" s="207">
        <f t="shared" si="17"/>
        <v>55932598.195403561</v>
      </c>
      <c r="S34" s="207">
        <f t="shared" si="17"/>
        <v>63843549.691256531</v>
      </c>
      <c r="T34" s="207">
        <f t="shared" si="17"/>
        <v>53502964.941357009</v>
      </c>
      <c r="U34" s="207">
        <f t="shared" si="17"/>
        <v>130574661.19770542</v>
      </c>
      <c r="V34" s="207">
        <f t="shared" si="17"/>
        <v>140806771.91384411</v>
      </c>
      <c r="W34" s="207">
        <f t="shared" si="17"/>
        <v>130993247.35174832</v>
      </c>
      <c r="X34" s="207">
        <f t="shared" si="17"/>
        <v>143474590.72308084</v>
      </c>
      <c r="Y34" s="207">
        <f t="shared" si="17"/>
        <v>137897712.9496876</v>
      </c>
      <c r="Z34" s="207">
        <f t="shared" si="17"/>
        <v>72258122.813767388</v>
      </c>
      <c r="AA34" s="207">
        <f t="shared" si="17"/>
        <v>110343881.41656618</v>
      </c>
      <c r="AB34" s="207">
        <f t="shared" si="17"/>
        <v>139324076.91000766</v>
      </c>
      <c r="AC34" s="207">
        <f t="shared" si="17"/>
        <v>172938387.84500712</v>
      </c>
      <c r="AD34" s="207">
        <f t="shared" si="17"/>
        <v>178136198.52862728</v>
      </c>
      <c r="AE34" s="207">
        <f t="shared" si="17"/>
        <v>190989678.66491288</v>
      </c>
      <c r="AF34" s="207">
        <f t="shared" si="17"/>
        <v>171483062.31210494</v>
      </c>
      <c r="AG34" s="207">
        <f t="shared" si="17"/>
        <v>145521704.89166576</v>
      </c>
      <c r="AH34" s="207">
        <f t="shared" si="17"/>
        <v>168798854.22119918</v>
      </c>
      <c r="AI34" s="207">
        <f t="shared" si="17"/>
        <v>204365226.52672735</v>
      </c>
      <c r="AJ34" s="207">
        <f t="shared" si="17"/>
        <v>246992715.62570792</v>
      </c>
      <c r="AK34" s="207">
        <f t="shared" si="17"/>
        <v>271993306.54718846</v>
      </c>
      <c r="AL34" s="207">
        <f t="shared" si="17"/>
        <v>288594703.71040231</v>
      </c>
      <c r="AM34" s="207">
        <f t="shared" si="17"/>
        <v>313567902.37714201</v>
      </c>
      <c r="AN34" s="207">
        <f t="shared" si="17"/>
        <v>368399815.40282804</v>
      </c>
      <c r="AO34" s="207">
        <f t="shared" si="17"/>
        <v>415066679.97807741</v>
      </c>
      <c r="AP34" s="207">
        <f t="shared" si="17"/>
        <v>464381182.39175713</v>
      </c>
      <c r="AQ34" s="194"/>
      <c r="AR34" s="194"/>
      <c r="AS34" s="194"/>
      <c r="AT34" s="194"/>
      <c r="AU34" s="194"/>
      <c r="AV34" s="194"/>
      <c r="AW34" s="194"/>
      <c r="AX34" s="194"/>
      <c r="AY34" s="194"/>
      <c r="AZ34" s="194"/>
      <c r="BA34" s="194"/>
      <c r="BB34" s="194"/>
      <c r="BC34" s="194"/>
      <c r="BD34" s="194"/>
      <c r="BE34" s="194"/>
      <c r="BF34" s="194"/>
      <c r="BH34" s="194">
        <v>27271700</v>
      </c>
      <c r="BI34" s="189">
        <f>J34-BH34</f>
        <v>318000</v>
      </c>
      <c r="BJ34" s="194">
        <v>42402800</v>
      </c>
      <c r="BK34" s="189">
        <f>K34-BJ34</f>
        <v>-11812800</v>
      </c>
    </row>
    <row r="35" spans="1:63">
      <c r="A35" s="167" t="s">
        <v>24</v>
      </c>
      <c r="C35" s="189">
        <f>D35/5/12</f>
        <v>5662444.444444444</v>
      </c>
      <c r="D35" s="189">
        <f>SUM(E35:I35)</f>
        <v>339746666.66666663</v>
      </c>
      <c r="E35" s="189">
        <f>E$31*E26/1.5</f>
        <v>14916000</v>
      </c>
      <c r="F35" s="189">
        <f>F$31*F26/1.5</f>
        <v>21620000</v>
      </c>
      <c r="G35" s="189">
        <f>G$31*G26/1.5</f>
        <v>30495333.333333332</v>
      </c>
      <c r="H35" s="189">
        <f>H$31*H26/1.5</f>
        <v>82892000</v>
      </c>
      <c r="I35" s="189">
        <f>I$31*I26/1.5</f>
        <v>189823333.33333334</v>
      </c>
      <c r="J35" s="189">
        <f>(J$31*J26/1.5)+38187333</f>
        <v>196179332.99999997</v>
      </c>
      <c r="K35" s="194">
        <f>(K$31*K26/1/'RVO Forecast'!J$6)</f>
        <v>147029536.29102895</v>
      </c>
      <c r="L35" s="194">
        <f>L$31*L26/1.5</f>
        <v>99960000</v>
      </c>
      <c r="M35" s="194">
        <f>M$31*M26/1.5</f>
        <v>116496000</v>
      </c>
      <c r="N35" s="194">
        <f>N$31*N26/1.5</f>
        <v>100190000</v>
      </c>
      <c r="O35" s="194">
        <f t="shared" ref="O35:AP35" si="18">O$31*O26/1.5</f>
        <v>96320000</v>
      </c>
      <c r="P35" s="194">
        <f t="shared" si="18"/>
        <v>109416000</v>
      </c>
      <c r="Q35" s="207">
        <f t="shared" si="18"/>
        <v>140070000</v>
      </c>
      <c r="R35" s="207">
        <f t="shared" si="18"/>
        <v>270411542.69227296</v>
      </c>
      <c r="S35" s="207">
        <f t="shared" si="18"/>
        <v>111385943.83197637</v>
      </c>
      <c r="T35" s="207">
        <f t="shared" si="18"/>
        <v>90681262.539797649</v>
      </c>
      <c r="U35" s="207">
        <f t="shared" si="18"/>
        <v>95398784.901999071</v>
      </c>
      <c r="V35" s="207">
        <f t="shared" si="18"/>
        <v>95529827.222539887</v>
      </c>
      <c r="W35" s="207">
        <f t="shared" si="18"/>
        <v>82949767.699764922</v>
      </c>
      <c r="X35" s="207">
        <f t="shared" si="18"/>
        <v>85177486.609485149</v>
      </c>
      <c r="Y35" s="207">
        <f t="shared" si="18"/>
        <v>77052864.836902335</v>
      </c>
      <c r="Z35" s="207">
        <f t="shared" si="18"/>
        <v>38133305.570445761</v>
      </c>
      <c r="AA35" s="207">
        <f t="shared" si="18"/>
        <v>55168802.923718773</v>
      </c>
      <c r="AB35" s="207">
        <f t="shared" si="18"/>
        <v>66176355.074283637</v>
      </c>
      <c r="AC35" s="207">
        <f t="shared" si="18"/>
        <v>78232245.531163916</v>
      </c>
      <c r="AD35" s="207">
        <f t="shared" si="18"/>
        <v>76921822.684990153</v>
      </c>
      <c r="AE35" s="207">
        <f t="shared" si="18"/>
        <v>78887457.023245677</v>
      </c>
      <c r="AF35" s="207">
        <f t="shared" si="18"/>
        <v>67879904.904333234</v>
      </c>
      <c r="AG35" s="207">
        <f t="shared" si="18"/>
        <v>55299845.327606328</v>
      </c>
      <c r="AH35" s="207">
        <f t="shared" si="18"/>
        <v>55299845.347049303</v>
      </c>
      <c r="AI35" s="207">
        <f t="shared" si="18"/>
        <v>58837987.131646998</v>
      </c>
      <c r="AJ35" s="207">
        <f t="shared" si="18"/>
        <v>63424467.21988783</v>
      </c>
      <c r="AK35" s="207">
        <f t="shared" si="18"/>
        <v>63031340.379115939</v>
      </c>
      <c r="AL35" s="207">
        <f t="shared" si="18"/>
        <v>60934663.797492556</v>
      </c>
      <c r="AM35" s="207">
        <f t="shared" si="18"/>
        <v>60803621.531134069</v>
      </c>
      <c r="AN35" s="207">
        <f t="shared" si="18"/>
        <v>66045313.065659709</v>
      </c>
      <c r="AO35" s="207">
        <f t="shared" si="18"/>
        <v>69190327.99787502</v>
      </c>
      <c r="AP35" s="207">
        <f t="shared" si="18"/>
        <v>72335342.932301864</v>
      </c>
      <c r="AQ35" s="194"/>
      <c r="AR35" s="194"/>
      <c r="AS35" s="194"/>
      <c r="AT35" s="194"/>
      <c r="AU35" s="194"/>
      <c r="AV35" s="194"/>
      <c r="AW35" s="194"/>
      <c r="AX35" s="194"/>
      <c r="AY35" s="194"/>
      <c r="AZ35" s="194"/>
      <c r="BA35" s="194"/>
      <c r="BB35" s="194"/>
      <c r="BC35" s="194"/>
      <c r="BD35" s="194"/>
      <c r="BE35" s="194"/>
      <c r="BF35" s="194"/>
      <c r="BH35" s="194">
        <v>193859332.99999997</v>
      </c>
      <c r="BI35" s="189">
        <f>J35-BH35</f>
        <v>2320000</v>
      </c>
      <c r="BJ35" s="194">
        <v>204976094.21160099</v>
      </c>
      <c r="BK35" s="189">
        <f>K35-BJ35</f>
        <v>-57946557.920572042</v>
      </c>
    </row>
    <row r="36" spans="1:63">
      <c r="A36" s="167" t="s">
        <v>25</v>
      </c>
      <c r="D36" s="189">
        <f>SUM(E36:I36)</f>
        <v>439915909.85452616</v>
      </c>
      <c r="E36" s="189">
        <f>E$31*E27/1/'RVO Forecast'!D$6</f>
        <v>20802596.799223006</v>
      </c>
      <c r="F36" s="189">
        <f>F$31*F27/1/'RVO Forecast'!E$6</f>
        <v>22415613.598359678</v>
      </c>
      <c r="G36" s="189">
        <f>G$31*G27/1/'RVO Forecast'!F$6</f>
        <v>32111326.715036038</v>
      </c>
      <c r="H36" s="189">
        <f>H$31*H27/1/'RVO Forecast'!G$6</f>
        <v>102013742.89933506</v>
      </c>
      <c r="I36" s="189">
        <f>I$31*I27/1/'RVO Forecast'!H$6</f>
        <v>262572629.84257236</v>
      </c>
      <c r="J36" s="189">
        <f>(J$31*J27)+81634000</f>
        <v>404428000</v>
      </c>
      <c r="K36" s="194">
        <f>(K$31*K27/1/'RVO Forecast'!J$6)</f>
        <v>230317944.13218987</v>
      </c>
      <c r="L36" s="194">
        <f>L$31*L27/1/'RVO Forecast'!K$6</f>
        <v>133715809.61664684</v>
      </c>
      <c r="M36" s="194">
        <f>M$31*M27/1/'RVO Forecast'!L$6</f>
        <v>153459424.22504297</v>
      </c>
      <c r="N36" s="194">
        <f>N$31*N27/1/'RVO Forecast'!M$6</f>
        <v>127300318.79892687</v>
      </c>
      <c r="O36" s="194">
        <f>O$31*O27/1/'RVO Forecast'!N$6</f>
        <v>117603405.43804123</v>
      </c>
      <c r="P36" s="194">
        <f>P$31*P27/1/'RVO Forecast'!O$6</f>
        <v>135621207.34020707</v>
      </c>
      <c r="Q36" s="207">
        <f>Q$31*Q27/1/'RVO Forecast'!P$6</f>
        <v>176620314.69614241</v>
      </c>
      <c r="R36" s="207">
        <f>R$31*R27/1/'RVO Forecast'!Q$6</f>
        <v>234780247.5723283</v>
      </c>
      <c r="S36" s="207">
        <f>S$31*S27/1/'RVO Forecast'!R$6</f>
        <v>267904598.56528738</v>
      </c>
      <c r="T36" s="207">
        <f>T$31*T27/1/'RVO Forecast'!S$6</f>
        <v>234647786.48513821</v>
      </c>
      <c r="U36" s="207">
        <f>U$31*U27/1/'RVO Forecast'!T$6</f>
        <v>277626794.84064472</v>
      </c>
      <c r="V36" s="207">
        <f>V$31*V27/1/'RVO Forecast'!U$6</f>
        <v>304107608.13336766</v>
      </c>
      <c r="W36" s="207">
        <f>W$31*W27/1/'RVO Forecast'!V$6</f>
        <v>286261926.66173708</v>
      </c>
      <c r="X36" s="207">
        <f>X$31*X27/1/'RVO Forecast'!W$6</f>
        <v>316257438.62288994</v>
      </c>
      <c r="Y36" s="207">
        <f>Y$31*Y27/1/'RVO Forecast'!X$6</f>
        <v>304787217.11699039</v>
      </c>
      <c r="Z36" s="207">
        <f>Z$31*Z27/1/'RVO Forecast'!Y$6</f>
        <v>162149755.48468387</v>
      </c>
      <c r="AA36" s="207">
        <f>AA$31*AA27/1/'RVO Forecast'!Z$6</f>
        <v>249182933.40692693</v>
      </c>
      <c r="AB36" s="207">
        <f>AB$31*AB27/1/'RVO Forecast'!AA$6</f>
        <v>314867858.32815701</v>
      </c>
      <c r="AC36" s="207">
        <f>AC$31*AC27/1/'RVO Forecast'!AB$6</f>
        <v>390965102.42799693</v>
      </c>
      <c r="AD36" s="207">
        <f>AD$31*AD27/1/'RVO Forecast'!AC$6</f>
        <v>404431127.03495628</v>
      </c>
      <c r="AE36" s="207">
        <f>AE$31*AE27/1/'RVO Forecast'!AD$6</f>
        <v>434809442.82371515</v>
      </c>
      <c r="AF36" s="207">
        <f>AF$31*AF27/1/'RVO Forecast'!AE$6</f>
        <v>390339302.1540361</v>
      </c>
      <c r="AG36" s="207">
        <f>AG$31*AG27/1/'RVO Forecast'!AF$6</f>
        <v>332915631.11269671</v>
      </c>
      <c r="AH36" s="207">
        <f>AH$31*AH27/1/'RVO Forecast'!AG$6</f>
        <v>346158111.98284292</v>
      </c>
      <c r="AI36" s="207">
        <f>AI$31*AI27/1/'RVO Forecast'!AH$6</f>
        <v>381862066.67820978</v>
      </c>
      <c r="AJ36" s="207">
        <f>AJ$31*AJ27/1/'RVO Forecast'!AI$6</f>
        <v>426978719.1707046</v>
      </c>
      <c r="AK36" s="207">
        <f>AK$31*AK27/1/'RVO Forecast'!AJ$6</f>
        <v>439627172.65495735</v>
      </c>
      <c r="AL36" s="207">
        <f>AL$31*AL27/1/'RVO Forecast'!AK$6</f>
        <v>439849450.60712206</v>
      </c>
      <c r="AM36" s="207">
        <f>AM$31*AM27/1/'RVO Forecast'!AL$6</f>
        <v>453683530.30704927</v>
      </c>
      <c r="AN36" s="207">
        <f>AN$31*AN27/1/'RVO Forecast'!AM$6</f>
        <v>508747466.17535257</v>
      </c>
      <c r="AO36" s="207">
        <f>AO$31*AO27/1/'RVO Forecast'!AN$6</f>
        <v>549692040.52858508</v>
      </c>
      <c r="AP36" s="207">
        <f>AP$31*AP27/1/'RVO Forecast'!AO$6</f>
        <v>592147648.2584064</v>
      </c>
      <c r="AQ36" s="194"/>
      <c r="AR36" s="194"/>
      <c r="AS36" s="194"/>
      <c r="AT36" s="194"/>
      <c r="AU36" s="194"/>
      <c r="AV36" s="194"/>
      <c r="AW36" s="194"/>
      <c r="AX36" s="194"/>
      <c r="AY36" s="194"/>
      <c r="AZ36" s="194"/>
      <c r="BA36" s="194"/>
      <c r="BB36" s="194"/>
      <c r="BC36" s="194"/>
      <c r="BD36" s="194"/>
      <c r="BE36" s="194"/>
      <c r="BF36" s="194"/>
      <c r="BH36" s="194">
        <v>399688000</v>
      </c>
      <c r="BI36" s="189">
        <f>J36-BH36</f>
        <v>4740000</v>
      </c>
      <c r="BJ36" s="194">
        <v>321089719.83435762</v>
      </c>
      <c r="BK36" s="189">
        <f>K36-BJ36</f>
        <v>-90771775.702167749</v>
      </c>
    </row>
    <row r="37" spans="1:63">
      <c r="A37" s="167" t="s">
        <v>26</v>
      </c>
      <c r="E37" s="189">
        <f t="shared" ref="E37:H38" si="19">E$31*E28</f>
        <v>192852000</v>
      </c>
      <c r="F37" s="189">
        <f t="shared" si="19"/>
        <v>211370000</v>
      </c>
      <c r="G37" s="189">
        <f t="shared" si="19"/>
        <v>292264000</v>
      </c>
      <c r="H37" s="189">
        <f t="shared" si="19"/>
        <v>789820000</v>
      </c>
      <c r="I37" s="189">
        <f>I$31*I28</f>
        <v>1824350000</v>
      </c>
      <c r="J37" s="189">
        <f>(J$31*J28)+367010000</f>
        <v>1820264000</v>
      </c>
      <c r="K37" s="194">
        <f>(K$31*K28)</f>
        <v>1459010000</v>
      </c>
      <c r="L37" s="194">
        <f t="shared" ref="L37:AP38" si="20">L$31*L28</f>
        <v>720426000</v>
      </c>
      <c r="M37" s="194">
        <f t="shared" si="20"/>
        <v>905271000</v>
      </c>
      <c r="N37" s="194">
        <f t="shared" si="20"/>
        <v>747555000</v>
      </c>
      <c r="O37" s="194">
        <f t="shared" si="20"/>
        <v>669760000</v>
      </c>
      <c r="P37" s="194">
        <f t="shared" si="20"/>
        <v>727500000</v>
      </c>
      <c r="Q37" s="207">
        <f t="shared" si="20"/>
        <v>875771000</v>
      </c>
      <c r="R37" s="207">
        <f t="shared" si="20"/>
        <v>1015510351.3218297</v>
      </c>
      <c r="S37" s="207">
        <f t="shared" si="20"/>
        <v>1126636976.5679364</v>
      </c>
      <c r="T37" s="207">
        <f t="shared" si="20"/>
        <v>944359727.74790037</v>
      </c>
      <c r="U37" s="207">
        <f t="shared" si="20"/>
        <v>1038673133.1323125</v>
      </c>
      <c r="V37" s="207">
        <f t="shared" si="20"/>
        <v>1079917181.8870795</v>
      </c>
      <c r="W37" s="207">
        <f t="shared" si="20"/>
        <v>972279735.25382066</v>
      </c>
      <c r="X37" s="207">
        <f t="shared" si="20"/>
        <v>1033893906.935222</v>
      </c>
      <c r="Y37" s="207">
        <f t="shared" si="20"/>
        <v>967392345.75239933</v>
      </c>
      <c r="Z37" s="207">
        <f t="shared" si="20"/>
        <v>494654646.18069237</v>
      </c>
      <c r="AA37" s="207">
        <f t="shared" si="20"/>
        <v>738629012.29050601</v>
      </c>
      <c r="AB37" s="207">
        <f t="shared" si="20"/>
        <v>913586551.01220703</v>
      </c>
      <c r="AC37" s="207">
        <f t="shared" si="20"/>
        <v>1112629703.7845156</v>
      </c>
      <c r="AD37" s="207">
        <f t="shared" si="20"/>
        <v>1126054082.7323387</v>
      </c>
      <c r="AE37" s="207">
        <f t="shared" si="20"/>
        <v>1187709567.353698</v>
      </c>
      <c r="AF37" s="207">
        <f t="shared" si="20"/>
        <v>1050275327.7576101</v>
      </c>
      <c r="AG37" s="207">
        <f t="shared" si="20"/>
        <v>878678953.50267291</v>
      </c>
      <c r="AH37" s="207">
        <f t="shared" si="20"/>
        <v>899632813.80571473</v>
      </c>
      <c r="AI37" s="207">
        <f t="shared" si="20"/>
        <v>979486769.37163901</v>
      </c>
      <c r="AJ37" s="207">
        <f t="shared" si="20"/>
        <v>1079871134.2542899</v>
      </c>
      <c r="AK37" s="207">
        <f t="shared" si="20"/>
        <v>1097061146.5825546</v>
      </c>
      <c r="AL37" s="207">
        <f t="shared" si="20"/>
        <v>1083657437.4012203</v>
      </c>
      <c r="AM37" s="207">
        <f t="shared" si="20"/>
        <v>1104366306.8931482</v>
      </c>
      <c r="AN37" s="207">
        <f t="shared" si="20"/>
        <v>1224595762.3565841</v>
      </c>
      <c r="AO37" s="207">
        <f t="shared" si="20"/>
        <v>1309126998.5058286</v>
      </c>
      <c r="AP37" s="207">
        <f t="shared" si="20"/>
        <v>1396041612.1303005</v>
      </c>
      <c r="AQ37" s="194"/>
      <c r="AR37" s="194"/>
      <c r="AS37" s="194"/>
      <c r="AT37" s="194"/>
      <c r="AU37" s="194"/>
      <c r="AV37" s="194"/>
      <c r="AW37" s="194"/>
      <c r="AX37" s="194"/>
      <c r="AY37" s="194"/>
      <c r="AZ37" s="194"/>
      <c r="BA37" s="194"/>
      <c r="BB37" s="194"/>
      <c r="BC37" s="194"/>
      <c r="BD37" s="194"/>
      <c r="BE37" s="194"/>
      <c r="BF37" s="194"/>
      <c r="BG37" s="189"/>
      <c r="BH37" s="194">
        <v>1798924000</v>
      </c>
      <c r="BI37" s="189">
        <f>J37-BH37</f>
        <v>21340000</v>
      </c>
      <c r="BJ37" s="194">
        <v>2022429200</v>
      </c>
      <c r="BK37" s="189">
        <f>K37-BJ37</f>
        <v>-563419200</v>
      </c>
    </row>
    <row r="38" spans="1:63">
      <c r="A38" s="167" t="s">
        <v>27</v>
      </c>
      <c r="E38" s="189">
        <f t="shared" si="19"/>
        <v>160776000</v>
      </c>
      <c r="F38" s="189">
        <f t="shared" si="19"/>
        <v>176639999.99999997</v>
      </c>
      <c r="G38" s="189">
        <f t="shared" si="19"/>
        <v>242530000.00000006</v>
      </c>
      <c r="H38" s="189">
        <f t="shared" si="19"/>
        <v>632638000</v>
      </c>
      <c r="I38" s="189">
        <f>I$31*I29</f>
        <v>1418560000</v>
      </c>
      <c r="J38" s="189">
        <f>(J$31*J29)+285376000</f>
        <v>1415836000</v>
      </c>
      <c r="K38" s="194">
        <f>(K$31*K29)</f>
        <v>1098580000</v>
      </c>
      <c r="L38" s="194">
        <f t="shared" si="20"/>
        <v>563346000</v>
      </c>
      <c r="M38" s="194">
        <f t="shared" si="20"/>
        <v>662571000</v>
      </c>
      <c r="N38" s="194">
        <f t="shared" si="20"/>
        <v>534705000</v>
      </c>
      <c r="O38" s="194">
        <f t="shared" si="20"/>
        <v>479920000</v>
      </c>
      <c r="P38" s="194">
        <f t="shared" si="20"/>
        <v>506922000</v>
      </c>
      <c r="Q38" s="207">
        <f t="shared" si="20"/>
        <v>588294000</v>
      </c>
      <c r="R38" s="207">
        <f t="shared" si="20"/>
        <v>647549875.14611137</v>
      </c>
      <c r="S38" s="207">
        <f t="shared" si="20"/>
        <v>706569183.40718186</v>
      </c>
      <c r="T38" s="207">
        <f t="shared" si="20"/>
        <v>575230441.0797292</v>
      </c>
      <c r="U38" s="207">
        <f t="shared" si="20"/>
        <v>605155724.14168048</v>
      </c>
      <c r="V38" s="207">
        <f t="shared" si="20"/>
        <v>605986982.00451243</v>
      </c>
      <c r="W38" s="207">
        <f t="shared" si="20"/>
        <v>526186227.17264247</v>
      </c>
      <c r="X38" s="207">
        <f t="shared" si="20"/>
        <v>540317610.8407861</v>
      </c>
      <c r="Y38" s="207">
        <f t="shared" si="20"/>
        <v>488779623.3452034</v>
      </c>
      <c r="Z38" s="207">
        <f t="shared" si="20"/>
        <v>241896038.08410579</v>
      </c>
      <c r="AA38" s="207">
        <f t="shared" si="20"/>
        <v>349959560.25226301</v>
      </c>
      <c r="AB38" s="207">
        <f t="shared" si="20"/>
        <v>419785220.73014933</v>
      </c>
      <c r="AC38" s="207">
        <f t="shared" si="20"/>
        <v>496260944.11069125</v>
      </c>
      <c r="AD38" s="207">
        <f t="shared" si="20"/>
        <v>487948365.48237145</v>
      </c>
      <c r="AE38" s="207">
        <f t="shared" si="20"/>
        <v>500417233.42485112</v>
      </c>
      <c r="AF38" s="207">
        <f t="shared" si="20"/>
        <v>430591572.94696492</v>
      </c>
      <c r="AG38" s="207">
        <f t="shared" si="20"/>
        <v>350790818.11509496</v>
      </c>
      <c r="AH38" s="207">
        <f t="shared" si="20"/>
        <v>350790818.11509496</v>
      </c>
      <c r="AI38" s="207">
        <f t="shared" si="20"/>
        <v>373234780.41155839</v>
      </c>
      <c r="AJ38" s="207">
        <f t="shared" si="20"/>
        <v>402328805.61067766</v>
      </c>
      <c r="AK38" s="207">
        <f t="shared" si="20"/>
        <v>399835032.02218169</v>
      </c>
      <c r="AL38" s="207">
        <f t="shared" si="20"/>
        <v>386534906.21687007</v>
      </c>
      <c r="AM38" s="207">
        <f t="shared" si="20"/>
        <v>385703648.35403806</v>
      </c>
      <c r="AN38" s="207">
        <f t="shared" si="20"/>
        <v>418953962.8673172</v>
      </c>
      <c r="AO38" s="207">
        <f t="shared" si="20"/>
        <v>438904151.57528466</v>
      </c>
      <c r="AP38" s="207">
        <f t="shared" si="20"/>
        <v>458854340.28325212</v>
      </c>
      <c r="AQ38" s="194"/>
      <c r="AR38" s="194"/>
      <c r="AS38" s="194"/>
      <c r="AT38" s="194"/>
      <c r="AU38" s="194"/>
      <c r="AV38" s="194"/>
      <c r="AW38" s="194"/>
      <c r="AX38" s="194"/>
      <c r="AY38" s="194"/>
      <c r="AZ38" s="194"/>
      <c r="BA38" s="194"/>
      <c r="BB38" s="194"/>
      <c r="BC38" s="194"/>
      <c r="BD38" s="194"/>
      <c r="BE38" s="194"/>
      <c r="BF38" s="194"/>
      <c r="BH38" s="194">
        <v>1399236000</v>
      </c>
      <c r="BI38" s="189">
        <f>J38-BH38</f>
        <v>16600000</v>
      </c>
      <c r="BJ38" s="194">
        <v>1522813600.0000002</v>
      </c>
      <c r="BK38" s="189">
        <f>K38-BJ38</f>
        <v>-424233600.00000024</v>
      </c>
    </row>
    <row r="39" spans="1:63">
      <c r="J39" s="196">
        <f>J38/3</f>
        <v>471945333.33333331</v>
      </c>
      <c r="K39" s="197"/>
      <c r="L39" s="197"/>
      <c r="M39" s="197"/>
      <c r="N39" s="197"/>
      <c r="O39" s="198"/>
      <c r="P39" s="198"/>
      <c r="Q39" s="207"/>
      <c r="R39" s="207"/>
      <c r="S39" s="218"/>
      <c r="T39" s="218"/>
      <c r="U39" s="218"/>
      <c r="V39" s="218"/>
      <c r="W39" s="218"/>
      <c r="X39" s="218"/>
      <c r="Y39" s="218"/>
      <c r="Z39" s="218"/>
      <c r="AA39" s="218"/>
      <c r="AB39" s="218"/>
      <c r="AC39" s="218"/>
      <c r="AD39" s="218"/>
      <c r="AE39" s="218"/>
      <c r="AF39" s="218"/>
      <c r="AG39" s="218"/>
      <c r="AH39" s="218"/>
      <c r="AI39" s="218"/>
      <c r="AJ39" s="218"/>
      <c r="AK39" s="218"/>
      <c r="AL39" s="218"/>
      <c r="AM39" s="218"/>
      <c r="AN39" s="218"/>
      <c r="AO39" s="218"/>
      <c r="AP39" s="218"/>
      <c r="AQ39" s="197"/>
      <c r="AR39" s="197"/>
      <c r="AS39" s="197"/>
      <c r="AT39" s="197"/>
      <c r="AU39" s="197"/>
      <c r="AV39" s="197"/>
      <c r="AW39" s="197"/>
      <c r="AX39" s="197"/>
      <c r="AY39" s="197"/>
      <c r="AZ39" s="197"/>
      <c r="BA39" s="197"/>
      <c r="BB39" s="197"/>
      <c r="BC39" s="197"/>
      <c r="BD39" s="197"/>
      <c r="BE39" s="197"/>
      <c r="BF39" s="197"/>
      <c r="BI39" s="196">
        <f>BI38/3</f>
        <v>5533333.333333333</v>
      </c>
      <c r="BJ39" s="197"/>
    </row>
    <row r="40" spans="1:63">
      <c r="A40" s="167" t="s">
        <v>33</v>
      </c>
      <c r="K40" s="197"/>
      <c r="L40" s="197"/>
      <c r="M40" s="197"/>
      <c r="N40" s="197"/>
      <c r="O40" s="197"/>
      <c r="P40" s="197"/>
      <c r="Q40" s="218"/>
      <c r="R40" s="218"/>
      <c r="S40" s="218"/>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197"/>
      <c r="AR40" s="197"/>
      <c r="AS40" s="197"/>
      <c r="AT40" s="197"/>
      <c r="AU40" s="197"/>
      <c r="AV40" s="197"/>
      <c r="AW40" s="197"/>
      <c r="AX40" s="197"/>
      <c r="AY40" s="197"/>
      <c r="AZ40" s="197"/>
      <c r="BA40" s="197"/>
      <c r="BB40" s="197"/>
      <c r="BC40" s="197"/>
      <c r="BD40" s="197"/>
      <c r="BE40" s="197"/>
      <c r="BF40" s="197"/>
      <c r="BJ40" s="197"/>
    </row>
    <row r="41" spans="1:63">
      <c r="A41" s="167" t="s">
        <v>23</v>
      </c>
      <c r="E41" s="189">
        <f t="shared" ref="E41:L41" si="21">E34</f>
        <v>79200</v>
      </c>
      <c r="F41" s="189">
        <f t="shared" si="21"/>
        <v>437000</v>
      </c>
      <c r="G41" s="189">
        <f t="shared" si="21"/>
        <v>2118300</v>
      </c>
      <c r="H41" s="189">
        <f t="shared" si="21"/>
        <v>10009600</v>
      </c>
      <c r="I41" s="189">
        <f t="shared" si="21"/>
        <v>29496500</v>
      </c>
      <c r="J41" s="189">
        <f t="shared" si="21"/>
        <v>27589700</v>
      </c>
      <c r="K41" s="194">
        <f t="shared" si="21"/>
        <v>30590000</v>
      </c>
      <c r="L41" s="194">
        <f t="shared" si="21"/>
        <v>20706000</v>
      </c>
      <c r="M41" s="194">
        <f>M34</f>
        <v>26697000</v>
      </c>
      <c r="N41" s="194">
        <f>N34</f>
        <v>22575000</v>
      </c>
      <c r="O41" s="194">
        <f t="shared" ref="O41:AP41" si="22">O34</f>
        <v>26879999.999999996</v>
      </c>
      <c r="P41" s="194">
        <f t="shared" si="22"/>
        <v>36666000</v>
      </c>
      <c r="Q41" s="207">
        <f t="shared" si="22"/>
        <v>54027000</v>
      </c>
      <c r="R41" s="207">
        <f t="shared" si="22"/>
        <v>55932598.195403561</v>
      </c>
      <c r="S41" s="207">
        <f t="shared" si="22"/>
        <v>63843549.691256531</v>
      </c>
      <c r="T41" s="207">
        <f t="shared" si="22"/>
        <v>53502964.941357009</v>
      </c>
      <c r="U41" s="207">
        <f t="shared" si="22"/>
        <v>130574661.19770542</v>
      </c>
      <c r="V41" s="207">
        <f t="shared" si="22"/>
        <v>140806771.91384411</v>
      </c>
      <c r="W41" s="207">
        <f t="shared" si="22"/>
        <v>130993247.35174832</v>
      </c>
      <c r="X41" s="207">
        <f t="shared" si="22"/>
        <v>143474590.72308084</v>
      </c>
      <c r="Y41" s="207">
        <f t="shared" si="22"/>
        <v>137897712.9496876</v>
      </c>
      <c r="Z41" s="207">
        <f t="shared" si="22"/>
        <v>72258122.813767388</v>
      </c>
      <c r="AA41" s="207">
        <f t="shared" si="22"/>
        <v>110343881.41656618</v>
      </c>
      <c r="AB41" s="207">
        <f t="shared" si="22"/>
        <v>139324076.91000766</v>
      </c>
      <c r="AC41" s="207">
        <f t="shared" si="22"/>
        <v>172938387.84500712</v>
      </c>
      <c r="AD41" s="207">
        <f t="shared" si="22"/>
        <v>178136198.52862728</v>
      </c>
      <c r="AE41" s="207">
        <f t="shared" si="22"/>
        <v>190989678.66491288</v>
      </c>
      <c r="AF41" s="207">
        <f t="shared" si="22"/>
        <v>171483062.31210494</v>
      </c>
      <c r="AG41" s="207">
        <f t="shared" si="22"/>
        <v>145521704.89166576</v>
      </c>
      <c r="AH41" s="207">
        <f t="shared" si="22"/>
        <v>168798854.22119918</v>
      </c>
      <c r="AI41" s="207">
        <f t="shared" si="22"/>
        <v>204365226.52672735</v>
      </c>
      <c r="AJ41" s="207">
        <f t="shared" si="22"/>
        <v>246992715.62570792</v>
      </c>
      <c r="AK41" s="207">
        <f t="shared" si="22"/>
        <v>271993306.54718846</v>
      </c>
      <c r="AL41" s="207">
        <f t="shared" si="22"/>
        <v>288594703.71040231</v>
      </c>
      <c r="AM41" s="207">
        <f t="shared" si="22"/>
        <v>313567902.37714201</v>
      </c>
      <c r="AN41" s="207">
        <f t="shared" si="22"/>
        <v>368399815.40282804</v>
      </c>
      <c r="AO41" s="207">
        <f t="shared" si="22"/>
        <v>415066679.97807741</v>
      </c>
      <c r="AP41" s="207">
        <f t="shared" si="22"/>
        <v>464381182.39175713</v>
      </c>
      <c r="AQ41" s="194"/>
      <c r="AR41" s="194"/>
      <c r="AS41" s="194"/>
      <c r="AT41" s="194"/>
      <c r="AU41" s="194"/>
      <c r="AV41" s="194"/>
      <c r="AW41" s="194"/>
      <c r="AX41" s="194"/>
      <c r="AY41" s="194"/>
      <c r="AZ41" s="194"/>
      <c r="BA41" s="194"/>
      <c r="BB41" s="194"/>
      <c r="BC41" s="194"/>
      <c r="BD41" s="194"/>
      <c r="BE41" s="194"/>
      <c r="BF41" s="194"/>
      <c r="BH41" s="194">
        <v>27271700</v>
      </c>
      <c r="BI41" s="189">
        <f>J41-BH41</f>
        <v>318000</v>
      </c>
      <c r="BJ41" s="194">
        <v>42402800</v>
      </c>
      <c r="BK41" s="189">
        <f>K41-BJ41</f>
        <v>-11812800</v>
      </c>
    </row>
    <row r="42" spans="1:63">
      <c r="A42" s="167" t="s">
        <v>24</v>
      </c>
      <c r="E42" s="189">
        <f>E35*'RVO Forecast'!D$6</f>
        <v>22999321.700926796</v>
      </c>
      <c r="F42" s="189">
        <f>F35*'RVO Forecast'!E$6</f>
        <v>33497302.971663751</v>
      </c>
      <c r="G42" s="189">
        <f>G35*'RVO Forecast'!F$6</f>
        <v>47231150.598640032</v>
      </c>
      <c r="H42" s="189">
        <f>H35*'RVO Forecast'!G$6</f>
        <v>127719363.81999886</v>
      </c>
      <c r="I42" s="189">
        <f>I35*'RVO Forecast'!H$6</f>
        <v>293360395.10102928</v>
      </c>
      <c r="J42" s="189">
        <f>J35*'RVO Forecast'!I$6</f>
        <v>303393614.48808241</v>
      </c>
      <c r="K42" s="194">
        <f>K35*'RVO Forecast'!J$6</f>
        <v>230089999.99999997</v>
      </c>
      <c r="L42" s="194">
        <f>L35*'RVO Forecast'!K$6</f>
        <v>156390123.0524098</v>
      </c>
      <c r="M42" s="194">
        <f>M35*'RVO Forecast'!L$6</f>
        <v>184241400.24491274</v>
      </c>
      <c r="N42" s="194">
        <f>N35*'RVO Forecast'!M$6</f>
        <v>160413783.6626702</v>
      </c>
      <c r="O42" s="194">
        <f>O35*'RVO Forecast'!N$6</f>
        <v>155483497.53896853</v>
      </c>
      <c r="P42" s="194">
        <f>P35*'RVO Forecast'!O$6</f>
        <v>177957141.96421894</v>
      </c>
      <c r="Q42" s="207">
        <f>Q35*'RVO Forecast'!P$6</f>
        <v>227985684.76834151</v>
      </c>
      <c r="R42" s="207">
        <f>R35*'RVO Forecast'!Q$6</f>
        <v>440815329.81087649</v>
      </c>
      <c r="S42" s="207">
        <f>S35*'RVO Forecast'!R$6</f>
        <v>181967554.41185084</v>
      </c>
      <c r="T42" s="207">
        <f>T35*'RVO Forecast'!S$6</f>
        <v>149027361.65788093</v>
      </c>
      <c r="U42" s="207">
        <f>U35*'RVO Forecast'!T$6</f>
        <v>156169295.41387025</v>
      </c>
      <c r="V42" s="207">
        <f>V35*'RVO Forecast'!U$6</f>
        <v>156469191.92765194</v>
      </c>
      <c r="W42" s="207">
        <f>W35*'RVO Forecast'!V$6</f>
        <v>136145547.85357255</v>
      </c>
      <c r="X42" s="207">
        <f>X35*'RVO Forecast'!W$6</f>
        <v>140266242.6286239</v>
      </c>
      <c r="Y42" s="207">
        <f>Y35*'RVO Forecast'!X$6</f>
        <v>127871246.02989638</v>
      </c>
      <c r="Z42" s="207">
        <f>Z35*'RVO Forecast'!Y$6</f>
        <v>62905109.292141117</v>
      </c>
      <c r="AA42" s="207">
        <f>AA35*'RVO Forecast'!Z$6</f>
        <v>91174119.399409145</v>
      </c>
      <c r="AB42" s="207">
        <f>AB35*'RVO Forecast'!AA$6</f>
        <v>110079813.3203263</v>
      </c>
      <c r="AC42" s="207">
        <f>AC35*'RVO Forecast'!AB$6</f>
        <v>130943736.00063698</v>
      </c>
      <c r="AD42" s="207">
        <f>AD35*'RVO Forecast'!AC$6</f>
        <v>128963628.83969693</v>
      </c>
      <c r="AE42" s="207">
        <f>AE35*'RVO Forecast'!AD$6</f>
        <v>132604242.87529585</v>
      </c>
      <c r="AF42" s="207">
        <f>AF35*'RVO Forecast'!AE$6</f>
        <v>114678570.88253838</v>
      </c>
      <c r="AG42" s="207">
        <f>AG35*'RVO Forecast'!AF$6</f>
        <v>93373620.593896702</v>
      </c>
      <c r="AH42" s="207">
        <f>AH35*'RVO Forecast'!AG$6</f>
        <v>93416321.745054975</v>
      </c>
      <c r="AI42" s="207">
        <f>AI35*'RVO Forecast'!AH$6</f>
        <v>99574162.883684814</v>
      </c>
      <c r="AJ42" s="207">
        <f>AJ35*'RVO Forecast'!AI$6</f>
        <v>107332185.3635392</v>
      </c>
      <c r="AK42" s="207">
        <f>AK35*'RVO Forecast'!AJ$6</f>
        <v>106653597.36713229</v>
      </c>
      <c r="AL42" s="207">
        <f>AL35*'RVO Forecast'!AK$6</f>
        <v>103079851.97276004</v>
      </c>
      <c r="AM42" s="207">
        <f>AM35*'RVO Forecast'!AL$6</f>
        <v>102841645.86139871</v>
      </c>
      <c r="AN42" s="207">
        <f>AN35*'RVO Forecast'!AM$6</f>
        <v>111712623.05717072</v>
      </c>
      <c r="AO42" s="207">
        <f>AO35*'RVO Forecast'!AN$6</f>
        <v>117036325.2839113</v>
      </c>
      <c r="AP42" s="207">
        <f>AP35*'RVO Forecast'!AO$6</f>
        <v>122361970.59719324</v>
      </c>
      <c r="AQ42" s="194"/>
      <c r="AR42" s="194"/>
      <c r="AS42" s="194"/>
      <c r="AT42" s="194"/>
      <c r="AU42" s="194"/>
      <c r="AV42" s="194"/>
      <c r="AW42" s="194"/>
      <c r="AX42" s="194"/>
      <c r="AY42" s="194"/>
      <c r="AZ42" s="194"/>
      <c r="BA42" s="194"/>
      <c r="BB42" s="194"/>
      <c r="BC42" s="194"/>
      <c r="BD42" s="194"/>
      <c r="BE42" s="194"/>
      <c r="BF42" s="194"/>
      <c r="BH42" s="194">
        <v>300094247.48400003</v>
      </c>
      <c r="BI42" s="189">
        <f>J42-BH42</f>
        <v>3299367.0040823817</v>
      </c>
      <c r="BJ42" s="194">
        <v>318942800</v>
      </c>
      <c r="BK42" s="189">
        <f>K42-BJ42</f>
        <v>-88852800.00000003</v>
      </c>
    </row>
    <row r="43" spans="1:63">
      <c r="A43" s="167" t="s">
        <v>25</v>
      </c>
      <c r="E43" s="189">
        <f>E36*'RVO Forecast'!D$6</f>
        <v>32076000</v>
      </c>
      <c r="F43" s="189">
        <f>F36*'RVO Forecast'!E$6</f>
        <v>34730000</v>
      </c>
      <c r="G43" s="189">
        <f>G36*'RVO Forecast'!F$6</f>
        <v>49734000</v>
      </c>
      <c r="H43" s="189">
        <f>H36*'RVO Forecast'!G$6</f>
        <v>157182000</v>
      </c>
      <c r="I43" s="189">
        <f>I36*'RVO Forecast'!H$6</f>
        <v>405790000</v>
      </c>
      <c r="J43" s="189">
        <f>J36*'RVO Forecast'!I$6</f>
        <v>625452594.03133059</v>
      </c>
      <c r="K43" s="194">
        <f>K36*'RVO Forecast'!J$6</f>
        <v>360430000</v>
      </c>
      <c r="L43" s="194">
        <f>L36*'RVO Forecast'!K$6</f>
        <v>209202000</v>
      </c>
      <c r="M43" s="194">
        <f>M36*'RVO Forecast'!L$6</f>
        <v>242700000</v>
      </c>
      <c r="N43" s="194">
        <f>N36*'RVO Forecast'!M$6</f>
        <v>203820000.00000003</v>
      </c>
      <c r="O43" s="194">
        <f>O36*'RVO Forecast'!N$6</f>
        <v>189840000</v>
      </c>
      <c r="P43" s="194">
        <f>P36*'RVO Forecast'!O$6</f>
        <v>220578000.00000003</v>
      </c>
      <c r="Q43" s="207">
        <f>Q36*'RVO Forecast'!P$6</f>
        <v>287477000</v>
      </c>
      <c r="R43" s="207">
        <f>R36*'RVO Forecast'!Q$6</f>
        <v>382730453.13177198</v>
      </c>
      <c r="S43" s="207">
        <f>S36*'RVO Forecast'!R$6</f>
        <v>437666934.79881424</v>
      </c>
      <c r="T43" s="207">
        <f>T36*'RVO Forecast'!S$6</f>
        <v>385624764.80072123</v>
      </c>
      <c r="U43" s="207">
        <f>U36*'RVO Forecast'!T$6</f>
        <v>454479383.38852006</v>
      </c>
      <c r="V43" s="207">
        <f>V36*'RVO Forecast'!U$6</f>
        <v>498100677.94670874</v>
      </c>
      <c r="W43" s="207">
        <f>W36*'RVO Forecast'!V$6</f>
        <v>469842025.0680443</v>
      </c>
      <c r="X43" s="207">
        <f>X36*'RVO Forecast'!W$6</f>
        <v>520797741.10223126</v>
      </c>
      <c r="Y43" s="207">
        <f>Y36*'RVO Forecast'!X$6</f>
        <v>505802364.50947416</v>
      </c>
      <c r="Z43" s="207">
        <f>Z36*'RVO Forecast'!Y$6</f>
        <v>267483973.33703175</v>
      </c>
      <c r="AA43" s="207">
        <f>AA36*'RVO Forecast'!Z$6</f>
        <v>411809452.42099059</v>
      </c>
      <c r="AB43" s="207">
        <f>AB36*'RVO Forecast'!AA$6</f>
        <v>523761017.45748311</v>
      </c>
      <c r="AC43" s="207">
        <f>AC36*'RVO Forecast'!AB$6</f>
        <v>654390409.09800112</v>
      </c>
      <c r="AD43" s="207">
        <f>AD36*'RVO Forecast'!AC$6</f>
        <v>678050830.53932703</v>
      </c>
      <c r="AE43" s="207">
        <f>AE36*'RVO Forecast'!AD$6</f>
        <v>730883959.71083331</v>
      </c>
      <c r="AF43" s="207">
        <f>AF36*'RVO Forecast'!AE$6</f>
        <v>659452210.39127648</v>
      </c>
      <c r="AG43" s="207">
        <f>AG36*'RVO Forecast'!AF$6</f>
        <v>562127030.28621948</v>
      </c>
      <c r="AH43" s="207">
        <f>AH36*'RVO Forecast'!AG$6</f>
        <v>584754213.3384186</v>
      </c>
      <c r="AI43" s="207">
        <f>AI36*'RVO Forecast'!AH$6</f>
        <v>646242291.42034912</v>
      </c>
      <c r="AJ43" s="207">
        <f>AJ36*'RVO Forecast'!AI$6</f>
        <v>722569081.63583732</v>
      </c>
      <c r="AK43" s="207">
        <f>AK36*'RVO Forecast'!AJ$6</f>
        <v>743881046.82488763</v>
      </c>
      <c r="AL43" s="207">
        <f>AL36*'RVO Forecast'!AK$6</f>
        <v>744069359.42998803</v>
      </c>
      <c r="AM43" s="207">
        <f>AM36*'RVO Forecast'!AL$6</f>
        <v>767348387.84390545</v>
      </c>
      <c r="AN43" s="207">
        <f>AN36*'RVO Forecast'!AM$6</f>
        <v>860523045.19529152</v>
      </c>
      <c r="AO43" s="207">
        <f>AO36*'RVO Forecast'!AN$6</f>
        <v>929811121.33557558</v>
      </c>
      <c r="AP43" s="207">
        <f>AP36*'RVO Forecast'!AO$6</f>
        <v>1001672905.5007542</v>
      </c>
      <c r="AQ43" s="194"/>
      <c r="AR43" s="194"/>
      <c r="AS43" s="194"/>
      <c r="AT43" s="194"/>
      <c r="AU43" s="194"/>
      <c r="AV43" s="194"/>
      <c r="AW43" s="194"/>
      <c r="AX43" s="194"/>
      <c r="AY43" s="194"/>
      <c r="AZ43" s="194"/>
      <c r="BA43" s="194"/>
      <c r="BB43" s="194"/>
      <c r="BC43" s="194"/>
      <c r="BD43" s="194"/>
      <c r="BE43" s="194"/>
      <c r="BF43" s="194"/>
      <c r="BH43" s="194">
        <v>618717024.00000012</v>
      </c>
      <c r="BI43" s="189">
        <f>J43-BH43</f>
        <v>6735570.0313304663</v>
      </c>
      <c r="BJ43" s="194">
        <v>499615600</v>
      </c>
      <c r="BK43" s="189">
        <f>K43-BJ43</f>
        <v>-139185600</v>
      </c>
    </row>
    <row r="44" spans="1:63">
      <c r="A44" s="167" t="s">
        <v>26</v>
      </c>
      <c r="E44" s="189">
        <f t="shared" ref="E44:L44" si="23">E45+E43</f>
        <v>192852000</v>
      </c>
      <c r="F44" s="189">
        <f t="shared" si="23"/>
        <v>211369999.99999997</v>
      </c>
      <c r="G44" s="189">
        <f t="shared" si="23"/>
        <v>292264000.00000006</v>
      </c>
      <c r="H44" s="189">
        <f t="shared" si="23"/>
        <v>789820000</v>
      </c>
      <c r="I44" s="189">
        <f t="shared" si="23"/>
        <v>1824350000</v>
      </c>
      <c r="J44" s="189">
        <f t="shared" si="23"/>
        <v>2041288594.0313306</v>
      </c>
      <c r="K44" s="194">
        <f t="shared" si="23"/>
        <v>1459010000</v>
      </c>
      <c r="L44" s="194">
        <f t="shared" si="23"/>
        <v>772548000</v>
      </c>
      <c r="M44" s="194">
        <f>M45+M43</f>
        <v>905271000</v>
      </c>
      <c r="N44" s="194">
        <f>N45+N43</f>
        <v>738525000</v>
      </c>
      <c r="O44" s="194">
        <f t="shared" ref="O44:AP44" si="24">O45+O43</f>
        <v>669760000</v>
      </c>
      <c r="P44" s="194">
        <f t="shared" si="24"/>
        <v>727500000</v>
      </c>
      <c r="Q44" s="207">
        <f t="shared" si="24"/>
        <v>875771000</v>
      </c>
      <c r="R44" s="207">
        <f t="shared" si="24"/>
        <v>1030280328.2778833</v>
      </c>
      <c r="S44" s="207">
        <f t="shared" si="24"/>
        <v>1144236118.205996</v>
      </c>
      <c r="T44" s="207">
        <f t="shared" si="24"/>
        <v>960855205.88045049</v>
      </c>
      <c r="U44" s="207">
        <f t="shared" si="24"/>
        <v>1059635107.5302005</v>
      </c>
      <c r="V44" s="207">
        <f t="shared" si="24"/>
        <v>1104087659.9512212</v>
      </c>
      <c r="W44" s="207">
        <f t="shared" si="24"/>
        <v>996028252.24068677</v>
      </c>
      <c r="X44" s="207">
        <f t="shared" si="24"/>
        <v>1061115351.9430174</v>
      </c>
      <c r="Y44" s="207">
        <f t="shared" si="24"/>
        <v>994581987.85467756</v>
      </c>
      <c r="Z44" s="207">
        <f t="shared" si="24"/>
        <v>509380011.42113757</v>
      </c>
      <c r="AA44" s="207">
        <f t="shared" si="24"/>
        <v>761769012.67325354</v>
      </c>
      <c r="AB44" s="207">
        <f t="shared" si="24"/>
        <v>943546238.18763244</v>
      </c>
      <c r="AC44" s="207">
        <f t="shared" si="24"/>
        <v>1150651353.2086923</v>
      </c>
      <c r="AD44" s="207">
        <f t="shared" si="24"/>
        <v>1165999196.0216985</v>
      </c>
      <c r="AE44" s="207">
        <f t="shared" si="24"/>
        <v>1231301193.1356845</v>
      </c>
      <c r="AF44" s="207">
        <f t="shared" si="24"/>
        <v>1090043783.3382413</v>
      </c>
      <c r="AG44" s="207">
        <f t="shared" si="24"/>
        <v>912917848.4013145</v>
      </c>
      <c r="AH44" s="207">
        <f t="shared" si="24"/>
        <v>935545031.45351362</v>
      </c>
      <c r="AI44" s="207">
        <f t="shared" si="24"/>
        <v>1019477071.8319075</v>
      </c>
      <c r="AJ44" s="207">
        <f t="shared" si="24"/>
        <v>1124897887.246515</v>
      </c>
      <c r="AK44" s="207">
        <f t="shared" si="24"/>
        <v>1143716078.8470693</v>
      </c>
      <c r="AL44" s="207">
        <f t="shared" si="24"/>
        <v>1130604265.6468582</v>
      </c>
      <c r="AM44" s="207">
        <f t="shared" si="24"/>
        <v>1153052036.1979434</v>
      </c>
      <c r="AN44" s="207">
        <f t="shared" si="24"/>
        <v>1279477008.0626087</v>
      </c>
      <c r="AO44" s="207">
        <f t="shared" si="24"/>
        <v>1368715272.9108603</v>
      </c>
      <c r="AP44" s="207">
        <f t="shared" si="24"/>
        <v>1460527245.7840064</v>
      </c>
      <c r="AQ44" s="194"/>
      <c r="AR44" s="194"/>
      <c r="AS44" s="194"/>
      <c r="AT44" s="194"/>
      <c r="AU44" s="194"/>
      <c r="AV44" s="194"/>
      <c r="AW44" s="194"/>
      <c r="AX44" s="194"/>
      <c r="AY44" s="194"/>
      <c r="AZ44" s="194"/>
      <c r="BA44" s="194"/>
      <c r="BB44" s="194"/>
      <c r="BC44" s="194"/>
      <c r="BD44" s="194"/>
      <c r="BE44" s="194"/>
      <c r="BF44" s="194"/>
      <c r="BH44" s="194">
        <v>2017953024</v>
      </c>
      <c r="BI44" s="189">
        <f>J44-BH44</f>
        <v>23335570.031330585</v>
      </c>
      <c r="BJ44" s="194">
        <v>2022429200.0000002</v>
      </c>
      <c r="BK44" s="189">
        <f>K44-BJ44</f>
        <v>-563419200.00000024</v>
      </c>
    </row>
    <row r="45" spans="1:63">
      <c r="A45" s="167" t="s">
        <v>27</v>
      </c>
      <c r="E45" s="189">
        <f t="shared" ref="E45:L45" si="25">E38</f>
        <v>160776000</v>
      </c>
      <c r="F45" s="189">
        <f t="shared" si="25"/>
        <v>176639999.99999997</v>
      </c>
      <c r="G45" s="189">
        <f t="shared" si="25"/>
        <v>242530000.00000006</v>
      </c>
      <c r="H45" s="189">
        <f t="shared" si="25"/>
        <v>632638000</v>
      </c>
      <c r="I45" s="189">
        <f t="shared" si="25"/>
        <v>1418560000</v>
      </c>
      <c r="J45" s="189">
        <f t="shared" si="25"/>
        <v>1415836000</v>
      </c>
      <c r="K45" s="194">
        <f t="shared" si="25"/>
        <v>1098580000</v>
      </c>
      <c r="L45" s="194">
        <f t="shared" si="25"/>
        <v>563346000</v>
      </c>
      <c r="M45" s="194">
        <f>M38</f>
        <v>662571000</v>
      </c>
      <c r="N45" s="194">
        <f>N38</f>
        <v>534705000</v>
      </c>
      <c r="O45" s="194">
        <f t="shared" ref="O45:AP45" si="26">O38</f>
        <v>479920000</v>
      </c>
      <c r="P45" s="194">
        <f t="shared" si="26"/>
        <v>506922000</v>
      </c>
      <c r="Q45" s="207">
        <f t="shared" si="26"/>
        <v>588294000</v>
      </c>
      <c r="R45" s="207">
        <f t="shared" si="26"/>
        <v>647549875.14611137</v>
      </c>
      <c r="S45" s="207">
        <f t="shared" si="26"/>
        <v>706569183.40718186</v>
      </c>
      <c r="T45" s="207">
        <f t="shared" si="26"/>
        <v>575230441.0797292</v>
      </c>
      <c r="U45" s="207">
        <f t="shared" si="26"/>
        <v>605155724.14168048</v>
      </c>
      <c r="V45" s="207">
        <f t="shared" si="26"/>
        <v>605986982.00451243</v>
      </c>
      <c r="W45" s="207">
        <f t="shared" si="26"/>
        <v>526186227.17264247</v>
      </c>
      <c r="X45" s="207">
        <f t="shared" si="26"/>
        <v>540317610.8407861</v>
      </c>
      <c r="Y45" s="207">
        <f t="shared" si="26"/>
        <v>488779623.3452034</v>
      </c>
      <c r="Z45" s="207">
        <f t="shared" si="26"/>
        <v>241896038.08410579</v>
      </c>
      <c r="AA45" s="207">
        <f t="shared" si="26"/>
        <v>349959560.25226301</v>
      </c>
      <c r="AB45" s="207">
        <f t="shared" si="26"/>
        <v>419785220.73014933</v>
      </c>
      <c r="AC45" s="207">
        <f t="shared" si="26"/>
        <v>496260944.11069125</v>
      </c>
      <c r="AD45" s="207">
        <f t="shared" si="26"/>
        <v>487948365.48237145</v>
      </c>
      <c r="AE45" s="207">
        <f t="shared" si="26"/>
        <v>500417233.42485112</v>
      </c>
      <c r="AF45" s="207">
        <f t="shared" si="26"/>
        <v>430591572.94696492</v>
      </c>
      <c r="AG45" s="207">
        <f t="shared" si="26"/>
        <v>350790818.11509496</v>
      </c>
      <c r="AH45" s="207">
        <f t="shared" si="26"/>
        <v>350790818.11509496</v>
      </c>
      <c r="AI45" s="207">
        <f t="shared" si="26"/>
        <v>373234780.41155839</v>
      </c>
      <c r="AJ45" s="207">
        <f t="shared" si="26"/>
        <v>402328805.61067766</v>
      </c>
      <c r="AK45" s="207">
        <f t="shared" si="26"/>
        <v>399835032.02218169</v>
      </c>
      <c r="AL45" s="207">
        <f t="shared" si="26"/>
        <v>386534906.21687007</v>
      </c>
      <c r="AM45" s="207">
        <f t="shared" si="26"/>
        <v>385703648.35403806</v>
      </c>
      <c r="AN45" s="207">
        <f t="shared" si="26"/>
        <v>418953962.8673172</v>
      </c>
      <c r="AO45" s="207">
        <f t="shared" si="26"/>
        <v>438904151.57528466</v>
      </c>
      <c r="AP45" s="207">
        <f t="shared" si="26"/>
        <v>458854340.28325212</v>
      </c>
      <c r="AQ45" s="194"/>
      <c r="AR45" s="194"/>
      <c r="AS45" s="194"/>
      <c r="AT45" s="194"/>
      <c r="AU45" s="194"/>
      <c r="AV45" s="194"/>
      <c r="AW45" s="194"/>
      <c r="AX45" s="194"/>
      <c r="AY45" s="194"/>
      <c r="AZ45" s="194"/>
      <c r="BA45" s="194"/>
      <c r="BB45" s="194"/>
      <c r="BC45" s="194"/>
      <c r="BD45" s="194"/>
      <c r="BE45" s="194"/>
      <c r="BF45" s="194"/>
      <c r="BH45" s="194">
        <v>1399236000</v>
      </c>
      <c r="BI45" s="189">
        <f>J45-BH45</f>
        <v>16600000</v>
      </c>
      <c r="BJ45" s="194">
        <v>1522813600.0000002</v>
      </c>
      <c r="BK45" s="189">
        <f>K45-BJ45</f>
        <v>-424233600.00000024</v>
      </c>
    </row>
    <row r="46" spans="1:63">
      <c r="K46" s="197"/>
      <c r="L46" s="197"/>
      <c r="M46" s="197"/>
      <c r="N46" s="197"/>
      <c r="O46" s="195"/>
      <c r="P46" s="195"/>
      <c r="Q46" s="216"/>
      <c r="R46" s="216"/>
      <c r="S46" s="218"/>
      <c r="T46" s="218"/>
      <c r="U46" s="218"/>
      <c r="V46" s="218"/>
      <c r="W46" s="218"/>
      <c r="X46" s="218"/>
      <c r="Y46" s="218"/>
      <c r="Z46" s="218"/>
      <c r="AA46" s="218"/>
      <c r="AB46" s="218"/>
      <c r="AC46" s="218"/>
      <c r="AD46" s="218"/>
      <c r="AE46" s="218"/>
      <c r="AF46" s="218"/>
      <c r="AG46" s="218"/>
      <c r="AH46" s="218"/>
      <c r="AI46" s="218"/>
      <c r="AJ46" s="218"/>
      <c r="AK46" s="218"/>
      <c r="AL46" s="218"/>
      <c r="AM46" s="218"/>
      <c r="AN46" s="218"/>
      <c r="AO46" s="218"/>
      <c r="AP46" s="218"/>
      <c r="AQ46" s="197"/>
      <c r="AR46" s="197"/>
      <c r="AS46" s="197"/>
      <c r="AT46" s="197"/>
      <c r="AU46" s="197"/>
      <c r="AV46" s="197"/>
      <c r="AW46" s="197"/>
      <c r="AX46" s="197"/>
      <c r="AY46" s="197"/>
      <c r="AZ46" s="197"/>
      <c r="BA46" s="197"/>
      <c r="BB46" s="197"/>
      <c r="BC46" s="197"/>
      <c r="BD46" s="197"/>
      <c r="BE46" s="197"/>
      <c r="BF46" s="197"/>
      <c r="BH46" s="197"/>
      <c r="BJ46" s="197"/>
    </row>
    <row r="47" spans="1:63">
      <c r="A47" s="167" t="s">
        <v>34</v>
      </c>
      <c r="K47" s="197"/>
      <c r="L47" s="197"/>
      <c r="M47" s="197"/>
      <c r="N47" s="197"/>
      <c r="O47" s="199"/>
      <c r="P47" s="199"/>
      <c r="Q47" s="217"/>
      <c r="R47" s="217"/>
      <c r="S47" s="218"/>
      <c r="T47" s="218"/>
      <c r="U47" s="218"/>
      <c r="V47" s="218"/>
      <c r="W47" s="218"/>
      <c r="X47" s="218"/>
      <c r="Y47" s="218"/>
      <c r="Z47" s="218"/>
      <c r="AA47" s="218"/>
      <c r="AB47" s="218"/>
      <c r="AC47" s="218"/>
      <c r="AD47" s="218"/>
      <c r="AE47" s="218"/>
      <c r="AF47" s="218"/>
      <c r="AG47" s="218"/>
      <c r="AH47" s="218"/>
      <c r="AI47" s="218"/>
      <c r="AJ47" s="218"/>
      <c r="AK47" s="218"/>
      <c r="AL47" s="218"/>
      <c r="AM47" s="218"/>
      <c r="AN47" s="218"/>
      <c r="AO47" s="218"/>
      <c r="AP47" s="218"/>
      <c r="AQ47" s="197"/>
      <c r="AR47" s="197"/>
      <c r="AS47" s="197"/>
      <c r="AT47" s="197"/>
      <c r="AU47" s="197"/>
      <c r="AV47" s="197"/>
      <c r="AW47" s="197"/>
      <c r="AX47" s="197"/>
      <c r="AY47" s="197"/>
      <c r="AZ47" s="197"/>
      <c r="BA47" s="197"/>
      <c r="BB47" s="197"/>
      <c r="BC47" s="197"/>
      <c r="BD47" s="197"/>
      <c r="BE47" s="197"/>
      <c r="BF47" s="197"/>
      <c r="BH47" s="197"/>
      <c r="BJ47" s="197"/>
    </row>
    <row r="48" spans="1:63">
      <c r="A48" s="167" t="s">
        <v>35</v>
      </c>
      <c r="E48" s="189">
        <f>'Small Refinery Exemptions'!E41*('[1]D3 RIN Forecast'!E$15/('[1]D3 RIN Forecast'!E$15+'[1]D7 RIN Forecast'!E$13))</f>
        <v>40904.474800156866</v>
      </c>
      <c r="F48" s="189">
        <f>'Small Refinery Exemptions'!F41*('[1]D3 RIN Forecast'!F$15/('[1]D3 RIN Forecast'!F$15+'[1]D7 RIN Forecast'!F$13))</f>
        <v>436224.52454550605</v>
      </c>
      <c r="G48" s="189">
        <f>'Small Refinery Exemptions'!G41*('[1]D3 RIN Forecast'!G$15/('[1]D3 RIN Forecast'!G$15+'[1]D7 RIN Forecast'!G$13))</f>
        <v>2114202.0659378935</v>
      </c>
      <c r="H48" s="189">
        <f>'Small Refinery Exemptions'!H41*('[1]D3 RIN Forecast'!H$15/('[1]D3 RIN Forecast'!H$15+'[1]D7 RIN Forecast'!H$13))</f>
        <v>9981867.8836968839</v>
      </c>
      <c r="I48" s="189">
        <f>'Small Refinery Exemptions'!I41*('[1]D3 RIN Forecast'!I$15/('[1]D3 RIN Forecast'!I$15+'[1]D7 RIN Forecast'!I$13))</f>
        <v>29292675.844134223</v>
      </c>
      <c r="J48" s="189">
        <f>'Small Refinery Exemptions'!J41*('[1]D3 RIN Forecast'!J$15/('[1]D3 RIN Forecast'!J$15+'[1]D7 RIN Forecast'!J$13))</f>
        <v>27374866.661492366</v>
      </c>
      <c r="K48" s="194">
        <f>'Small Refinery Exemptions'!K41*('[1]D3 RIN Forecast'!K$15/('[1]D3 RIN Forecast'!K$15+'[1]D7 RIN Forecast'!K$13))</f>
        <v>30493103.174464803</v>
      </c>
      <c r="L48" s="194">
        <f>'Small Refinery Exemptions'!L41*('[1]D3 RIN Forecast'!L$15/('[1]D3 RIN Forecast'!L$15+'[1]D7 RIN Forecast'!L$13))</f>
        <v>20703712.521314517</v>
      </c>
      <c r="M48" s="194">
        <f>'Small Refinery Exemptions'!M41*('[1]D3 RIN Forecast'!M$15/('[1]D3 RIN Forecast'!M$15+'[1]D7 RIN Forecast'!M$13))</f>
        <v>26685379.754832499</v>
      </c>
      <c r="N48" s="194">
        <f>'Small Refinery Exemptions'!N41*('[1]D3 RIN Forecast'!N$15/('[1]D3 RIN Forecast'!N$15+'[1]D7 RIN Forecast'!N$13))</f>
        <v>22567022.717016023</v>
      </c>
      <c r="O48" s="195">
        <f>'Small Refinery Exemptions'!O41*('[1]D3 RIN Forecast'!O$15/('[1]D3 RIN Forecast'!O$15+'[1]D7 RIN Forecast'!O$13))</f>
        <v>26872038.623755019</v>
      </c>
      <c r="P48" s="195">
        <f>'Small Refinery Exemptions'!P41*('[1]D3 RIN Forecast'!P$15/('[1]D3 RIN Forecast'!P$15+'[1]D7 RIN Forecast'!AE$13))</f>
        <v>36665999.932325378</v>
      </c>
      <c r="Q48" s="216">
        <f>'Small Refinery Exemptions'!Q41*('[1]D3 RIN Forecast'!Q$15/('[1]D3 RIN Forecast'!Q$15+'[1]D7 RIN Forecast'!AF$13))</f>
        <v>54026999.857135363</v>
      </c>
      <c r="R48" s="216">
        <f>'Small Refinery Exemptions'!R41*('[1]D3 RIN Forecast'!R$15/('[1]D3 RIN Forecast'!R$15+'[1]D7 RIN Forecast'!AG$13))</f>
        <v>55932598.118259065</v>
      </c>
      <c r="S48" s="207">
        <f>'Small Refinery Exemptions'!S41*('[1]D3 RIN Forecast'!S$15/('[1]D3 RIN Forecast'!S$15+'[1]D7 RIN Forecast'!AH$13))</f>
        <v>63843549.608918652</v>
      </c>
      <c r="T48" s="207">
        <f>'Small Refinery Exemptions'!T41*('[1]D3 RIN Forecast'!T$15/('[1]D3 RIN Forecast'!T$15+'[1]D7 RIN Forecast'!AI$13))</f>
        <v>53502964.876337305</v>
      </c>
      <c r="U48" s="207">
        <f>'Small Refinery Exemptions'!U41*('[1]D3 RIN Forecast'!U$15/('[1]D3 RIN Forecast'!U$15+'[1]D7 RIN Forecast'!AJ$13))</f>
        <v>130574661.05085227</v>
      </c>
      <c r="V48" s="207">
        <f>'Small Refinery Exemptions'!V41*('[1]D3 RIN Forecast'!V$15/('[1]D3 RIN Forecast'!V$15+'[1]D7 RIN Forecast'!AK$13))</f>
        <v>140806771.77314651</v>
      </c>
      <c r="W48" s="207">
        <f>'Small Refinery Exemptions'!W41*('[1]D3 RIN Forecast'!W$15/('[1]D3 RIN Forecast'!W$15+'[1]D7 RIN Forecast'!AL$13))</f>
        <v>130993247.22892001</v>
      </c>
      <c r="X48" s="207">
        <f>'Small Refinery Exemptions'!X41*('[1]D3 RIN Forecast'!X$15/('[1]D3 RIN Forecast'!X$15+'[1]D7 RIN Forecast'!AM$13))</f>
        <v>143474590.60119677</v>
      </c>
      <c r="Y48" s="207">
        <f>'Small Refinery Exemptions'!Y41*('[1]D3 RIN Forecast'!Y$15/('[1]D3 RIN Forecast'!Y$15+'[1]D7 RIN Forecast'!AN$13))</f>
        <v>137897712.84809873</v>
      </c>
      <c r="Z48" s="207">
        <f>'Small Refinery Exemptions'!Z41*('[1]D3 RIN Forecast'!Z$15/('[1]D3 RIN Forecast'!Z$15+'[1]D7 RIN Forecast'!AO$13))</f>
        <v>72258122.766596153</v>
      </c>
      <c r="AA48" s="207">
        <f>'Small Refinery Exemptions'!AA41*('[1]D3 RIN Forecast'!AA$15/('[1]D3 RIN Forecast'!AA$15+'[1]D7 RIN Forecast'!AP$13))</f>
        <v>110343881.35285273</v>
      </c>
      <c r="AB48" s="207">
        <f>'Small Refinery Exemptions'!AB41*('[1]D3 RIN Forecast'!AB$15/('[1]D3 RIN Forecast'!AB$15+'[1]D7 RIN Forecast'!AQ$13))</f>
        <v>139324076.83959192</v>
      </c>
      <c r="AC48" s="207">
        <f>'Small Refinery Exemptions'!AC41*('[1]D3 RIN Forecast'!AC$15/('[1]D3 RIN Forecast'!AC$15+'[1]D7 RIN Forecast'!AR$13))</f>
        <v>172938387.7680949</v>
      </c>
      <c r="AD48" s="207">
        <f>'Small Refinery Exemptions'!AD41*('[1]D3 RIN Forecast'!AD$15/('[1]D3 RIN Forecast'!AD$15+'[1]D7 RIN Forecast'!AS$13))</f>
        <v>178136198.45844266</v>
      </c>
      <c r="AE48" s="207">
        <f>'Small Refinery Exemptions'!AE41*('[1]D3 RIN Forecast'!AE$15/('[1]D3 RIN Forecast'!AE$15+'[1]D7 RIN Forecast'!AT$13))</f>
        <v>190989678.66491288</v>
      </c>
      <c r="AF48" s="207">
        <f>'Small Refinery Exemptions'!AF41*('[1]D3 RIN Forecast'!AF$15/('[1]D3 RIN Forecast'!AF$15+'[1]D7 RIN Forecast'!AU$13))</f>
        <v>171483062.31210494</v>
      </c>
      <c r="AG48" s="207">
        <f>'Small Refinery Exemptions'!AG41*('[1]D3 RIN Forecast'!AG$15/('[1]D3 RIN Forecast'!AG$15+'[1]D7 RIN Forecast'!AV$13))</f>
        <v>145521704.89166576</v>
      </c>
      <c r="AH48" s="207" t="e">
        <f>'Small Refinery Exemptions'!AH41*('[1]D3 RIN Forecast'!AH$15/('[1]D3 RIN Forecast'!AH$15+'[1]D7 RIN Forecast'!AW$13))</f>
        <v>#DIV/0!</v>
      </c>
      <c r="AI48" s="207" t="e">
        <f>'Small Refinery Exemptions'!AI41*('[1]D3 RIN Forecast'!AI$15/('[1]D3 RIN Forecast'!AI$15+'[1]D7 RIN Forecast'!AX$13))</f>
        <v>#DIV/0!</v>
      </c>
      <c r="AJ48" s="207">
        <f>'Small Refinery Exemptions'!AJ41*('[1]D3 RIN Forecast'!AJ$15/('[1]D3 RIN Forecast'!AJ$15+'[1]D7 RIN Forecast'!AY$13))</f>
        <v>246992715.62570792</v>
      </c>
      <c r="AK48" s="207">
        <f>'Small Refinery Exemptions'!AK41*('[1]D3 RIN Forecast'!AK$15/('[1]D3 RIN Forecast'!AK$15+'[1]D7 RIN Forecast'!AZ$13))</f>
        <v>271993306.54718846</v>
      </c>
      <c r="AL48" s="207" t="e">
        <f>'Small Refinery Exemptions'!AL41*('[1]D3 RIN Forecast'!AL$15/('[1]D3 RIN Forecast'!AL$15+'[1]D7 RIN Forecast'!BA$13))</f>
        <v>#DIV/0!</v>
      </c>
      <c r="AM48" s="207" t="e">
        <f>'Small Refinery Exemptions'!AM41*('[1]D3 RIN Forecast'!AM$15/('[1]D3 RIN Forecast'!AM$15+'[1]D7 RIN Forecast'!BB$13))</f>
        <v>#DIV/0!</v>
      </c>
      <c r="AN48" s="207" t="e">
        <f>'Small Refinery Exemptions'!AN41*('[1]D3 RIN Forecast'!AN$15/('[1]D3 RIN Forecast'!AN$15+'[1]D7 RIN Forecast'!BC$13))</f>
        <v>#DIV/0!</v>
      </c>
      <c r="AO48" s="207" t="e">
        <f>'Small Refinery Exemptions'!AO41*('[1]D3 RIN Forecast'!AO$15/('[1]D3 RIN Forecast'!AO$15+'[1]D7 RIN Forecast'!BD$13))</f>
        <v>#DIV/0!</v>
      </c>
      <c r="AP48" s="207" t="e">
        <f>'Small Refinery Exemptions'!AP41*('[1]D3 RIN Forecast'!AP$15/('[1]D3 RIN Forecast'!AP$15+'[1]D7 RIN Forecast'!BE$13))</f>
        <v>#DIV/0!</v>
      </c>
      <c r="AQ48" s="194"/>
      <c r="AR48" s="194"/>
      <c r="AS48" s="194"/>
      <c r="AT48" s="194"/>
      <c r="AU48" s="194"/>
      <c r="AV48" s="194"/>
      <c r="AW48" s="194"/>
      <c r="AX48" s="194"/>
      <c r="AY48" s="194"/>
      <c r="AZ48" s="194"/>
      <c r="BA48" s="194"/>
      <c r="BB48" s="194"/>
      <c r="BC48" s="194"/>
      <c r="BD48" s="194"/>
      <c r="BE48" s="194"/>
      <c r="BF48" s="194"/>
      <c r="BH48" s="194">
        <v>27059342.764377691</v>
      </c>
      <c r="BI48" s="189">
        <f>J48-BH48</f>
        <v>315523.89711467549</v>
      </c>
      <c r="BJ48" s="194">
        <v>42008812.312159225</v>
      </c>
      <c r="BK48" s="189">
        <f>K48-BJ48</f>
        <v>-11515709.137694422</v>
      </c>
    </row>
    <row r="49" spans="1:63">
      <c r="A49" s="167" t="s">
        <v>36</v>
      </c>
      <c r="E49" s="189">
        <f>E42-E52</f>
        <v>22961026.175726954</v>
      </c>
      <c r="F49" s="189">
        <f t="shared" ref="F49:L49" si="27">F42-F52</f>
        <v>33496527.496209256</v>
      </c>
      <c r="G49" s="189">
        <f t="shared" si="27"/>
        <v>47227052.664577924</v>
      </c>
      <c r="H49" s="189">
        <f t="shared" si="27"/>
        <v>127691631.70369574</v>
      </c>
      <c r="I49" s="189">
        <f t="shared" si="27"/>
        <v>293156570.94516349</v>
      </c>
      <c r="J49" s="189">
        <f t="shared" si="27"/>
        <v>303178781.14957476</v>
      </c>
      <c r="K49" s="194">
        <f t="shared" si="27"/>
        <v>229993103.17446476</v>
      </c>
      <c r="L49" s="194">
        <f t="shared" si="27"/>
        <v>156387835.57372433</v>
      </c>
      <c r="M49" s="194">
        <f>M42-M52</f>
        <v>184229779.99974525</v>
      </c>
      <c r="N49" s="194">
        <f>N42-N52</f>
        <v>160405806.37968621</v>
      </c>
      <c r="O49" s="195">
        <f>O42-O52</f>
        <v>155475536.16272354</v>
      </c>
      <c r="P49" s="195">
        <f t="shared" ref="P49:V49" si="28">P42-P52</f>
        <v>177957141.89654434</v>
      </c>
      <c r="Q49" s="216">
        <f t="shared" si="28"/>
        <v>227985684.62547687</v>
      </c>
      <c r="R49" s="216">
        <f t="shared" si="28"/>
        <v>440815329.73373199</v>
      </c>
      <c r="S49" s="207">
        <f t="shared" si="28"/>
        <v>181967554.32951295</v>
      </c>
      <c r="T49" s="207">
        <f t="shared" si="28"/>
        <v>149027361.59286124</v>
      </c>
      <c r="U49" s="207">
        <f t="shared" si="28"/>
        <v>156169295.2670171</v>
      </c>
      <c r="V49" s="207">
        <f t="shared" si="28"/>
        <v>156469191.78695434</v>
      </c>
      <c r="W49" s="207">
        <f>W42-W52</f>
        <v>136145547.73074424</v>
      </c>
      <c r="X49" s="207">
        <f>X42-X52</f>
        <v>140266242.50673983</v>
      </c>
      <c r="Y49" s="207">
        <f>Y42-Y52</f>
        <v>127871245.9283075</v>
      </c>
      <c r="Z49" s="207">
        <f>Z42-Z52</f>
        <v>62905109.244969882</v>
      </c>
      <c r="AA49" s="207">
        <f>AA42-AA52</f>
        <v>91174119.335695699</v>
      </c>
      <c r="AB49" s="207">
        <f t="shared" ref="AB49:AP49" si="29">AB42-AB52</f>
        <v>110079813.24991056</v>
      </c>
      <c r="AC49" s="207">
        <f t="shared" si="29"/>
        <v>130943735.92372476</v>
      </c>
      <c r="AD49" s="207">
        <f t="shared" si="29"/>
        <v>128963628.76951231</v>
      </c>
      <c r="AE49" s="207">
        <f t="shared" si="29"/>
        <v>132604242.87529585</v>
      </c>
      <c r="AF49" s="207">
        <f t="shared" si="29"/>
        <v>114678570.88253838</v>
      </c>
      <c r="AG49" s="207">
        <f t="shared" si="29"/>
        <v>93373620.593896702</v>
      </c>
      <c r="AH49" s="207" t="e">
        <f t="shared" si="29"/>
        <v>#DIV/0!</v>
      </c>
      <c r="AI49" s="207" t="e">
        <f t="shared" si="29"/>
        <v>#DIV/0!</v>
      </c>
      <c r="AJ49" s="207">
        <f t="shared" si="29"/>
        <v>107332185.3635392</v>
      </c>
      <c r="AK49" s="207">
        <f t="shared" si="29"/>
        <v>106653597.36713229</v>
      </c>
      <c r="AL49" s="207" t="e">
        <f t="shared" si="29"/>
        <v>#DIV/0!</v>
      </c>
      <c r="AM49" s="207" t="e">
        <f t="shared" si="29"/>
        <v>#DIV/0!</v>
      </c>
      <c r="AN49" s="207" t="e">
        <f t="shared" si="29"/>
        <v>#DIV/0!</v>
      </c>
      <c r="AO49" s="207" t="e">
        <f t="shared" si="29"/>
        <v>#DIV/0!</v>
      </c>
      <c r="AP49" s="207" t="e">
        <f t="shared" si="29"/>
        <v>#DIV/0!</v>
      </c>
      <c r="AQ49" s="194"/>
      <c r="AR49" s="194"/>
      <c r="AS49" s="194"/>
      <c r="AT49" s="194"/>
      <c r="AU49" s="194"/>
      <c r="AV49" s="194"/>
      <c r="AW49" s="194"/>
      <c r="AX49" s="194"/>
      <c r="AY49" s="194"/>
      <c r="AZ49" s="194"/>
      <c r="BA49" s="194"/>
      <c r="BB49" s="194"/>
      <c r="BC49" s="194"/>
      <c r="BD49" s="194"/>
      <c r="BE49" s="194"/>
      <c r="BF49" s="194"/>
      <c r="BH49" s="194">
        <v>299881890.24837774</v>
      </c>
      <c r="BI49" s="189">
        <f>J49-BH49</f>
        <v>3296890.9011970162</v>
      </c>
      <c r="BJ49" s="194">
        <v>318548812.31215924</v>
      </c>
      <c r="BK49" s="189">
        <f>K49-BJ49</f>
        <v>-88555709.137694478</v>
      </c>
    </row>
    <row r="50" spans="1:63">
      <c r="A50" s="167" t="s">
        <v>37</v>
      </c>
      <c r="E50" s="189">
        <f>E43-E49-E48-E52</f>
        <v>9035773.8242730461</v>
      </c>
      <c r="F50" s="189">
        <f t="shared" ref="F50:L50" si="30">F43-F49-F48-F52</f>
        <v>796472.50379074365</v>
      </c>
      <c r="G50" s="189">
        <f t="shared" si="30"/>
        <v>388647.33542207628</v>
      </c>
      <c r="H50" s="189">
        <f t="shared" si="30"/>
        <v>19480768.296304256</v>
      </c>
      <c r="I50" s="189">
        <f t="shared" si="30"/>
        <v>83136929.054836512</v>
      </c>
      <c r="J50" s="189">
        <f>J43-J49-J48-J52</f>
        <v>294684112.88175583</v>
      </c>
      <c r="K50" s="194">
        <f t="shared" si="30"/>
        <v>99846896.825535238</v>
      </c>
      <c r="L50" s="194">
        <f t="shared" si="30"/>
        <v>32108164.426275671</v>
      </c>
      <c r="M50" s="194">
        <f>M43-M49-M48-M52</f>
        <v>31773220.00025475</v>
      </c>
      <c r="N50" s="194">
        <f>N43-N49-N48-N52</f>
        <v>20839193.620313823</v>
      </c>
      <c r="O50" s="195">
        <f>O43-O49-O48-O52</f>
        <v>7484463.8372764625</v>
      </c>
      <c r="P50" s="195">
        <f t="shared" ref="P50:V50" si="31">P43-P49-P48-P52</f>
        <v>5954858.1034556925</v>
      </c>
      <c r="Q50" s="216">
        <f t="shared" si="31"/>
        <v>5464315.374523133</v>
      </c>
      <c r="R50" s="216">
        <f t="shared" si="31"/>
        <v>-114017474.79736358</v>
      </c>
      <c r="S50" s="207">
        <f t="shared" si="31"/>
        <v>191855830.77804473</v>
      </c>
      <c r="T50" s="207">
        <f t="shared" si="31"/>
        <v>183094438.26650301</v>
      </c>
      <c r="U50" s="207">
        <f t="shared" si="31"/>
        <v>167735426.92379758</v>
      </c>
      <c r="V50" s="207">
        <f t="shared" si="31"/>
        <v>200824714.24591029</v>
      </c>
      <c r="W50" s="207">
        <f>W43-W49-W48-W52</f>
        <v>202703229.98555174</v>
      </c>
      <c r="X50" s="207">
        <f>X43-X49-X48-X52</f>
        <v>237056907.87241057</v>
      </c>
      <c r="Y50" s="207">
        <f>Y43-Y49-Y48-Y52</f>
        <v>240033405.63147902</v>
      </c>
      <c r="Z50" s="207">
        <f>Z43-Z49-Z48-Z52</f>
        <v>132320741.27829449</v>
      </c>
      <c r="AA50" s="207">
        <f>AA43-AA49-AA48-AA52</f>
        <v>210291451.66872871</v>
      </c>
      <c r="AB50" s="207">
        <f t="shared" ref="AB50:AP50" si="32">AB43-AB49-AB48-AB52</f>
        <v>274357127.29756492</v>
      </c>
      <c r="AC50" s="207">
        <f t="shared" si="32"/>
        <v>350508285.32926923</v>
      </c>
      <c r="AD50" s="207">
        <f t="shared" si="32"/>
        <v>370951003.24118745</v>
      </c>
      <c r="AE50" s="207">
        <f t="shared" si="32"/>
        <v>407290038.17062455</v>
      </c>
      <c r="AF50" s="207">
        <f t="shared" si="32"/>
        <v>373290577.1966331</v>
      </c>
      <c r="AG50" s="207">
        <f t="shared" si="32"/>
        <v>323231704.80065703</v>
      </c>
      <c r="AH50" s="207" t="e">
        <f t="shared" si="32"/>
        <v>#DIV/0!</v>
      </c>
      <c r="AI50" s="207" t="e">
        <f t="shared" si="32"/>
        <v>#DIV/0!</v>
      </c>
      <c r="AJ50" s="207">
        <f t="shared" si="32"/>
        <v>368244180.64659017</v>
      </c>
      <c r="AK50" s="207">
        <f t="shared" si="32"/>
        <v>365234142.91056687</v>
      </c>
      <c r="AL50" s="207" t="e">
        <f t="shared" si="32"/>
        <v>#DIV/0!</v>
      </c>
      <c r="AM50" s="207" t="e">
        <f t="shared" si="32"/>
        <v>#DIV/0!</v>
      </c>
      <c r="AN50" s="207" t="e">
        <f t="shared" si="32"/>
        <v>#DIV/0!</v>
      </c>
      <c r="AO50" s="207" t="e">
        <f t="shared" si="32"/>
        <v>#DIV/0!</v>
      </c>
      <c r="AP50" s="207" t="e">
        <f t="shared" si="32"/>
        <v>#DIV/0!</v>
      </c>
      <c r="AQ50" s="194"/>
      <c r="AR50" s="194"/>
      <c r="AS50" s="194"/>
      <c r="AT50" s="194"/>
      <c r="AU50" s="194"/>
      <c r="AV50" s="194"/>
      <c r="AW50" s="194"/>
      <c r="AX50" s="194"/>
      <c r="AY50" s="194"/>
      <c r="AZ50" s="194"/>
      <c r="BA50" s="194"/>
      <c r="BB50" s="194"/>
      <c r="BC50" s="194"/>
      <c r="BD50" s="194"/>
      <c r="BE50" s="194"/>
      <c r="BF50" s="194"/>
      <c r="BG50" s="200">
        <f>395/20940</f>
        <v>1.8863419293218719E-2</v>
      </c>
      <c r="BH50" s="194">
        <v>291563433.75162238</v>
      </c>
      <c r="BI50" s="189">
        <f>J50-BH50</f>
        <v>3120679.13013345</v>
      </c>
      <c r="BJ50" s="194">
        <v>138663987.68784076</v>
      </c>
      <c r="BK50" s="189">
        <f>K50-BJ50</f>
        <v>-38817090.862305522</v>
      </c>
    </row>
    <row r="51" spans="1:63">
      <c r="A51" s="167" t="s">
        <v>38</v>
      </c>
      <c r="E51" s="189">
        <f>E38</f>
        <v>160776000</v>
      </c>
      <c r="F51" s="189">
        <f t="shared" ref="F51:L51" si="33">F38</f>
        <v>176639999.99999997</v>
      </c>
      <c r="G51" s="189">
        <f t="shared" si="33"/>
        <v>242530000.00000006</v>
      </c>
      <c r="H51" s="189">
        <f t="shared" si="33"/>
        <v>632638000</v>
      </c>
      <c r="I51" s="189">
        <f t="shared" si="33"/>
        <v>1418560000</v>
      </c>
      <c r="J51" s="189">
        <f t="shared" si="33"/>
        <v>1415836000</v>
      </c>
      <c r="K51" s="194">
        <f t="shared" si="33"/>
        <v>1098580000</v>
      </c>
      <c r="L51" s="194">
        <f t="shared" si="33"/>
        <v>563346000</v>
      </c>
      <c r="M51" s="194">
        <f>M38</f>
        <v>662571000</v>
      </c>
      <c r="N51" s="194">
        <f>N38</f>
        <v>534705000</v>
      </c>
      <c r="O51" s="195">
        <f>O38</f>
        <v>479920000</v>
      </c>
      <c r="P51" s="195">
        <f t="shared" ref="P51:V51" si="34">P38</f>
        <v>506922000</v>
      </c>
      <c r="Q51" s="216">
        <f t="shared" si="34"/>
        <v>588294000</v>
      </c>
      <c r="R51" s="216">
        <f t="shared" si="34"/>
        <v>647549875.14611137</v>
      </c>
      <c r="S51" s="207">
        <f t="shared" si="34"/>
        <v>706569183.40718186</v>
      </c>
      <c r="T51" s="207">
        <f t="shared" si="34"/>
        <v>575230441.0797292</v>
      </c>
      <c r="U51" s="207">
        <f t="shared" si="34"/>
        <v>605155724.14168048</v>
      </c>
      <c r="V51" s="207">
        <f t="shared" si="34"/>
        <v>605986982.00451243</v>
      </c>
      <c r="W51" s="207">
        <f>W38</f>
        <v>526186227.17264247</v>
      </c>
      <c r="X51" s="207">
        <f>X38</f>
        <v>540317610.8407861</v>
      </c>
      <c r="Y51" s="207">
        <f>Y38</f>
        <v>488779623.3452034</v>
      </c>
      <c r="Z51" s="207">
        <f>Z38</f>
        <v>241896038.08410579</v>
      </c>
      <c r="AA51" s="207">
        <f>AA38</f>
        <v>349959560.25226301</v>
      </c>
      <c r="AB51" s="207">
        <f t="shared" ref="AB51:AP51" si="35">AB38</f>
        <v>419785220.73014933</v>
      </c>
      <c r="AC51" s="207">
        <f t="shared" si="35"/>
        <v>496260944.11069125</v>
      </c>
      <c r="AD51" s="207">
        <f t="shared" si="35"/>
        <v>487948365.48237145</v>
      </c>
      <c r="AE51" s="207">
        <f t="shared" si="35"/>
        <v>500417233.42485112</v>
      </c>
      <c r="AF51" s="207">
        <f t="shared" si="35"/>
        <v>430591572.94696492</v>
      </c>
      <c r="AG51" s="207">
        <f t="shared" si="35"/>
        <v>350790818.11509496</v>
      </c>
      <c r="AH51" s="207">
        <f t="shared" si="35"/>
        <v>350790818.11509496</v>
      </c>
      <c r="AI51" s="207">
        <f t="shared" si="35"/>
        <v>373234780.41155839</v>
      </c>
      <c r="AJ51" s="207">
        <f t="shared" si="35"/>
        <v>402328805.61067766</v>
      </c>
      <c r="AK51" s="207">
        <f t="shared" si="35"/>
        <v>399835032.02218169</v>
      </c>
      <c r="AL51" s="207">
        <f t="shared" si="35"/>
        <v>386534906.21687007</v>
      </c>
      <c r="AM51" s="207">
        <f t="shared" si="35"/>
        <v>385703648.35403806</v>
      </c>
      <c r="AN51" s="207">
        <f t="shared" si="35"/>
        <v>418953962.8673172</v>
      </c>
      <c r="AO51" s="207">
        <f t="shared" si="35"/>
        <v>438904151.57528466</v>
      </c>
      <c r="AP51" s="207">
        <f t="shared" si="35"/>
        <v>458854340.28325212</v>
      </c>
      <c r="AQ51" s="194"/>
      <c r="AR51" s="194"/>
      <c r="AS51" s="194"/>
      <c r="AT51" s="194"/>
      <c r="AU51" s="194"/>
      <c r="AV51" s="194"/>
      <c r="AW51" s="194"/>
      <c r="AX51" s="194"/>
      <c r="AY51" s="194"/>
      <c r="AZ51" s="194"/>
      <c r="BA51" s="194"/>
      <c r="BB51" s="194"/>
      <c r="BC51" s="194"/>
      <c r="BD51" s="194"/>
      <c r="BE51" s="194"/>
      <c r="BF51" s="194"/>
      <c r="BG51" s="200">
        <f>826/21540</f>
        <v>3.8347260909935003E-2</v>
      </c>
      <c r="BH51" s="194">
        <v>1399236000</v>
      </c>
      <c r="BI51" s="189">
        <f>J51-BH51</f>
        <v>16600000</v>
      </c>
      <c r="BJ51" s="194">
        <v>1522813600.0000002</v>
      </c>
      <c r="BK51" s="189">
        <f>K51-BJ51</f>
        <v>-424233600.00000024</v>
      </c>
    </row>
    <row r="52" spans="1:63">
      <c r="A52" s="167" t="s">
        <v>39</v>
      </c>
      <c r="E52" s="177">
        <f>E41-E48</f>
        <v>38295.525199843134</v>
      </c>
      <c r="F52" s="177">
        <f t="shared" ref="F52:AP52" si="36">F41-F48</f>
        <v>775.47545449394966</v>
      </c>
      <c r="G52" s="177">
        <f t="shared" si="36"/>
        <v>4097.9340621065348</v>
      </c>
      <c r="H52" s="177">
        <f t="shared" si="36"/>
        <v>27732.116303116083</v>
      </c>
      <c r="I52" s="177">
        <f t="shared" si="36"/>
        <v>203824.15586577728</v>
      </c>
      <c r="J52" s="177">
        <f t="shared" si="36"/>
        <v>214833.33850763366</v>
      </c>
      <c r="K52" s="201">
        <f t="shared" si="36"/>
        <v>96896.825535196811</v>
      </c>
      <c r="L52" s="201">
        <f t="shared" si="36"/>
        <v>2287.4786854833364</v>
      </c>
      <c r="M52" s="201">
        <f t="shared" si="36"/>
        <v>11620.245167501271</v>
      </c>
      <c r="N52" s="201">
        <f t="shared" si="36"/>
        <v>7977.2829839773476</v>
      </c>
      <c r="O52" s="202">
        <f t="shared" si="36"/>
        <v>7961.3762449771166</v>
      </c>
      <c r="P52" s="202">
        <f>P41-P48</f>
        <v>6.7674621939659119E-2</v>
      </c>
      <c r="Q52" s="219">
        <f t="shared" si="36"/>
        <v>0.14286463707685471</v>
      </c>
      <c r="R52" s="219">
        <f t="shared" si="36"/>
        <v>7.7144496142864227E-2</v>
      </c>
      <c r="S52" s="220">
        <f t="shared" si="36"/>
        <v>8.23378786444664E-2</v>
      </c>
      <c r="T52" s="220">
        <f t="shared" si="36"/>
        <v>6.5019704401493073E-2</v>
      </c>
      <c r="U52" s="220">
        <f t="shared" si="36"/>
        <v>0.14685314893722534</v>
      </c>
      <c r="V52" s="220">
        <f t="shared" si="36"/>
        <v>0.14069759845733643</v>
      </c>
      <c r="W52" s="220">
        <f t="shared" si="36"/>
        <v>0.12282830476760864</v>
      </c>
      <c r="X52" s="220">
        <f t="shared" si="36"/>
        <v>0.12188407778739929</v>
      </c>
      <c r="Y52" s="220">
        <f t="shared" si="36"/>
        <v>0.10158887505531311</v>
      </c>
      <c r="Z52" s="220">
        <f t="shared" si="36"/>
        <v>4.7171235084533691E-2</v>
      </c>
      <c r="AA52" s="220">
        <f t="shared" si="36"/>
        <v>6.3713446259498596E-2</v>
      </c>
      <c r="AB52" s="220">
        <f t="shared" si="36"/>
        <v>7.0415735244750977E-2</v>
      </c>
      <c r="AC52" s="220">
        <f t="shared" si="36"/>
        <v>7.6912224292755127E-2</v>
      </c>
      <c r="AD52" s="220">
        <f t="shared" si="36"/>
        <v>7.0184618234634399E-2</v>
      </c>
      <c r="AE52" s="220">
        <f t="shared" si="36"/>
        <v>0</v>
      </c>
      <c r="AF52" s="220">
        <f t="shared" si="36"/>
        <v>0</v>
      </c>
      <c r="AG52" s="220">
        <f t="shared" si="36"/>
        <v>0</v>
      </c>
      <c r="AH52" s="220" t="e">
        <f t="shared" si="36"/>
        <v>#DIV/0!</v>
      </c>
      <c r="AI52" s="220" t="e">
        <f t="shared" si="36"/>
        <v>#DIV/0!</v>
      </c>
      <c r="AJ52" s="220">
        <f t="shared" si="36"/>
        <v>0</v>
      </c>
      <c r="AK52" s="220">
        <f t="shared" si="36"/>
        <v>0</v>
      </c>
      <c r="AL52" s="220" t="e">
        <f t="shared" si="36"/>
        <v>#DIV/0!</v>
      </c>
      <c r="AM52" s="220" t="e">
        <f t="shared" si="36"/>
        <v>#DIV/0!</v>
      </c>
      <c r="AN52" s="220" t="e">
        <f t="shared" si="36"/>
        <v>#DIV/0!</v>
      </c>
      <c r="AO52" s="220" t="e">
        <f t="shared" si="36"/>
        <v>#DIV/0!</v>
      </c>
      <c r="AP52" s="220" t="e">
        <f t="shared" si="36"/>
        <v>#DIV/0!</v>
      </c>
      <c r="AQ52" s="201"/>
      <c r="AR52" s="201"/>
      <c r="AS52" s="201"/>
      <c r="AT52" s="201"/>
      <c r="AU52" s="201"/>
      <c r="AV52" s="201"/>
      <c r="AW52" s="201"/>
      <c r="AX52" s="201"/>
      <c r="AY52" s="201"/>
      <c r="AZ52" s="201"/>
      <c r="BA52" s="201"/>
      <c r="BB52" s="201"/>
      <c r="BC52" s="201"/>
      <c r="BD52" s="201"/>
      <c r="BE52" s="201"/>
      <c r="BF52" s="201"/>
      <c r="BG52" s="200">
        <f>1116/22330</f>
        <v>4.9977608598298251E-2</v>
      </c>
      <c r="BH52" s="194">
        <v>212357.23562230915</v>
      </c>
      <c r="BI52" s="189">
        <f>J52-BH52</f>
        <v>2476.102885324508</v>
      </c>
      <c r="BJ52" s="194">
        <v>393987.68784077466</v>
      </c>
      <c r="BK52" s="189">
        <f>K52-BJ52</f>
        <v>-297090.86230557784</v>
      </c>
    </row>
    <row r="53" spans="1:63">
      <c r="H53" s="203">
        <f>SUM(H48:H52)</f>
        <v>789820000</v>
      </c>
      <c r="I53" s="203">
        <f>SUM(I48:I52)</f>
        <v>1824350000</v>
      </c>
      <c r="J53" s="203">
        <f>SUM(J48:J52)</f>
        <v>2041288594.0313306</v>
      </c>
      <c r="O53" s="195"/>
      <c r="P53" s="195"/>
      <c r="Q53" s="216"/>
      <c r="R53" s="216"/>
      <c r="S53" s="217"/>
      <c r="T53" s="217"/>
      <c r="U53" s="217"/>
      <c r="V53" s="217"/>
      <c r="W53" s="217"/>
      <c r="X53" s="217"/>
      <c r="Y53" s="217"/>
      <c r="Z53" s="217"/>
      <c r="AA53" s="217"/>
      <c r="AB53" s="217"/>
      <c r="AC53" s="217"/>
      <c r="AD53" s="217"/>
      <c r="AE53" s="217"/>
      <c r="AF53" s="217"/>
      <c r="AG53" s="217"/>
      <c r="AH53" s="217"/>
      <c r="AI53" s="217"/>
      <c r="AJ53" s="217"/>
      <c r="AK53" s="217"/>
      <c r="AL53" s="217"/>
      <c r="AM53" s="217"/>
      <c r="AN53" s="217"/>
      <c r="AO53" s="217"/>
      <c r="AP53" s="217"/>
    </row>
    <row r="54" spans="1:63">
      <c r="A54" s="167" t="s">
        <v>40</v>
      </c>
      <c r="Q54" s="217"/>
      <c r="R54" s="217"/>
      <c r="S54" s="217"/>
      <c r="T54" s="217"/>
      <c r="U54" s="217"/>
      <c r="V54" s="217"/>
      <c r="W54" s="217"/>
      <c r="X54" s="217"/>
      <c r="Y54" s="217"/>
      <c r="Z54" s="217"/>
      <c r="AA54" s="217"/>
      <c r="AB54" s="217"/>
      <c r="AC54" s="217"/>
      <c r="AD54" s="217"/>
      <c r="AE54" s="217"/>
      <c r="AF54" s="217"/>
      <c r="AG54" s="217"/>
      <c r="AH54" s="217"/>
      <c r="AI54" s="217"/>
      <c r="AJ54" s="217"/>
      <c r="AK54" s="217"/>
      <c r="AL54" s="217"/>
      <c r="AM54" s="217"/>
      <c r="AN54" s="217"/>
      <c r="AO54" s="217"/>
      <c r="AP54" s="217"/>
    </row>
    <row r="55" spans="1:63">
      <c r="A55" s="167" t="s">
        <v>35</v>
      </c>
      <c r="E55" s="189">
        <f>E48</f>
        <v>40904.474800156866</v>
      </c>
      <c r="F55" s="189">
        <f t="shared" ref="F55:K55" si="37">F48</f>
        <v>436224.52454550605</v>
      </c>
      <c r="G55" s="189">
        <f t="shared" si="37"/>
        <v>2114202.0659378935</v>
      </c>
      <c r="H55" s="189">
        <f t="shared" si="37"/>
        <v>9981867.8836968839</v>
      </c>
      <c r="I55" s="189">
        <f t="shared" si="37"/>
        <v>29292675.844134223</v>
      </c>
      <c r="J55" s="189">
        <f t="shared" si="37"/>
        <v>27374866.661492366</v>
      </c>
      <c r="K55" s="189">
        <f t="shared" si="37"/>
        <v>30493103.174464803</v>
      </c>
      <c r="L55" s="189">
        <f>L48</f>
        <v>20703712.521314517</v>
      </c>
      <c r="M55" s="189">
        <f>M48</f>
        <v>26685379.754832499</v>
      </c>
      <c r="N55" s="189">
        <f>N48</f>
        <v>22567022.717016023</v>
      </c>
      <c r="O55" s="189">
        <f t="shared" ref="O55:V55" si="38">O48</f>
        <v>26872038.623755019</v>
      </c>
      <c r="P55" s="189">
        <f t="shared" si="38"/>
        <v>36665999.932325378</v>
      </c>
      <c r="Q55" s="216">
        <f t="shared" si="38"/>
        <v>54026999.857135363</v>
      </c>
      <c r="R55" s="216">
        <f t="shared" si="38"/>
        <v>55932598.118259065</v>
      </c>
      <c r="S55" s="216">
        <f t="shared" si="38"/>
        <v>63843549.608918652</v>
      </c>
      <c r="T55" s="216">
        <f t="shared" si="38"/>
        <v>53502964.876337305</v>
      </c>
      <c r="U55" s="216">
        <f t="shared" si="38"/>
        <v>130574661.05085227</v>
      </c>
      <c r="V55" s="216">
        <f t="shared" si="38"/>
        <v>140806771.77314651</v>
      </c>
      <c r="W55" s="216">
        <f>W48</f>
        <v>130993247.22892001</v>
      </c>
      <c r="X55" s="216">
        <f>X48</f>
        <v>143474590.60119677</v>
      </c>
      <c r="Y55" s="216">
        <f>Y48</f>
        <v>137897712.84809873</v>
      </c>
      <c r="Z55" s="216">
        <f>Z48</f>
        <v>72258122.766596153</v>
      </c>
      <c r="AA55" s="216">
        <f>AA48</f>
        <v>110343881.35285273</v>
      </c>
      <c r="AB55" s="216">
        <f t="shared" ref="AB55:AP55" si="39">AB48</f>
        <v>139324076.83959192</v>
      </c>
      <c r="AC55" s="216">
        <f t="shared" si="39"/>
        <v>172938387.7680949</v>
      </c>
      <c r="AD55" s="216">
        <f t="shared" si="39"/>
        <v>178136198.45844266</v>
      </c>
      <c r="AE55" s="216">
        <f t="shared" si="39"/>
        <v>190989678.66491288</v>
      </c>
      <c r="AF55" s="216">
        <f t="shared" si="39"/>
        <v>171483062.31210494</v>
      </c>
      <c r="AG55" s="216">
        <f t="shared" si="39"/>
        <v>145521704.89166576</v>
      </c>
      <c r="AH55" s="216" t="e">
        <f t="shared" si="39"/>
        <v>#DIV/0!</v>
      </c>
      <c r="AI55" s="216" t="e">
        <f t="shared" si="39"/>
        <v>#DIV/0!</v>
      </c>
      <c r="AJ55" s="216">
        <f t="shared" si="39"/>
        <v>246992715.62570792</v>
      </c>
      <c r="AK55" s="216">
        <f t="shared" si="39"/>
        <v>271993306.54718846</v>
      </c>
      <c r="AL55" s="216" t="e">
        <f t="shared" si="39"/>
        <v>#DIV/0!</v>
      </c>
      <c r="AM55" s="216" t="e">
        <f t="shared" si="39"/>
        <v>#DIV/0!</v>
      </c>
      <c r="AN55" s="216" t="e">
        <f t="shared" si="39"/>
        <v>#DIV/0!</v>
      </c>
      <c r="AO55" s="216" t="e">
        <f t="shared" si="39"/>
        <v>#DIV/0!</v>
      </c>
      <c r="AP55" s="216" t="e">
        <f t="shared" si="39"/>
        <v>#DIV/0!</v>
      </c>
      <c r="AQ55" s="189"/>
      <c r="AR55" s="189"/>
      <c r="AS55" s="189"/>
      <c r="AT55" s="189"/>
      <c r="AU55" s="189"/>
      <c r="AV55" s="189"/>
      <c r="AW55" s="189"/>
      <c r="AX55" s="189"/>
      <c r="AY55" s="189"/>
      <c r="AZ55" s="189"/>
      <c r="BA55" s="189"/>
      <c r="BB55" s="189"/>
      <c r="BC55" s="189"/>
      <c r="BD55" s="189"/>
      <c r="BE55" s="189"/>
      <c r="BF55" s="189"/>
    </row>
    <row r="56" spans="1:63">
      <c r="A56" s="167" t="s">
        <v>36</v>
      </c>
      <c r="E56" s="189">
        <f>E49/'RVO Forecast'!D$6</f>
        <v>14891163.786945168</v>
      </c>
      <c r="F56" s="189">
        <f>F49/'RVO Forecast'!E$6</f>
        <v>21619499.48868002</v>
      </c>
      <c r="G56" s="189">
        <f>G49/'RVO Forecast'!F$6</f>
        <v>30492687.455271546</v>
      </c>
      <c r="H56" s="189">
        <f>H49/'RVO Forecast'!G$6</f>
        <v>82874001.393399999</v>
      </c>
      <c r="I56" s="189">
        <f>I49/'RVO Forecast'!H$6</f>
        <v>189691445.79388899</v>
      </c>
      <c r="J56" s="189">
        <f>J49/'RVO Forecast'!I$6</f>
        <v>196040418.20732805</v>
      </c>
      <c r="K56" s="189">
        <f>K49/'RVO Forecast'!J$6</f>
        <v>146967618.36618859</v>
      </c>
      <c r="L56" s="189">
        <f>L49/'RVO Forecast'!K$6</f>
        <v>99958537.910419554</v>
      </c>
      <c r="M56" s="189">
        <f>M49/'RVO Forecast'!L$6</f>
        <v>116488652.50872371</v>
      </c>
      <c r="N56" s="189">
        <f>N49/'RVO Forecast'!M$6</f>
        <v>100185017.61030807</v>
      </c>
      <c r="O56" s="189">
        <f>O49/'RVO Forecast'!N$6</f>
        <v>96315068.031192675</v>
      </c>
      <c r="P56" s="189">
        <f>P49/'RVO Forecast'!O$6</f>
        <v>109415999.95839062</v>
      </c>
      <c r="Q56" s="216">
        <f>Q49/'RVO Forecast'!P$6</f>
        <v>140069999.91222674</v>
      </c>
      <c r="R56" s="216">
        <f>R49/'RVO Forecast'!Q$6</f>
        <v>270411542.64494979</v>
      </c>
      <c r="S56" s="216">
        <f>S49/'RVO Forecast'!R$6</f>
        <v>111385943.78157572</v>
      </c>
      <c r="T56" s="216">
        <f>T49/'RVO Forecast'!S$6</f>
        <v>90681262.500233978</v>
      </c>
      <c r="U56" s="216">
        <f>U49/'RVO Forecast'!T$6</f>
        <v>95398784.81229122</v>
      </c>
      <c r="V56" s="216">
        <f>V49/'RVO Forecast'!U$6</f>
        <v>95529827.136639163</v>
      </c>
      <c r="W56" s="216">
        <f>W49/'RVO Forecast'!V$6</f>
        <v>82949767.624928981</v>
      </c>
      <c r="X56" s="216">
        <f>X49/'RVO Forecast'!W$6</f>
        <v>85177486.535470337</v>
      </c>
      <c r="Y56" s="216">
        <f>Y49/'RVO Forecast'!X$6</f>
        <v>77052864.775686756</v>
      </c>
      <c r="Z56" s="216">
        <f>Z49/'RVO Forecast'!Y$6</f>
        <v>38133305.541850388</v>
      </c>
      <c r="AA56" s="216">
        <f>AA49/'RVO Forecast'!Z$6</f>
        <v>55168802.885166228</v>
      </c>
      <c r="AB56" s="216">
        <f>AB49/'RVO Forecast'!AA$6</f>
        <v>66176355.031952016</v>
      </c>
      <c r="AC56" s="216">
        <f>AC49/'RVO Forecast'!AB$6</f>
        <v>78232245.485212758</v>
      </c>
      <c r="AD56" s="216">
        <f>AD49/'RVO Forecast'!AC$6</f>
        <v>76921822.643127739</v>
      </c>
      <c r="AE56" s="216">
        <f>AE49/'RVO Forecast'!AD$6</f>
        <v>78887457.023245677</v>
      </c>
      <c r="AF56" s="216">
        <f>AF49/'RVO Forecast'!AE$6</f>
        <v>67879904.904333234</v>
      </c>
      <c r="AG56" s="216">
        <f>AG49/'RVO Forecast'!AF$6</f>
        <v>55299845.327606328</v>
      </c>
      <c r="AH56" s="216" t="e">
        <f>AH49/'RVO Forecast'!AG$6</f>
        <v>#DIV/0!</v>
      </c>
      <c r="AI56" s="216" t="e">
        <f>AI49/'RVO Forecast'!AH$6</f>
        <v>#DIV/0!</v>
      </c>
      <c r="AJ56" s="216">
        <f>AJ49/'RVO Forecast'!AI$6</f>
        <v>63424467.21988783</v>
      </c>
      <c r="AK56" s="216">
        <f>AK49/'RVO Forecast'!AJ$6</f>
        <v>63031340.379115939</v>
      </c>
      <c r="AL56" s="216" t="e">
        <f>AL49/'RVO Forecast'!AK$6</f>
        <v>#DIV/0!</v>
      </c>
      <c r="AM56" s="216" t="e">
        <f>AM49/'RVO Forecast'!AL$6</f>
        <v>#DIV/0!</v>
      </c>
      <c r="AN56" s="216" t="e">
        <f>AN49/'RVO Forecast'!AM$6</f>
        <v>#DIV/0!</v>
      </c>
      <c r="AO56" s="216" t="e">
        <f>AO49/'RVO Forecast'!AN$6</f>
        <v>#DIV/0!</v>
      </c>
      <c r="AP56" s="216" t="e">
        <f>AP49/'RVO Forecast'!AO$6</f>
        <v>#DIV/0!</v>
      </c>
      <c r="AQ56" s="189"/>
      <c r="AR56" s="189"/>
      <c r="AS56" s="189"/>
      <c r="AT56" s="189"/>
      <c r="AU56" s="189"/>
      <c r="AV56" s="189"/>
      <c r="AW56" s="189"/>
      <c r="AX56" s="189"/>
      <c r="AY56" s="189"/>
      <c r="AZ56" s="189"/>
      <c r="BA56" s="189"/>
      <c r="BB56" s="189"/>
      <c r="BC56" s="189"/>
      <c r="BD56" s="189"/>
      <c r="BE56" s="189"/>
      <c r="BF56" s="189"/>
    </row>
    <row r="57" spans="1:63">
      <c r="A57" s="167" t="s">
        <v>37</v>
      </c>
      <c r="E57" s="189">
        <f>E50</f>
        <v>9035773.8242730461</v>
      </c>
      <c r="F57" s="189">
        <f>F50/'RVO Forecast'!E6</f>
        <v>514063.34254798084</v>
      </c>
      <c r="G57" s="189">
        <f>G50/'RVO Forecast'!F6</f>
        <v>250934.60338332911</v>
      </c>
      <c r="H57" s="189">
        <f>H50/'RVO Forecast'!G6</f>
        <v>12643343.948166456</v>
      </c>
      <c r="I57" s="189">
        <f>I50/'RVO Forecast'!H6</f>
        <v>53795022.299622431</v>
      </c>
      <c r="J57" s="189">
        <f>J50/'RVO Forecast'!I6</f>
        <v>190547625.09878212</v>
      </c>
      <c r="K57" s="189">
        <f>K50/'RVO Forecast'!J6</f>
        <v>63803046.374708407</v>
      </c>
      <c r="L57" s="189">
        <f>L50/'RVO Forecast'!K6</f>
        <v>20522601.129835613</v>
      </c>
      <c r="M57" s="189">
        <f>M50/'RVO Forecast'!L6</f>
        <v>20090235.051564537</v>
      </c>
      <c r="N57" s="189">
        <f>N50/'RVO Forecast'!M6</f>
        <v>13015582.334307294</v>
      </c>
      <c r="O57" s="189">
        <f>O50/'RVO Forecast'!N6</f>
        <v>4636527.7873028954</v>
      </c>
      <c r="P57" s="189">
        <f>P50/'RVO Forecast'!O6</f>
        <v>3661312.7579825576</v>
      </c>
      <c r="Q57" s="216">
        <f>Q50/'RVO Forecast'!P6</f>
        <v>3357169.7946174652</v>
      </c>
      <c r="R57" s="216">
        <f>R50/'RVO Forecast'!Q6</f>
        <v>-69942307.285593197</v>
      </c>
      <c r="S57" s="216">
        <f>S50/'RVO Forecast'!R6</f>
        <v>117438753.62809572</v>
      </c>
      <c r="T57" s="216">
        <f>T50/'RVO Forecast'!S6</f>
        <v>111410647.28863172</v>
      </c>
      <c r="U57" s="216">
        <f>U50/'RVO Forecast'!T6</f>
        <v>102464161.54431306</v>
      </c>
      <c r="V57" s="216">
        <f>V50/'RVO Forecast'!U6</f>
        <v>122610400.28121561</v>
      </c>
      <c r="W57" s="216">
        <f>W50/'RVO Forecast'!V6</f>
        <v>123501547.4569727</v>
      </c>
      <c r="X57" s="216">
        <f>X50/'RVO Forecast'!W6</f>
        <v>143954177.55253732</v>
      </c>
      <c r="Y57" s="216">
        <f>Y50/'RVO Forecast'!X6</f>
        <v>144639722.64835444</v>
      </c>
      <c r="Z57" s="216">
        <f>Z50/'RVO Forecast'!Y6</f>
        <v>80213313.628301516</v>
      </c>
      <c r="AA57" s="216">
        <f>AA50/'RVO Forecast'!Z6</f>
        <v>127245842.68076858</v>
      </c>
      <c r="AB57" s="216">
        <f>AB50/'RVO Forecast'!AA6</f>
        <v>164934460.96580166</v>
      </c>
      <c r="AC57" s="216">
        <f>AC50/'RVO Forecast'!AB6</f>
        <v>209410935.38413522</v>
      </c>
      <c r="AD57" s="216">
        <f>AD50/'RVO Forecast'!AC6</f>
        <v>221257943.44393143</v>
      </c>
      <c r="AE57" s="216">
        <f>AE50/'RVO Forecast'!AD6</f>
        <v>242300507.77784777</v>
      </c>
      <c r="AF57" s="216">
        <f>AF50/'RVO Forecast'!AE6</f>
        <v>220956092.20440128</v>
      </c>
      <c r="AG57" s="216">
        <f>AG50/'RVO Forecast'!AF6</f>
        <v>191431618.12473625</v>
      </c>
      <c r="AH57" s="216" t="e">
        <f>AH50/'RVO Forecast'!AG6</f>
        <v>#DIV/0!</v>
      </c>
      <c r="AI57" s="216" t="e">
        <f>AI50/'RVO Forecast'!AH6</f>
        <v>#DIV/0!</v>
      </c>
      <c r="AJ57" s="216">
        <f>AJ50/'RVO Forecast'!AI6</f>
        <v>217601932.59111682</v>
      </c>
      <c r="AK57" s="216">
        <f>AK50/'RVO Forecast'!AJ6</f>
        <v>215850174.28549594</v>
      </c>
      <c r="AL57" s="216" t="e">
        <f>AL50/'RVO Forecast'!AK6</f>
        <v>#DIV/0!</v>
      </c>
      <c r="AM57" s="216" t="e">
        <f>AM50/'RVO Forecast'!AL6</f>
        <v>#DIV/0!</v>
      </c>
      <c r="AN57" s="216" t="e">
        <f>AN50/'RVO Forecast'!AM6</f>
        <v>#DIV/0!</v>
      </c>
      <c r="AO57" s="216" t="e">
        <f>AO50/'RVO Forecast'!AN6</f>
        <v>#DIV/0!</v>
      </c>
      <c r="AP57" s="216" t="e">
        <f>AP50/'RVO Forecast'!AO6</f>
        <v>#DIV/0!</v>
      </c>
      <c r="AQ57" s="189"/>
      <c r="AR57" s="189"/>
      <c r="AS57" s="189"/>
      <c r="AT57" s="189"/>
      <c r="AU57" s="189"/>
      <c r="AV57" s="189"/>
      <c r="AW57" s="189"/>
      <c r="AX57" s="189"/>
      <c r="AY57" s="189"/>
      <c r="AZ57" s="189"/>
      <c r="BA57" s="189"/>
      <c r="BB57" s="189"/>
      <c r="BC57" s="189"/>
      <c r="BD57" s="189"/>
      <c r="BE57" s="189"/>
      <c r="BF57" s="189"/>
    </row>
    <row r="58" spans="1:63">
      <c r="A58" s="167" t="s">
        <v>38</v>
      </c>
      <c r="E58" s="189">
        <f>E51</f>
        <v>160776000</v>
      </c>
      <c r="F58" s="189">
        <f t="shared" ref="F58:L59" si="40">F51</f>
        <v>176639999.99999997</v>
      </c>
      <c r="G58" s="189">
        <f t="shared" si="40"/>
        <v>242530000.00000006</v>
      </c>
      <c r="H58" s="189">
        <f t="shared" si="40"/>
        <v>632638000</v>
      </c>
      <c r="I58" s="189">
        <f t="shared" si="40"/>
        <v>1418560000</v>
      </c>
      <c r="J58" s="189">
        <f t="shared" si="40"/>
        <v>1415836000</v>
      </c>
      <c r="K58" s="189">
        <f t="shared" si="40"/>
        <v>1098580000</v>
      </c>
      <c r="L58" s="189">
        <f t="shared" si="40"/>
        <v>563346000</v>
      </c>
      <c r="M58" s="189">
        <f>M51</f>
        <v>662571000</v>
      </c>
      <c r="N58" s="189">
        <f>N51</f>
        <v>534705000</v>
      </c>
      <c r="O58" s="189">
        <f t="shared" ref="O58:AP59" si="41">O51</f>
        <v>479920000</v>
      </c>
      <c r="P58" s="189">
        <f t="shared" si="41"/>
        <v>506922000</v>
      </c>
      <c r="Q58" s="216">
        <f t="shared" si="41"/>
        <v>588294000</v>
      </c>
      <c r="R58" s="216">
        <f t="shared" si="41"/>
        <v>647549875.14611137</v>
      </c>
      <c r="S58" s="216">
        <f t="shared" si="41"/>
        <v>706569183.40718186</v>
      </c>
      <c r="T58" s="216">
        <f t="shared" si="41"/>
        <v>575230441.0797292</v>
      </c>
      <c r="U58" s="216">
        <f t="shared" si="41"/>
        <v>605155724.14168048</v>
      </c>
      <c r="V58" s="216">
        <f t="shared" si="41"/>
        <v>605986982.00451243</v>
      </c>
      <c r="W58" s="216">
        <f t="shared" si="41"/>
        <v>526186227.17264247</v>
      </c>
      <c r="X58" s="216">
        <f t="shared" si="41"/>
        <v>540317610.8407861</v>
      </c>
      <c r="Y58" s="216">
        <f t="shared" si="41"/>
        <v>488779623.3452034</v>
      </c>
      <c r="Z58" s="216">
        <f t="shared" si="41"/>
        <v>241896038.08410579</v>
      </c>
      <c r="AA58" s="216">
        <f t="shared" si="41"/>
        <v>349959560.25226301</v>
      </c>
      <c r="AB58" s="216">
        <f t="shared" si="41"/>
        <v>419785220.73014933</v>
      </c>
      <c r="AC58" s="216">
        <f t="shared" si="41"/>
        <v>496260944.11069125</v>
      </c>
      <c r="AD58" s="216">
        <f t="shared" si="41"/>
        <v>487948365.48237145</v>
      </c>
      <c r="AE58" s="216">
        <f t="shared" si="41"/>
        <v>500417233.42485112</v>
      </c>
      <c r="AF58" s="216">
        <f t="shared" si="41"/>
        <v>430591572.94696492</v>
      </c>
      <c r="AG58" s="216">
        <f t="shared" si="41"/>
        <v>350790818.11509496</v>
      </c>
      <c r="AH58" s="216">
        <f t="shared" si="41"/>
        <v>350790818.11509496</v>
      </c>
      <c r="AI58" s="216">
        <f t="shared" si="41"/>
        <v>373234780.41155839</v>
      </c>
      <c r="AJ58" s="216">
        <f t="shared" si="41"/>
        <v>402328805.61067766</v>
      </c>
      <c r="AK58" s="216">
        <f t="shared" si="41"/>
        <v>399835032.02218169</v>
      </c>
      <c r="AL58" s="216">
        <f t="shared" si="41"/>
        <v>386534906.21687007</v>
      </c>
      <c r="AM58" s="216">
        <f t="shared" si="41"/>
        <v>385703648.35403806</v>
      </c>
      <c r="AN58" s="216">
        <f t="shared" si="41"/>
        <v>418953962.8673172</v>
      </c>
      <c r="AO58" s="216">
        <f t="shared" si="41"/>
        <v>438904151.57528466</v>
      </c>
      <c r="AP58" s="216">
        <f t="shared" si="41"/>
        <v>458854340.28325212</v>
      </c>
      <c r="AQ58" s="189"/>
      <c r="AR58" s="189"/>
      <c r="AS58" s="189"/>
      <c r="AT58" s="189"/>
      <c r="AU58" s="189"/>
      <c r="AV58" s="189"/>
      <c r="AW58" s="189"/>
      <c r="AX58" s="189"/>
      <c r="AY58" s="189"/>
      <c r="AZ58" s="189"/>
      <c r="BA58" s="189"/>
      <c r="BB58" s="189"/>
      <c r="BC58" s="189"/>
      <c r="BD58" s="189"/>
      <c r="BE58" s="189"/>
      <c r="BF58" s="189"/>
    </row>
    <row r="59" spans="1:63">
      <c r="A59" s="167" t="s">
        <v>39</v>
      </c>
      <c r="E59" s="189">
        <f>E52</f>
        <v>38295.525199843134</v>
      </c>
      <c r="F59" s="189">
        <f t="shared" si="40"/>
        <v>775.47545449394966</v>
      </c>
      <c r="G59" s="189">
        <f t="shared" si="40"/>
        <v>4097.9340621065348</v>
      </c>
      <c r="H59" s="189">
        <f t="shared" si="40"/>
        <v>27732.116303116083</v>
      </c>
      <c r="I59" s="189">
        <f t="shared" si="40"/>
        <v>203824.15586577728</v>
      </c>
      <c r="J59" s="189">
        <f t="shared" si="40"/>
        <v>214833.33850763366</v>
      </c>
      <c r="K59" s="189">
        <f t="shared" si="40"/>
        <v>96896.825535196811</v>
      </c>
      <c r="L59" s="189">
        <f t="shared" si="40"/>
        <v>2287.4786854833364</v>
      </c>
      <c r="M59" s="189">
        <f>M52</f>
        <v>11620.245167501271</v>
      </c>
      <c r="N59" s="189">
        <f>N52</f>
        <v>7977.2829839773476</v>
      </c>
      <c r="O59" s="189">
        <f t="shared" si="41"/>
        <v>7961.3762449771166</v>
      </c>
      <c r="P59" s="189">
        <f t="shared" si="41"/>
        <v>6.7674621939659119E-2</v>
      </c>
      <c r="Q59" s="216">
        <f t="shared" si="41"/>
        <v>0.14286463707685471</v>
      </c>
      <c r="R59" s="216">
        <f t="shared" si="41"/>
        <v>7.7144496142864227E-2</v>
      </c>
      <c r="S59" s="216">
        <f t="shared" si="41"/>
        <v>8.23378786444664E-2</v>
      </c>
      <c r="T59" s="216">
        <f t="shared" si="41"/>
        <v>6.5019704401493073E-2</v>
      </c>
      <c r="U59" s="216">
        <f t="shared" si="41"/>
        <v>0.14685314893722534</v>
      </c>
      <c r="V59" s="216">
        <f t="shared" si="41"/>
        <v>0.14069759845733643</v>
      </c>
      <c r="W59" s="216">
        <f t="shared" si="41"/>
        <v>0.12282830476760864</v>
      </c>
      <c r="X59" s="216">
        <f t="shared" si="41"/>
        <v>0.12188407778739929</v>
      </c>
      <c r="Y59" s="216">
        <f t="shared" si="41"/>
        <v>0.10158887505531311</v>
      </c>
      <c r="Z59" s="216">
        <f t="shared" si="41"/>
        <v>4.7171235084533691E-2</v>
      </c>
      <c r="AA59" s="216">
        <f t="shared" si="41"/>
        <v>6.3713446259498596E-2</v>
      </c>
      <c r="AB59" s="216">
        <f t="shared" si="41"/>
        <v>7.0415735244750977E-2</v>
      </c>
      <c r="AC59" s="216">
        <f t="shared" si="41"/>
        <v>7.6912224292755127E-2</v>
      </c>
      <c r="AD59" s="216">
        <f t="shared" si="41"/>
        <v>7.0184618234634399E-2</v>
      </c>
      <c r="AE59" s="216">
        <f t="shared" si="41"/>
        <v>0</v>
      </c>
      <c r="AF59" s="216">
        <f t="shared" si="41"/>
        <v>0</v>
      </c>
      <c r="AG59" s="216">
        <f t="shared" si="41"/>
        <v>0</v>
      </c>
      <c r="AH59" s="216" t="e">
        <f t="shared" si="41"/>
        <v>#DIV/0!</v>
      </c>
      <c r="AI59" s="216" t="e">
        <f t="shared" si="41"/>
        <v>#DIV/0!</v>
      </c>
      <c r="AJ59" s="216">
        <f t="shared" si="41"/>
        <v>0</v>
      </c>
      <c r="AK59" s="216">
        <f t="shared" si="41"/>
        <v>0</v>
      </c>
      <c r="AL59" s="216" t="e">
        <f t="shared" si="41"/>
        <v>#DIV/0!</v>
      </c>
      <c r="AM59" s="216" t="e">
        <f t="shared" si="41"/>
        <v>#DIV/0!</v>
      </c>
      <c r="AN59" s="216" t="e">
        <f t="shared" si="41"/>
        <v>#DIV/0!</v>
      </c>
      <c r="AO59" s="216" t="e">
        <f t="shared" si="41"/>
        <v>#DIV/0!</v>
      </c>
      <c r="AP59" s="216" t="e">
        <f t="shared" si="41"/>
        <v>#DIV/0!</v>
      </c>
      <c r="AQ59" s="189"/>
      <c r="AR59" s="189"/>
      <c r="AS59" s="189"/>
      <c r="AT59" s="189"/>
      <c r="AU59" s="189"/>
      <c r="AV59" s="189"/>
      <c r="AW59" s="189"/>
      <c r="AX59" s="189"/>
      <c r="AY59" s="189"/>
      <c r="AZ59" s="189"/>
      <c r="BA59" s="189"/>
      <c r="BB59" s="189"/>
      <c r="BC59" s="189"/>
      <c r="BD59" s="189"/>
      <c r="BE59" s="189"/>
      <c r="BF59" s="189"/>
    </row>
    <row r="60" spans="1:63">
      <c r="Q60" s="212"/>
      <c r="R60" s="212"/>
      <c r="S60" s="212"/>
      <c r="T60" s="212"/>
      <c r="U60" s="212"/>
      <c r="V60" s="212"/>
      <c r="W60" s="212"/>
      <c r="X60" s="212"/>
      <c r="Y60" s="212"/>
      <c r="Z60" s="212"/>
      <c r="AA60" s="212"/>
      <c r="AB60" s="212"/>
      <c r="AC60" s="212"/>
      <c r="AD60" s="212"/>
      <c r="AE60" s="212"/>
      <c r="AF60" s="212"/>
      <c r="AG60" s="212"/>
      <c r="AH60" s="212"/>
      <c r="AI60" s="212"/>
      <c r="AJ60" s="212"/>
      <c r="AK60" s="212"/>
      <c r="AL60" s="212"/>
      <c r="AM60" s="212"/>
      <c r="AN60" s="212"/>
      <c r="AO60" s="212"/>
      <c r="AP60" s="212"/>
    </row>
    <row r="61" spans="1:63">
      <c r="A61" s="167" t="s">
        <v>41</v>
      </c>
      <c r="G61" s="189">
        <v>290000000</v>
      </c>
      <c r="H61" s="189">
        <v>440000000</v>
      </c>
      <c r="I61" s="189">
        <v>1020000000</v>
      </c>
      <c r="J61" s="189">
        <v>840000000</v>
      </c>
      <c r="Q61" s="212"/>
      <c r="R61" s="212"/>
      <c r="S61" s="212"/>
      <c r="T61" s="212"/>
      <c r="U61" s="212"/>
      <c r="V61" s="212"/>
      <c r="W61" s="212"/>
      <c r="X61" s="212"/>
      <c r="Y61" s="212"/>
      <c r="Z61" s="212"/>
      <c r="AA61" s="212"/>
      <c r="AB61" s="212"/>
      <c r="AC61" s="212"/>
      <c r="AD61" s="212"/>
      <c r="AE61" s="212"/>
      <c r="AF61" s="212"/>
      <c r="AG61" s="212"/>
      <c r="AH61" s="212"/>
      <c r="AI61" s="212"/>
      <c r="AJ61" s="212"/>
      <c r="AK61" s="212"/>
      <c r="AL61" s="212"/>
      <c r="AM61" s="212"/>
      <c r="AN61" s="212"/>
      <c r="AO61" s="212"/>
      <c r="AP61" s="212"/>
    </row>
    <row r="62" spans="1:63">
      <c r="Q62" s="212"/>
      <c r="R62" s="212"/>
      <c r="S62" s="212"/>
      <c r="T62" s="212"/>
      <c r="U62" s="212"/>
      <c r="V62" s="212"/>
      <c r="W62" s="212"/>
      <c r="X62" s="212"/>
      <c r="Y62" s="212"/>
      <c r="Z62" s="212"/>
      <c r="AA62" s="212"/>
      <c r="AB62" s="212"/>
      <c r="AC62" s="212"/>
      <c r="AD62" s="212"/>
      <c r="AE62" s="212"/>
      <c r="AF62" s="212"/>
      <c r="AG62" s="212"/>
      <c r="AH62" s="212"/>
      <c r="AI62" s="212"/>
      <c r="AJ62" s="212"/>
      <c r="AK62" s="212"/>
      <c r="AL62" s="212"/>
      <c r="AM62" s="212"/>
      <c r="AN62" s="212"/>
      <c r="AO62" s="212"/>
      <c r="AP62" s="212"/>
    </row>
    <row r="63" spans="1:63">
      <c r="A63" s="167" t="s">
        <v>42</v>
      </c>
      <c r="Q63" s="212"/>
      <c r="R63" s="212"/>
      <c r="S63" s="212"/>
      <c r="T63" s="212"/>
      <c r="U63" s="212"/>
      <c r="V63" s="212"/>
      <c r="W63" s="212"/>
      <c r="X63" s="212"/>
      <c r="Y63" s="212"/>
      <c r="Z63" s="212"/>
      <c r="AA63" s="212"/>
      <c r="AB63" s="212"/>
      <c r="AC63" s="212"/>
      <c r="AD63" s="212"/>
      <c r="AE63" s="212"/>
      <c r="AF63" s="212"/>
      <c r="AG63" s="212"/>
      <c r="AH63" s="212"/>
      <c r="AI63" s="212"/>
      <c r="AJ63" s="212"/>
      <c r="AK63" s="212"/>
      <c r="AL63" s="212"/>
      <c r="AM63" s="212"/>
      <c r="AN63" s="212"/>
      <c r="AO63" s="212"/>
      <c r="AP63" s="212"/>
    </row>
    <row r="64" spans="1:63">
      <c r="A64" s="167" t="s">
        <v>23</v>
      </c>
      <c r="B64" s="167">
        <v>0.31</v>
      </c>
      <c r="L64" s="194">
        <f>B64/100*L$31</f>
        <v>22134000</v>
      </c>
      <c r="M64" s="194"/>
      <c r="N64" s="194"/>
      <c r="O64" s="194"/>
      <c r="P64" s="194"/>
      <c r="Q64" s="211"/>
      <c r="R64" s="211"/>
      <c r="S64" s="211"/>
      <c r="T64" s="211"/>
      <c r="U64" s="211"/>
      <c r="V64" s="211"/>
      <c r="W64" s="211"/>
      <c r="X64" s="211"/>
      <c r="Y64" s="211"/>
      <c r="Z64" s="211"/>
      <c r="AA64" s="211"/>
      <c r="AB64" s="211"/>
      <c r="AC64" s="211"/>
      <c r="AD64" s="211"/>
      <c r="AE64" s="211"/>
      <c r="AF64" s="211"/>
      <c r="AG64" s="211"/>
      <c r="AH64" s="211"/>
      <c r="AI64" s="211"/>
      <c r="AJ64" s="211"/>
      <c r="AK64" s="211"/>
      <c r="AL64" s="211"/>
      <c r="AM64" s="211"/>
      <c r="AN64" s="211"/>
      <c r="AO64" s="211"/>
      <c r="AP64" s="211"/>
      <c r="AQ64" s="194"/>
      <c r="AR64" s="194"/>
      <c r="AS64" s="194"/>
      <c r="AT64" s="194"/>
      <c r="AU64" s="194"/>
      <c r="AV64" s="194"/>
      <c r="AW64" s="194"/>
      <c r="AX64" s="194"/>
      <c r="AY64" s="194"/>
      <c r="AZ64" s="194"/>
      <c r="BA64" s="194"/>
      <c r="BB64" s="194"/>
      <c r="BC64" s="194"/>
      <c r="BD64" s="194"/>
      <c r="BE64" s="194"/>
      <c r="BF64" s="194"/>
    </row>
    <row r="65" spans="1:60">
      <c r="A65" s="167" t="s">
        <v>24</v>
      </c>
      <c r="B65" s="167">
        <v>2.08</v>
      </c>
      <c r="L65" s="194">
        <f>B65/100*L$31</f>
        <v>148512000</v>
      </c>
      <c r="M65" s="194"/>
      <c r="N65" s="194"/>
      <c r="O65" s="194"/>
      <c r="P65" s="194"/>
      <c r="Q65" s="211"/>
      <c r="R65" s="211"/>
      <c r="S65" s="211"/>
      <c r="T65" s="211"/>
      <c r="U65" s="211"/>
      <c r="V65" s="211"/>
      <c r="W65" s="211"/>
      <c r="X65" s="211"/>
      <c r="Y65" s="211"/>
      <c r="Z65" s="211"/>
      <c r="AA65" s="211"/>
      <c r="AB65" s="211"/>
      <c r="AC65" s="211"/>
      <c r="AD65" s="211"/>
      <c r="AE65" s="211"/>
      <c r="AF65" s="211"/>
      <c r="AG65" s="211"/>
      <c r="AH65" s="211"/>
      <c r="AI65" s="211"/>
      <c r="AJ65" s="211"/>
      <c r="AK65" s="211"/>
      <c r="AL65" s="211"/>
      <c r="AM65" s="211"/>
      <c r="AN65" s="211"/>
      <c r="AO65" s="211"/>
      <c r="AP65" s="211"/>
      <c r="AQ65" s="194"/>
      <c r="AR65" s="194"/>
      <c r="AS65" s="194"/>
      <c r="AT65" s="194"/>
      <c r="AU65" s="194"/>
      <c r="AV65" s="194"/>
      <c r="AW65" s="194"/>
      <c r="AX65" s="194"/>
      <c r="AY65" s="194"/>
      <c r="AZ65" s="194"/>
      <c r="BA65" s="194"/>
      <c r="BB65" s="194"/>
      <c r="BC65" s="194"/>
      <c r="BD65" s="194"/>
      <c r="BE65" s="194"/>
      <c r="BF65" s="194"/>
    </row>
    <row r="66" spans="1:60">
      <c r="A66" s="167" t="s">
        <v>25</v>
      </c>
      <c r="B66" s="167">
        <v>2.88</v>
      </c>
      <c r="L66" s="194">
        <f>B66/100*L$31/1/'RVO Forecast'!K6</f>
        <v>131433969.86209655</v>
      </c>
      <c r="M66" s="194"/>
      <c r="N66" s="194"/>
      <c r="O66" s="194"/>
      <c r="P66" s="194"/>
      <c r="Q66" s="211"/>
      <c r="R66" s="211"/>
      <c r="S66" s="211"/>
      <c r="T66" s="211"/>
      <c r="U66" s="211"/>
      <c r="V66" s="211"/>
      <c r="W66" s="211"/>
      <c r="X66" s="211"/>
      <c r="Y66" s="211"/>
      <c r="Z66" s="211"/>
      <c r="AA66" s="211"/>
      <c r="AB66" s="211"/>
      <c r="AC66" s="211"/>
      <c r="AD66" s="211"/>
      <c r="AE66" s="211"/>
      <c r="AF66" s="211"/>
      <c r="AG66" s="211"/>
      <c r="AH66" s="211"/>
      <c r="AI66" s="211"/>
      <c r="AJ66" s="211"/>
      <c r="AK66" s="211"/>
      <c r="AL66" s="211"/>
      <c r="AM66" s="211"/>
      <c r="AN66" s="211"/>
      <c r="AO66" s="211"/>
      <c r="AP66" s="211"/>
      <c r="AQ66" s="194"/>
      <c r="AR66" s="194"/>
      <c r="AS66" s="194"/>
      <c r="AT66" s="194"/>
      <c r="AU66" s="194"/>
      <c r="AV66" s="194"/>
      <c r="AW66" s="194"/>
      <c r="AX66" s="194"/>
      <c r="AY66" s="194"/>
      <c r="AZ66" s="194"/>
      <c r="BA66" s="194"/>
      <c r="BB66" s="194"/>
      <c r="BC66" s="194"/>
      <c r="BD66" s="194"/>
      <c r="BE66" s="194"/>
      <c r="BF66" s="194"/>
      <c r="BH66" s="167">
        <f>B66/100*'RVO Forecast'!K$8</f>
        <v>493343999.99999994</v>
      </c>
    </row>
    <row r="67" spans="1:60">
      <c r="A67" s="167" t="s">
        <v>26</v>
      </c>
      <c r="B67" s="167">
        <v>11.46</v>
      </c>
      <c r="L67" s="194">
        <f>B67/100*L$31</f>
        <v>818244000</v>
      </c>
      <c r="M67" s="194"/>
      <c r="N67" s="194"/>
      <c r="O67" s="194"/>
      <c r="P67" s="194"/>
      <c r="Q67" s="211"/>
      <c r="R67" s="211"/>
      <c r="S67" s="211"/>
      <c r="T67" s="211"/>
      <c r="U67" s="211"/>
      <c r="V67" s="211"/>
      <c r="W67" s="211"/>
      <c r="X67" s="211"/>
      <c r="Y67" s="211"/>
      <c r="Z67" s="211"/>
      <c r="AA67" s="211"/>
      <c r="AB67" s="211"/>
      <c r="AC67" s="211"/>
      <c r="AD67" s="211"/>
      <c r="AE67" s="211"/>
      <c r="AF67" s="211"/>
      <c r="AG67" s="211"/>
      <c r="AH67" s="211"/>
      <c r="AI67" s="211"/>
      <c r="AJ67" s="211"/>
      <c r="AK67" s="211"/>
      <c r="AL67" s="211"/>
      <c r="AM67" s="211"/>
      <c r="AN67" s="211"/>
      <c r="AO67" s="211"/>
      <c r="AP67" s="211"/>
      <c r="AQ67" s="194"/>
      <c r="AR67" s="194"/>
      <c r="AS67" s="194"/>
      <c r="AT67" s="194"/>
      <c r="AU67" s="194"/>
      <c r="AV67" s="194"/>
      <c r="AW67" s="194"/>
      <c r="AX67" s="194"/>
      <c r="AY67" s="194"/>
      <c r="AZ67" s="194"/>
      <c r="BA67" s="194"/>
      <c r="BB67" s="194"/>
      <c r="BC67" s="194"/>
      <c r="BD67" s="194"/>
      <c r="BE67" s="194"/>
      <c r="BF67" s="194"/>
      <c r="BH67" s="167">
        <f>B67/100*'RVO Forecast'!K$8</f>
        <v>1963098000</v>
      </c>
    </row>
    <row r="68" spans="1:60">
      <c r="A68" s="167" t="s">
        <v>27</v>
      </c>
      <c r="B68" s="167">
        <f>BH68*100</f>
        <v>8.5800000000000018</v>
      </c>
      <c r="L68" s="194">
        <f>B68/100*L$31</f>
        <v>612612000.00000012</v>
      </c>
      <c r="M68" s="194"/>
      <c r="N68" s="194"/>
      <c r="O68" s="194"/>
      <c r="P68" s="194"/>
      <c r="Q68" s="211"/>
      <c r="R68" s="211"/>
      <c r="S68" s="211"/>
      <c r="T68" s="211"/>
      <c r="U68" s="211"/>
      <c r="V68" s="211"/>
      <c r="W68" s="211"/>
      <c r="X68" s="211"/>
      <c r="Y68" s="211"/>
      <c r="Z68" s="211"/>
      <c r="AA68" s="211"/>
      <c r="AB68" s="211"/>
      <c r="AC68" s="211"/>
      <c r="AD68" s="211"/>
      <c r="AE68" s="211"/>
      <c r="AF68" s="211"/>
      <c r="AG68" s="211"/>
      <c r="AH68" s="211"/>
      <c r="AI68" s="211"/>
      <c r="AJ68" s="211"/>
      <c r="AK68" s="211"/>
      <c r="AL68" s="211"/>
      <c r="AM68" s="211"/>
      <c r="AN68" s="211"/>
      <c r="AO68" s="211"/>
      <c r="AP68" s="211"/>
      <c r="AQ68" s="194"/>
      <c r="AR68" s="194"/>
      <c r="AS68" s="194"/>
      <c r="AT68" s="194"/>
      <c r="AU68" s="194"/>
      <c r="AV68" s="194"/>
      <c r="AW68" s="194"/>
      <c r="AX68" s="194"/>
      <c r="AY68" s="194"/>
      <c r="AZ68" s="194"/>
      <c r="BA68" s="194"/>
      <c r="BB68" s="194"/>
      <c r="BC68" s="194"/>
      <c r="BD68" s="194"/>
      <c r="BE68" s="194"/>
      <c r="BF68" s="194"/>
      <c r="BH68" s="167">
        <f>(BH67-BH66)/'RVO Forecast'!K$8</f>
        <v>8.5800000000000015E-2</v>
      </c>
    </row>
    <row r="69" spans="1:60">
      <c r="Q69" s="212"/>
      <c r="R69" s="212"/>
      <c r="S69" s="212"/>
      <c r="T69" s="212"/>
      <c r="U69" s="212"/>
      <c r="V69" s="212"/>
      <c r="W69" s="212"/>
      <c r="X69" s="212"/>
      <c r="Y69" s="212"/>
      <c r="Z69" s="212"/>
      <c r="AA69" s="212"/>
      <c r="AB69" s="212"/>
      <c r="AC69" s="212"/>
      <c r="AD69" s="212"/>
      <c r="AE69" s="212"/>
      <c r="AF69" s="212"/>
      <c r="AG69" s="212"/>
      <c r="AH69" s="212"/>
      <c r="AI69" s="212"/>
      <c r="AJ69" s="212"/>
      <c r="AK69" s="212"/>
      <c r="AL69" s="212"/>
      <c r="AM69" s="212"/>
      <c r="AN69" s="212"/>
      <c r="AO69" s="212"/>
      <c r="AP69" s="212"/>
    </row>
    <row r="70" spans="1:60">
      <c r="A70" s="167" t="s">
        <v>43</v>
      </c>
      <c r="Q70" s="212"/>
      <c r="R70" s="212"/>
      <c r="S70" s="212"/>
      <c r="T70" s="212"/>
      <c r="U70" s="212"/>
      <c r="V70" s="212"/>
      <c r="W70" s="212"/>
      <c r="X70" s="212"/>
      <c r="Y70" s="212"/>
      <c r="Z70" s="212"/>
      <c r="AA70" s="212"/>
      <c r="AB70" s="212"/>
      <c r="AC70" s="212"/>
      <c r="AD70" s="212"/>
      <c r="AE70" s="212"/>
      <c r="AF70" s="212"/>
      <c r="AG70" s="212"/>
      <c r="AH70" s="212"/>
      <c r="AI70" s="212"/>
      <c r="AJ70" s="212"/>
      <c r="AK70" s="212"/>
      <c r="AL70" s="212"/>
      <c r="AM70" s="212"/>
      <c r="AN70" s="212"/>
      <c r="AO70" s="212"/>
      <c r="AP70" s="212"/>
    </row>
    <row r="71" spans="1:60">
      <c r="A71" s="167" t="s">
        <v>23</v>
      </c>
      <c r="B71" s="167">
        <v>0.31</v>
      </c>
    </row>
    <row r="72" spans="1:60">
      <c r="A72" s="167" t="s">
        <v>24</v>
      </c>
      <c r="B72" s="167">
        <v>2.06</v>
      </c>
    </row>
    <row r="73" spans="1:60">
      <c r="A73" s="167" t="s">
        <v>25</v>
      </c>
      <c r="B73" s="167">
        <v>2.85</v>
      </c>
      <c r="BH73" s="167">
        <f>B73/100*'RVO Forecast'!K$8</f>
        <v>488204999.99999994</v>
      </c>
    </row>
    <row r="74" spans="1:60">
      <c r="A74" s="167" t="s">
        <v>26</v>
      </c>
      <c r="B74" s="167">
        <v>11.35</v>
      </c>
      <c r="BH74" s="167">
        <f>B74/100*'RVO Forecast'!K$8</f>
        <v>1944254999.9999995</v>
      </c>
    </row>
    <row r="75" spans="1:60">
      <c r="A75" s="167" t="s">
        <v>27</v>
      </c>
      <c r="B75" s="167">
        <f>BH75*100</f>
        <v>8.4999999999999982</v>
      </c>
      <c r="BH75" s="167">
        <f>(BH74-BH73)/'RVO Forecast'!K$8</f>
        <v>8.4999999999999978E-2</v>
      </c>
    </row>
  </sheetData>
  <mergeCells count="1">
    <mergeCell ref="AQ11:BG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994B4-7372-43DE-BBBE-46758D3074C5}">
  <dimension ref="A1:AO64"/>
  <sheetViews>
    <sheetView workbookViewId="0">
      <pane xSplit="2" ySplit="2" topLeftCell="H3" activePane="bottomRight" state="frozen"/>
      <selection activeCell="AD6" sqref="AD6"/>
      <selection pane="topRight" activeCell="AD6" sqref="AD6"/>
      <selection pane="bottomLeft" activeCell="AD6" sqref="AD6"/>
      <selection pane="bottomRight" activeCell="AD6" sqref="AD6"/>
    </sheetView>
  </sheetViews>
  <sheetFormatPr defaultColWidth="8.7109375" defaultRowHeight="13.5"/>
  <cols>
    <col min="1" max="1" width="39.140625" style="8" bestFit="1" customWidth="1"/>
    <col min="2" max="2" width="11.85546875" style="8" bestFit="1" customWidth="1"/>
    <col min="3" max="18" width="18.140625" style="8" customWidth="1"/>
    <col min="19" max="19" width="9.85546875" style="8" bestFit="1" customWidth="1"/>
    <col min="20" max="16384" width="8.7109375" style="8"/>
  </cols>
  <sheetData>
    <row r="1" spans="1:41" ht="21">
      <c r="A1" s="7" t="s">
        <v>44</v>
      </c>
    </row>
    <row r="2" spans="1:41">
      <c r="C2" s="8">
        <f>'RVO Forecast'!B1</f>
        <v>2011</v>
      </c>
      <c r="D2" s="8">
        <f>'RVO Forecast'!C1</f>
        <v>2012</v>
      </c>
      <c r="E2" s="8">
        <f>'RVO Forecast'!D1</f>
        <v>2013</v>
      </c>
      <c r="F2" s="8">
        <f>'RVO Forecast'!E1</f>
        <v>2014</v>
      </c>
      <c r="G2" s="8">
        <f>'RVO Forecast'!F1</f>
        <v>2015</v>
      </c>
      <c r="H2" s="8">
        <f>'RVO Forecast'!G1</f>
        <v>2016</v>
      </c>
      <c r="I2" s="8">
        <f>'RVO Forecast'!H1</f>
        <v>2017</v>
      </c>
      <c r="J2" s="8">
        <f>'RVO Forecast'!I1</f>
        <v>2018</v>
      </c>
      <c r="K2" s="8">
        <f>'RVO Forecast'!J1</f>
        <v>2019</v>
      </c>
      <c r="L2" s="8">
        <f>'RVO Forecast'!K1</f>
        <v>2020</v>
      </c>
      <c r="M2" s="8">
        <f>'RVO Forecast'!L1</f>
        <v>2021</v>
      </c>
      <c r="N2" s="8">
        <f>'RVO Forecast'!M1</f>
        <v>2022</v>
      </c>
      <c r="O2" s="8">
        <f>'RVO Forecast'!N1</f>
        <v>2023</v>
      </c>
      <c r="P2" s="8">
        <f>'RVO Forecast'!O1</f>
        <v>2024</v>
      </c>
      <c r="Q2" s="8">
        <f>'RVO Forecast'!P1</f>
        <v>2025</v>
      </c>
      <c r="R2" s="8">
        <f>'RVO Forecast'!Q1</f>
        <v>2026</v>
      </c>
    </row>
    <row r="3" spans="1:41">
      <c r="B3" s="9" t="s">
        <v>45</v>
      </c>
      <c r="C3" s="10">
        <f>'RVO Forecast'!B8</f>
        <v>13950000000</v>
      </c>
      <c r="D3" s="10">
        <f>'RVO Forecast'!C8</f>
        <v>15200000000</v>
      </c>
      <c r="E3" s="10">
        <f>'RVO Forecast'!D8</f>
        <v>16550000000</v>
      </c>
      <c r="F3" s="10">
        <f>'RVO Forecast'!E8</f>
        <v>16280000000</v>
      </c>
      <c r="G3" s="10">
        <f>'RVO Forecast'!F8</f>
        <v>16930000000</v>
      </c>
      <c r="H3" s="10">
        <f>'RVO Forecast'!G8</f>
        <v>18110000000</v>
      </c>
      <c r="I3" s="10">
        <f>'RVO Forecast'!H8</f>
        <v>19280000000</v>
      </c>
      <c r="J3" s="10">
        <f>'RVO Forecast'!I8</f>
        <v>19290000000</v>
      </c>
      <c r="K3" s="10">
        <f>'RVO Forecast'!J8</f>
        <v>19920000000</v>
      </c>
      <c r="L3" s="10">
        <f>'RVO Forecast'!K8</f>
        <v>17129999999.999998</v>
      </c>
      <c r="M3" s="10">
        <f>'RVO Forecast'!L8</f>
        <v>18840000000</v>
      </c>
      <c r="N3" s="10">
        <f>'RVO Forecast'!M8</f>
        <v>20630000000</v>
      </c>
      <c r="O3" s="10">
        <f>'RVO Forecast'!N8</f>
        <v>20940000000</v>
      </c>
      <c r="P3" s="10">
        <f>'RVO Forecast'!O8</f>
        <v>21540000000</v>
      </c>
      <c r="Q3" s="10">
        <f>'RVO Forecast'!P8</f>
        <v>22330000000</v>
      </c>
      <c r="R3" s="10">
        <f>'RVO Forecast'!Q8</f>
        <v>24020000000</v>
      </c>
      <c r="S3" s="10"/>
      <c r="T3" s="10"/>
      <c r="U3" s="10"/>
      <c r="V3" s="10"/>
      <c r="W3" s="10"/>
      <c r="X3" s="10"/>
      <c r="Y3" s="10"/>
      <c r="Z3" s="10"/>
      <c r="AA3" s="10"/>
      <c r="AB3" s="10"/>
      <c r="AC3" s="10"/>
      <c r="AD3" s="10"/>
      <c r="AE3" s="10"/>
      <c r="AF3" s="10"/>
      <c r="AG3" s="10"/>
      <c r="AH3" s="10"/>
      <c r="AI3" s="10"/>
      <c r="AJ3" s="10"/>
      <c r="AK3" s="10"/>
      <c r="AL3" s="10"/>
      <c r="AM3" s="10"/>
      <c r="AN3" s="10"/>
      <c r="AO3" s="10"/>
    </row>
    <row r="4" spans="1:41">
      <c r="B4" s="9" t="s">
        <v>46</v>
      </c>
      <c r="C4" s="10">
        <v>1350000000</v>
      </c>
      <c r="D4" s="10">
        <v>2000000000</v>
      </c>
      <c r="E4" s="10">
        <v>2750000000</v>
      </c>
      <c r="F4" s="10">
        <v>2670000000</v>
      </c>
      <c r="G4" s="10">
        <v>2880000000</v>
      </c>
      <c r="H4" s="10">
        <v>3610000000</v>
      </c>
      <c r="I4" s="10">
        <v>4280000000</v>
      </c>
      <c r="J4" s="10">
        <f>'[2]10 Year RFS Curves (2020)'!C$20*1000000000</f>
        <v>4290000000</v>
      </c>
      <c r="K4" s="10">
        <f>'[2]10 Year RFS Curves (2020)'!D$20*1000000000</f>
        <v>4920000000</v>
      </c>
      <c r="L4" s="10">
        <f>'[2]10 Year RFS Curves (2020)'!E$20*1000000000</f>
        <v>4630000000</v>
      </c>
      <c r="M4" s="10">
        <f>'[2]10 Year RFS Curves (2020)'!F$20*1000000000</f>
        <v>5050000000</v>
      </c>
      <c r="N4" s="10">
        <f>'[2]10 Year RFS Curves (2020)'!G$20*1000000000</f>
        <v>5630000000</v>
      </c>
      <c r="O4" s="10">
        <f>'[2]10 Year RFS Curves (2020)'!H$20*1000000000</f>
        <v>5940000000</v>
      </c>
      <c r="P4" s="10">
        <f>'[2]10 Year RFS Curves (2020)'!I$20*1000000000</f>
        <v>6540000000</v>
      </c>
      <c r="Q4" s="10">
        <f>'[2]10 Year RFS Curves (2020)'!J$20*1000000000</f>
        <v>7330000000</v>
      </c>
      <c r="R4" s="10">
        <f>'[2]10 Year RFS Curves (2020)'!K$20*1000000000</f>
        <v>9020000000</v>
      </c>
      <c r="S4" s="10"/>
      <c r="T4" s="10"/>
      <c r="U4" s="10"/>
      <c r="V4" s="10"/>
      <c r="W4" s="10"/>
      <c r="X4" s="10"/>
      <c r="Y4" s="10"/>
      <c r="Z4" s="10"/>
      <c r="AA4" s="10"/>
      <c r="AB4" s="10"/>
      <c r="AC4" s="10"/>
      <c r="AD4" s="10"/>
      <c r="AE4" s="10"/>
      <c r="AF4" s="10"/>
      <c r="AG4" s="10"/>
      <c r="AH4" s="10"/>
      <c r="AI4" s="10"/>
      <c r="AJ4" s="10"/>
      <c r="AK4" s="10"/>
      <c r="AL4" s="10"/>
      <c r="AM4" s="10"/>
      <c r="AN4" s="10"/>
      <c r="AO4" s="10"/>
    </row>
    <row r="5" spans="1:41">
      <c r="B5" s="9" t="s">
        <v>47</v>
      </c>
      <c r="C5" s="10">
        <f>'RVO Forecast'!B10</f>
        <v>800000000</v>
      </c>
      <c r="D5" s="10">
        <f>'RVO Forecast'!C10</f>
        <v>1000000000</v>
      </c>
      <c r="E5" s="10">
        <f>'RVO Forecast'!D10</f>
        <v>1280000000</v>
      </c>
      <c r="F5" s="10">
        <f>'RVO Forecast'!E10</f>
        <v>1630000000</v>
      </c>
      <c r="G5" s="10">
        <f>'RVO Forecast'!F10</f>
        <v>1730000000</v>
      </c>
      <c r="H5" s="10">
        <f>'RVO Forecast'!G10</f>
        <v>1900000000</v>
      </c>
      <c r="I5" s="10">
        <f>'RVO Forecast'!H10</f>
        <v>2000000000</v>
      </c>
      <c r="J5" s="10">
        <f>'RVO Forecast'!I10</f>
        <v>2100000000</v>
      </c>
      <c r="K5" s="10">
        <f>'RVO Forecast'!J10</f>
        <v>2100000000</v>
      </c>
      <c r="L5" s="10">
        <f>'RVO Forecast'!K10</f>
        <v>2430000000</v>
      </c>
      <c r="M5" s="10">
        <f>'RVO Forecast'!L10</f>
        <v>2430000000</v>
      </c>
      <c r="N5" s="10">
        <f>'RVO Forecast'!M10</f>
        <v>2760000000</v>
      </c>
      <c r="O5" s="10">
        <f>'RVO Forecast'!N10</f>
        <v>2820000000</v>
      </c>
      <c r="P5" s="10">
        <f>'RVO Forecast'!O10</f>
        <v>3040000000</v>
      </c>
      <c r="Q5" s="10">
        <f>'RVO Forecast'!P10</f>
        <v>3500000000</v>
      </c>
      <c r="R5" s="10">
        <f>'RVO Forecast'!Q10</f>
        <v>7120000000</v>
      </c>
    </row>
    <row r="6" spans="1:41">
      <c r="B6" s="9" t="s">
        <v>48</v>
      </c>
      <c r="C6" s="10">
        <f>'RVO Forecast'!B14</f>
        <v>0</v>
      </c>
      <c r="D6" s="10">
        <f>'RVO Forecast'!C14</f>
        <v>0</v>
      </c>
      <c r="E6" s="10">
        <f>'RVO Forecast'!D14</f>
        <v>800000</v>
      </c>
      <c r="F6" s="10">
        <f>'RVO Forecast'!E14</f>
        <v>33000000</v>
      </c>
      <c r="G6" s="10">
        <f>'RVO Forecast'!F14</f>
        <v>123000000</v>
      </c>
      <c r="H6" s="10">
        <f>'RVO Forecast'!G14</f>
        <v>230000000</v>
      </c>
      <c r="I6" s="10">
        <f>'RVO Forecast'!H14</f>
        <v>311000000</v>
      </c>
      <c r="J6" s="10">
        <f>'RVO Forecast'!I14</f>
        <v>288000000</v>
      </c>
      <c r="K6" s="10">
        <f>'RVO Forecast'!J14</f>
        <v>418000000</v>
      </c>
      <c r="L6" s="10">
        <f>'RVO Forecast'!K14</f>
        <v>510000000</v>
      </c>
      <c r="M6" s="10">
        <f>'RVO Forecast'!L14</f>
        <v>560000000</v>
      </c>
      <c r="N6" s="10">
        <f>'RVO Forecast'!M14</f>
        <v>630000000</v>
      </c>
      <c r="O6" s="10">
        <f>'RVO Forecast'!N14</f>
        <v>840000000</v>
      </c>
      <c r="P6" s="10">
        <f>'RVO Forecast'!O14</f>
        <v>1090000000</v>
      </c>
      <c r="Q6" s="10">
        <f>'RVO Forecast'!P14</f>
        <v>1380000000</v>
      </c>
      <c r="R6" s="10">
        <f>'RVO Forecast'!Q14</f>
        <v>1300000000</v>
      </c>
    </row>
    <row r="7" spans="1:41">
      <c r="B7" s="9" t="s">
        <v>49</v>
      </c>
      <c r="C7" s="10">
        <f>C3-C4-C5-C6</f>
        <v>11800000000</v>
      </c>
      <c r="D7" s="10">
        <f t="shared" ref="D7:R7" si="0">D3-D4-D5-D6</f>
        <v>12200000000</v>
      </c>
      <c r="E7" s="10">
        <f t="shared" si="0"/>
        <v>12519200000</v>
      </c>
      <c r="F7" s="10">
        <f t="shared" si="0"/>
        <v>11947000000</v>
      </c>
      <c r="G7" s="10">
        <f t="shared" si="0"/>
        <v>12197000000</v>
      </c>
      <c r="H7" s="10">
        <f t="shared" si="0"/>
        <v>12370000000</v>
      </c>
      <c r="I7" s="10">
        <f t="shared" si="0"/>
        <v>12689000000</v>
      </c>
      <c r="J7" s="10">
        <f t="shared" si="0"/>
        <v>12612000000</v>
      </c>
      <c r="K7" s="10">
        <f t="shared" si="0"/>
        <v>12482000000</v>
      </c>
      <c r="L7" s="10">
        <f t="shared" si="0"/>
        <v>9559999999.9999981</v>
      </c>
      <c r="M7" s="10">
        <f t="shared" si="0"/>
        <v>10800000000</v>
      </c>
      <c r="N7" s="10">
        <f t="shared" si="0"/>
        <v>11610000000</v>
      </c>
      <c r="O7" s="10">
        <f t="shared" si="0"/>
        <v>11340000000</v>
      </c>
      <c r="P7" s="10">
        <f t="shared" si="0"/>
        <v>10870000000</v>
      </c>
      <c r="Q7" s="10">
        <f t="shared" si="0"/>
        <v>10120000000</v>
      </c>
      <c r="R7" s="10">
        <f t="shared" si="0"/>
        <v>6580000000</v>
      </c>
    </row>
    <row r="8" spans="1:41">
      <c r="B8" s="9" t="s">
        <v>50</v>
      </c>
      <c r="C8" s="10">
        <v>0</v>
      </c>
      <c r="D8" s="10">
        <v>0</v>
      </c>
      <c r="E8" s="10">
        <v>0</v>
      </c>
      <c r="F8" s="10">
        <v>0</v>
      </c>
      <c r="G8" s="10">
        <v>0</v>
      </c>
      <c r="H8" s="10">
        <v>0</v>
      </c>
      <c r="I8" s="10">
        <v>0</v>
      </c>
      <c r="J8" s="10">
        <v>0</v>
      </c>
      <c r="K8" s="10">
        <v>0</v>
      </c>
      <c r="L8" s="10">
        <v>0</v>
      </c>
      <c r="M8" s="10">
        <v>0</v>
      </c>
      <c r="N8" s="10">
        <v>250000000</v>
      </c>
      <c r="O8" s="10">
        <v>0</v>
      </c>
      <c r="P8" s="10">
        <v>0</v>
      </c>
      <c r="Q8" s="10">
        <v>0</v>
      </c>
      <c r="R8" s="10">
        <v>0</v>
      </c>
    </row>
    <row r="9" spans="1:41">
      <c r="B9" s="9" t="s">
        <v>51</v>
      </c>
      <c r="C9" s="10">
        <f>C14</f>
        <v>138000000000</v>
      </c>
      <c r="D9" s="10">
        <f t="shared" ref="D9:R9" si="1">D14</f>
        <v>139000000000</v>
      </c>
      <c r="E9" s="10">
        <f t="shared" si="1"/>
        <v>137000000000</v>
      </c>
      <c r="F9" s="10">
        <f t="shared" si="1"/>
        <v>135000000000</v>
      </c>
      <c r="G9" s="10">
        <f t="shared" si="1"/>
        <v>134000000000</v>
      </c>
      <c r="H9" s="10">
        <f t="shared" si="1"/>
        <v>135000000000</v>
      </c>
      <c r="I9" s="10">
        <f t="shared" si="1"/>
        <v>136000000000</v>
      </c>
      <c r="J9" s="10">
        <f t="shared" si="1"/>
        <v>137000000000</v>
      </c>
      <c r="K9" s="10">
        <f t="shared" si="1"/>
        <v>137000000000</v>
      </c>
      <c r="L9" s="10">
        <f t="shared" si="1"/>
        <v>125000000000</v>
      </c>
      <c r="M9" s="10">
        <f t="shared" si="1"/>
        <v>130000000000</v>
      </c>
      <c r="N9" s="10">
        <f t="shared" si="1"/>
        <v>135000000000</v>
      </c>
      <c r="O9" s="10">
        <f t="shared" si="1"/>
        <v>140000000000</v>
      </c>
      <c r="P9" s="10">
        <f t="shared" si="1"/>
        <v>141000000000</v>
      </c>
      <c r="Q9" s="10">
        <f t="shared" si="1"/>
        <v>142000000000</v>
      </c>
      <c r="R9" s="10">
        <f t="shared" si="1"/>
        <v>0</v>
      </c>
    </row>
    <row r="10" spans="1:41">
      <c r="B10" s="9" t="s">
        <v>52</v>
      </c>
      <c r="C10" s="10">
        <f>'[1]Monthly Gallon Summary'!C$304</f>
        <v>13802805925</v>
      </c>
      <c r="D10" s="10">
        <f>'[1]Monthly Gallon Summary'!D$304</f>
        <v>13590204834</v>
      </c>
      <c r="E10" s="10">
        <f>'[1]Monthly Gallon Summary'!E$304</f>
        <v>13557221593</v>
      </c>
      <c r="F10" s="10">
        <f>'[1]Monthly Gallon Summary'!F$304</f>
        <v>14145535990</v>
      </c>
      <c r="G10" s="10">
        <f>'[1]Monthly Gallon Summary'!G$304</f>
        <v>14649144465</v>
      </c>
      <c r="H10" s="10">
        <f>'[1]Monthly Gallon Summary'!H$304</f>
        <v>14978434370</v>
      </c>
      <c r="I10" s="10">
        <f>'[1]Monthly Gallon Summary'!I$304</f>
        <v>15214237066</v>
      </c>
      <c r="J10" s="10">
        <f>'[1]Monthly Gallon Summary'!J$304</f>
        <v>15381973558</v>
      </c>
      <c r="K10" s="10">
        <f>'[1]Monthly Gallon Summary'!K$304</f>
        <v>15364011726</v>
      </c>
      <c r="L10" s="10">
        <f>'[1]Monthly Gallon Summary'!L$304</f>
        <v>13571703077</v>
      </c>
      <c r="M10" s="10">
        <f>'[1]Monthly Gallon Summary'!M$304</f>
        <v>14777604054</v>
      </c>
      <c r="N10" s="10">
        <f>'[1]Monthly Gallon Summary'!N$304</f>
        <v>15201590957</v>
      </c>
      <c r="O10" s="10">
        <f>'[1]Monthly Gallon Summary'!O$304</f>
        <v>15504637870</v>
      </c>
      <c r="P10" s="10">
        <f>'[1]Monthly Gallon Summary'!P$304</f>
        <v>15817376377</v>
      </c>
      <c r="Q10" s="10">
        <f>'[1]Monthly Gallon Summary'!Q$304</f>
        <v>15271969238.086517</v>
      </c>
      <c r="R10" s="10">
        <f>'[1]Monthly Gallon Summary'!R$304</f>
        <v>15472584728.187359</v>
      </c>
    </row>
    <row r="11" spans="1:41">
      <c r="B11" s="9" t="s">
        <v>53</v>
      </c>
      <c r="C11" s="10">
        <f>'Small Refinery Exemptions'!C38</f>
        <v>0</v>
      </c>
      <c r="D11" s="10">
        <f>'Small Refinery Exemptions'!D38</f>
        <v>0</v>
      </c>
      <c r="E11" s="10">
        <f>'Small Refinery Exemptions'!E38</f>
        <v>160776000</v>
      </c>
      <c r="F11" s="10">
        <f>'Small Refinery Exemptions'!F38</f>
        <v>176639999.99999997</v>
      </c>
      <c r="G11" s="10">
        <f>'Small Refinery Exemptions'!G38</f>
        <v>242530000.00000006</v>
      </c>
      <c r="H11" s="10">
        <f>'Small Refinery Exemptions'!H38</f>
        <v>632638000</v>
      </c>
      <c r="I11" s="10">
        <f>'Small Refinery Exemptions'!I38</f>
        <v>1418560000</v>
      </c>
      <c r="J11" s="10">
        <f>'Small Refinery Exemptions'!J38</f>
        <v>1415836000</v>
      </c>
      <c r="K11" s="10">
        <f>'Small Refinery Exemptions'!K38</f>
        <v>1098580000</v>
      </c>
      <c r="L11" s="10">
        <f>'Small Refinery Exemptions'!L38</f>
        <v>563346000</v>
      </c>
      <c r="M11" s="10">
        <f>'Small Refinery Exemptions'!M38</f>
        <v>662571000</v>
      </c>
      <c r="N11" s="10">
        <f>'Small Refinery Exemptions'!N38</f>
        <v>534705000</v>
      </c>
      <c r="O11" s="10">
        <f>'Small Refinery Exemptions'!O38</f>
        <v>479920000</v>
      </c>
      <c r="P11" s="10">
        <f>'Small Refinery Exemptions'!P38</f>
        <v>506922000</v>
      </c>
      <c r="Q11" s="10">
        <f>'Small Refinery Exemptions'!Q38</f>
        <v>588294000</v>
      </c>
      <c r="R11" s="10">
        <f>'Small Refinery Exemptions'!R38</f>
        <v>647549875.14611137</v>
      </c>
    </row>
    <row r="12" spans="1:41">
      <c r="B12" s="9" t="s">
        <v>54</v>
      </c>
      <c r="C12" s="10">
        <f>C10-C11</f>
        <v>13802805925</v>
      </c>
      <c r="D12" s="10">
        <f t="shared" ref="D12:R12" si="2">D10-D11</f>
        <v>13590204834</v>
      </c>
      <c r="E12" s="10">
        <f t="shared" si="2"/>
        <v>13396445593</v>
      </c>
      <c r="F12" s="10">
        <f t="shared" si="2"/>
        <v>13968895990</v>
      </c>
      <c r="G12" s="10">
        <f t="shared" si="2"/>
        <v>14406614465</v>
      </c>
      <c r="H12" s="10">
        <f t="shared" si="2"/>
        <v>14345796370</v>
      </c>
      <c r="I12" s="10">
        <f t="shared" si="2"/>
        <v>13795677066</v>
      </c>
      <c r="J12" s="10">
        <f t="shared" si="2"/>
        <v>13966137558</v>
      </c>
      <c r="K12" s="10">
        <f t="shared" si="2"/>
        <v>14265431726</v>
      </c>
      <c r="L12" s="10">
        <f t="shared" si="2"/>
        <v>13008357077</v>
      </c>
      <c r="M12" s="10">
        <f t="shared" si="2"/>
        <v>14115033054</v>
      </c>
      <c r="N12" s="10">
        <f t="shared" si="2"/>
        <v>14666885957</v>
      </c>
      <c r="O12" s="10">
        <f t="shared" si="2"/>
        <v>15024717870</v>
      </c>
      <c r="P12" s="10">
        <f t="shared" si="2"/>
        <v>15310454377</v>
      </c>
      <c r="Q12" s="10">
        <f t="shared" si="2"/>
        <v>14683675238.086517</v>
      </c>
      <c r="R12" s="10">
        <f t="shared" si="2"/>
        <v>14825034853.041248</v>
      </c>
    </row>
    <row r="13" spans="1:41">
      <c r="B13" s="9" t="s">
        <v>55</v>
      </c>
      <c r="C13" s="10">
        <f>C9-C12</f>
        <v>124197194075</v>
      </c>
      <c r="D13" s="10">
        <f t="shared" ref="D13:R13" si="3">D9-D12</f>
        <v>125409795166</v>
      </c>
      <c r="E13" s="10">
        <f t="shared" si="3"/>
        <v>123603554407</v>
      </c>
      <c r="F13" s="10">
        <f t="shared" si="3"/>
        <v>121031104010</v>
      </c>
      <c r="G13" s="10">
        <f t="shared" si="3"/>
        <v>119593385535</v>
      </c>
      <c r="H13" s="10">
        <f t="shared" si="3"/>
        <v>120654203630</v>
      </c>
      <c r="I13" s="10">
        <f t="shared" si="3"/>
        <v>122204322934</v>
      </c>
      <c r="J13" s="10">
        <f t="shared" si="3"/>
        <v>123033862442</v>
      </c>
      <c r="K13" s="10">
        <f t="shared" si="3"/>
        <v>122734568274</v>
      </c>
      <c r="L13" s="10">
        <f t="shared" si="3"/>
        <v>111991642923</v>
      </c>
      <c r="M13" s="10">
        <f t="shared" si="3"/>
        <v>115884966946</v>
      </c>
      <c r="N13" s="10">
        <f t="shared" si="3"/>
        <v>120333114043</v>
      </c>
      <c r="O13" s="10">
        <f t="shared" si="3"/>
        <v>124975282130</v>
      </c>
      <c r="P13" s="10">
        <f t="shared" si="3"/>
        <v>125689545623</v>
      </c>
      <c r="Q13" s="10">
        <f t="shared" si="3"/>
        <v>127316324761.91348</v>
      </c>
      <c r="R13" s="10">
        <f t="shared" si="3"/>
        <v>-14825034853.041248</v>
      </c>
    </row>
    <row r="14" spans="1:41">
      <c r="B14" s="11" t="s">
        <v>56</v>
      </c>
      <c r="C14" s="10">
        <v>138000000000</v>
      </c>
      <c r="D14" s="10">
        <v>139000000000</v>
      </c>
      <c r="E14" s="10">
        <v>137000000000</v>
      </c>
      <c r="F14" s="10">
        <v>135000000000</v>
      </c>
      <c r="G14" s="10">
        <v>134000000000</v>
      </c>
      <c r="H14" s="10">
        <v>135000000000</v>
      </c>
      <c r="I14" s="10">
        <v>136000000000</v>
      </c>
      <c r="J14" s="10">
        <v>137000000000</v>
      </c>
      <c r="K14" s="10">
        <v>137000000000</v>
      </c>
      <c r="L14" s="10">
        <v>125000000000</v>
      </c>
      <c r="M14" s="10">
        <v>130000000000</v>
      </c>
      <c r="N14" s="10">
        <v>135000000000</v>
      </c>
      <c r="O14" s="10">
        <v>140000000000</v>
      </c>
      <c r="P14" s="10">
        <v>141000000000</v>
      </c>
      <c r="Q14" s="10">
        <v>142000000000</v>
      </c>
      <c r="R14" s="10"/>
    </row>
    <row r="15" spans="1:41">
      <c r="B15" s="11" t="s">
        <v>57</v>
      </c>
      <c r="C15" s="10">
        <v>50000000000</v>
      </c>
      <c r="D15" s="10">
        <v>51000000000</v>
      </c>
      <c r="E15" s="10">
        <v>52000000000</v>
      </c>
      <c r="F15" s="10">
        <v>53000000000</v>
      </c>
      <c r="G15" s="10">
        <v>54000000000</v>
      </c>
      <c r="H15" s="10">
        <v>54000000000</v>
      </c>
      <c r="I15" s="10">
        <v>55000000000</v>
      </c>
      <c r="J15" s="10">
        <v>55000000000</v>
      </c>
      <c r="K15" s="10">
        <v>55000000000</v>
      </c>
      <c r="L15" s="10">
        <v>60000000000</v>
      </c>
      <c r="M15" s="10">
        <v>52000000000</v>
      </c>
      <c r="N15" s="10">
        <v>54000000000</v>
      </c>
      <c r="O15" s="10">
        <v>56000000000</v>
      </c>
      <c r="P15" s="10">
        <v>57000000000</v>
      </c>
      <c r="Q15" s="10">
        <v>58000000000</v>
      </c>
      <c r="R15" s="10"/>
    </row>
    <row r="17" spans="2:18">
      <c r="B17" s="12" t="s">
        <v>58</v>
      </c>
    </row>
    <row r="18" spans="2:18">
      <c r="B18" s="8" t="s">
        <v>59</v>
      </c>
      <c r="C18" s="10">
        <f>C15</f>
        <v>50000000000</v>
      </c>
      <c r="D18" s="10">
        <f t="shared" ref="D18:Q18" si="4">D15</f>
        <v>51000000000</v>
      </c>
      <c r="E18" s="10">
        <f t="shared" si="4"/>
        <v>52000000000</v>
      </c>
      <c r="F18" s="10">
        <f t="shared" si="4"/>
        <v>53000000000</v>
      </c>
      <c r="G18" s="10">
        <f t="shared" si="4"/>
        <v>54000000000</v>
      </c>
      <c r="H18" s="10">
        <f t="shared" si="4"/>
        <v>54000000000</v>
      </c>
      <c r="I18" s="10">
        <f t="shared" si="4"/>
        <v>55000000000</v>
      </c>
      <c r="J18" s="10">
        <f t="shared" si="4"/>
        <v>55000000000</v>
      </c>
      <c r="K18" s="10">
        <f t="shared" si="4"/>
        <v>55000000000</v>
      </c>
      <c r="L18" s="10">
        <f t="shared" si="4"/>
        <v>60000000000</v>
      </c>
      <c r="M18" s="10">
        <f t="shared" si="4"/>
        <v>52000000000</v>
      </c>
      <c r="N18" s="10">
        <f t="shared" si="4"/>
        <v>54000000000</v>
      </c>
      <c r="O18" s="10">
        <f t="shared" si="4"/>
        <v>56000000000</v>
      </c>
      <c r="P18" s="10">
        <f t="shared" si="4"/>
        <v>57000000000</v>
      </c>
      <c r="Q18" s="10">
        <f t="shared" si="4"/>
        <v>58000000000</v>
      </c>
      <c r="R18" s="10">
        <f>FORECAST(R2,C18:Q18,C2:Q2)</f>
        <v>57885714285.714355</v>
      </c>
    </row>
    <row r="19" spans="2:18">
      <c r="B19" s="9" t="s">
        <v>60</v>
      </c>
      <c r="C19" s="10">
        <f>'[1]Monthly Gallon Summary'!C$176</f>
        <v>1143591192</v>
      </c>
      <c r="D19" s="10">
        <f>'[1]Monthly Gallon Summary'!D$176</f>
        <v>1159850473</v>
      </c>
      <c r="E19" s="10">
        <f>'[1]Monthly Gallon Summary'!E$176</f>
        <v>1987866219</v>
      </c>
      <c r="F19" s="10">
        <f>'[1]Monthly Gallon Summary'!F$176</f>
        <v>1976615894</v>
      </c>
      <c r="G19" s="10">
        <f>'[1]Monthly Gallon Summary'!G$176</f>
        <v>2103082154</v>
      </c>
      <c r="H19" s="10">
        <f>'[1]Monthly Gallon Summary'!H$176</f>
        <v>2898448908</v>
      </c>
      <c r="I19" s="10">
        <f>'[1]Monthly Gallon Summary'!I$176</f>
        <v>2652888204</v>
      </c>
      <c r="J19" s="10">
        <f>'[1]Monthly Gallon Summary'!J$176</f>
        <v>2645925155</v>
      </c>
      <c r="K19" s="10">
        <f>'[1]Monthly Gallon Summary'!K$176</f>
        <v>2808649811</v>
      </c>
      <c r="L19" s="10">
        <f>'[1]Monthly Gallon Summary'!L$176</f>
        <v>3001159813</v>
      </c>
      <c r="M19" s="10">
        <f>'[1]Monthly Gallon Summary'!M$176</f>
        <v>3211226926</v>
      </c>
      <c r="N19" s="10">
        <f>'[1]Monthly Gallon Summary'!N$176</f>
        <v>3741651213</v>
      </c>
      <c r="O19" s="10">
        <f>'[1]Monthly Gallon Summary'!O$176</f>
        <v>5063581916</v>
      </c>
      <c r="P19" s="10">
        <f>'[1]Monthly Gallon Summary'!P$176</f>
        <v>5634980835</v>
      </c>
      <c r="Q19" s="10">
        <f>'[1]Monthly Gallon Summary'!Q$176</f>
        <v>4700349336.2851629</v>
      </c>
      <c r="R19" s="10">
        <f>'[1]Monthly Gallon Summary'!R$176</f>
        <v>4615176519.150053</v>
      </c>
    </row>
    <row r="20" spans="2:18">
      <c r="B20" s="9" t="s">
        <v>61</v>
      </c>
      <c r="C20" s="10">
        <f>'Small Refinery Exemptions'!C35</f>
        <v>5662444.444444444</v>
      </c>
      <c r="D20" s="10">
        <f>'Small Refinery Exemptions'!D35</f>
        <v>339746666.66666663</v>
      </c>
      <c r="E20" s="10">
        <f>'Small Refinery Exemptions'!E35</f>
        <v>14916000</v>
      </c>
      <c r="F20" s="10">
        <f>'Small Refinery Exemptions'!F35</f>
        <v>21620000</v>
      </c>
      <c r="G20" s="10">
        <f>'Small Refinery Exemptions'!G35</f>
        <v>30495333.333333332</v>
      </c>
      <c r="H20" s="10">
        <f>'Small Refinery Exemptions'!H35</f>
        <v>82892000</v>
      </c>
      <c r="I20" s="10">
        <f>'Small Refinery Exemptions'!I35</f>
        <v>189823333.33333334</v>
      </c>
      <c r="J20" s="10">
        <f>'Small Refinery Exemptions'!J35</f>
        <v>196179332.99999997</v>
      </c>
      <c r="K20" s="10">
        <f>'Small Refinery Exemptions'!K35</f>
        <v>147029536.29102895</v>
      </c>
      <c r="L20" s="10">
        <f>'Small Refinery Exemptions'!L35</f>
        <v>99960000</v>
      </c>
      <c r="M20" s="10">
        <f>'Small Refinery Exemptions'!M35</f>
        <v>116496000</v>
      </c>
      <c r="N20" s="10">
        <f>'Small Refinery Exemptions'!N35</f>
        <v>100190000</v>
      </c>
      <c r="O20" s="10">
        <f>'Small Refinery Exemptions'!O35</f>
        <v>96320000</v>
      </c>
      <c r="P20" s="10">
        <f>'Small Refinery Exemptions'!P35</f>
        <v>109416000</v>
      </c>
      <c r="Q20" s="10">
        <f>'Small Refinery Exemptions'!Q35</f>
        <v>140070000</v>
      </c>
      <c r="R20" s="10">
        <f>'Small Refinery Exemptions'!R35</f>
        <v>270411542.69227296</v>
      </c>
    </row>
    <row r="21" spans="2:18">
      <c r="B21" s="9" t="s">
        <v>62</v>
      </c>
      <c r="C21" s="10">
        <f>C19-C20</f>
        <v>1137928747.5555556</v>
      </c>
      <c r="D21" s="10">
        <f t="shared" ref="D21:R21" si="5">D19-D20</f>
        <v>820103806.33333337</v>
      </c>
      <c r="E21" s="10">
        <f t="shared" si="5"/>
        <v>1972950219</v>
      </c>
      <c r="F21" s="10">
        <f t="shared" si="5"/>
        <v>1954995894</v>
      </c>
      <c r="G21" s="10">
        <f t="shared" si="5"/>
        <v>2072586820.6666667</v>
      </c>
      <c r="H21" s="10">
        <f t="shared" si="5"/>
        <v>2815556908</v>
      </c>
      <c r="I21" s="10">
        <f t="shared" si="5"/>
        <v>2463064870.6666665</v>
      </c>
      <c r="J21" s="10">
        <f t="shared" si="5"/>
        <v>2449745822</v>
      </c>
      <c r="K21" s="10">
        <f t="shared" si="5"/>
        <v>2661620274.708971</v>
      </c>
      <c r="L21" s="10">
        <f t="shared" si="5"/>
        <v>2901199813</v>
      </c>
      <c r="M21" s="10">
        <f t="shared" si="5"/>
        <v>3094730926</v>
      </c>
      <c r="N21" s="10">
        <f t="shared" si="5"/>
        <v>3641461213</v>
      </c>
      <c r="O21" s="10">
        <f t="shared" si="5"/>
        <v>4967261916</v>
      </c>
      <c r="P21" s="10">
        <f t="shared" si="5"/>
        <v>5525564835</v>
      </c>
      <c r="Q21" s="10">
        <f t="shared" si="5"/>
        <v>4560279336.2851629</v>
      </c>
      <c r="R21" s="10">
        <f t="shared" si="5"/>
        <v>4344764976.4577799</v>
      </c>
    </row>
    <row r="22" spans="2:18">
      <c r="B22" s="9" t="s">
        <v>63</v>
      </c>
      <c r="C22" s="10">
        <f>C18-C21</f>
        <v>48862071252.444443</v>
      </c>
      <c r="D22" s="10">
        <f t="shared" ref="D22:R22" si="6">D18-D21</f>
        <v>50179896193.666664</v>
      </c>
      <c r="E22" s="10">
        <f t="shared" si="6"/>
        <v>50027049781</v>
      </c>
      <c r="F22" s="10">
        <f t="shared" si="6"/>
        <v>51045004106</v>
      </c>
      <c r="G22" s="10">
        <f t="shared" si="6"/>
        <v>51927413179.333336</v>
      </c>
      <c r="H22" s="10">
        <f t="shared" si="6"/>
        <v>51184443092</v>
      </c>
      <c r="I22" s="10">
        <f t="shared" si="6"/>
        <v>52536935129.333336</v>
      </c>
      <c r="J22" s="10">
        <f t="shared" si="6"/>
        <v>52550254178</v>
      </c>
      <c r="K22" s="10">
        <f t="shared" si="6"/>
        <v>52338379725.291031</v>
      </c>
      <c r="L22" s="10">
        <f t="shared" si="6"/>
        <v>57098800187</v>
      </c>
      <c r="M22" s="10">
        <f t="shared" si="6"/>
        <v>48905269074</v>
      </c>
      <c r="N22" s="10">
        <f t="shared" si="6"/>
        <v>50358538787</v>
      </c>
      <c r="O22" s="10">
        <f t="shared" si="6"/>
        <v>51032738084</v>
      </c>
      <c r="P22" s="10">
        <f t="shared" si="6"/>
        <v>51474435165</v>
      </c>
      <c r="Q22" s="10">
        <f t="shared" si="6"/>
        <v>53439720663.714836</v>
      </c>
      <c r="R22" s="10">
        <f t="shared" si="6"/>
        <v>53540949309.256577</v>
      </c>
    </row>
    <row r="23" spans="2:18">
      <c r="C23" s="10"/>
      <c r="D23" s="10"/>
      <c r="E23" s="10"/>
      <c r="F23" s="10"/>
      <c r="G23" s="10"/>
      <c r="H23" s="10"/>
      <c r="I23" s="10"/>
      <c r="J23" s="10"/>
      <c r="K23" s="10"/>
      <c r="L23" s="10"/>
      <c r="M23" s="10"/>
      <c r="N23" s="10"/>
      <c r="O23" s="10"/>
      <c r="P23" s="10"/>
      <c r="Q23" s="10"/>
    </row>
    <row r="24" spans="2:18">
      <c r="B24" s="9" t="s">
        <v>64</v>
      </c>
      <c r="C24" s="10">
        <f t="shared" ref="C24:Q24" si="7">C22+C13</f>
        <v>173059265327.44446</v>
      </c>
      <c r="D24" s="10">
        <f t="shared" si="7"/>
        <v>175589691359.66666</v>
      </c>
      <c r="E24" s="10">
        <f t="shared" si="7"/>
        <v>173630604188</v>
      </c>
      <c r="F24" s="10">
        <f t="shared" si="7"/>
        <v>172076108116</v>
      </c>
      <c r="G24" s="10">
        <f t="shared" si="7"/>
        <v>171520798714.33334</v>
      </c>
      <c r="H24" s="10">
        <f t="shared" si="7"/>
        <v>171838646722</v>
      </c>
      <c r="I24" s="10">
        <f t="shared" si="7"/>
        <v>174741258063.33334</v>
      </c>
      <c r="J24" s="10">
        <f t="shared" si="7"/>
        <v>175584116620</v>
      </c>
      <c r="K24" s="10">
        <f t="shared" si="7"/>
        <v>175072947999.29102</v>
      </c>
      <c r="L24" s="10">
        <f t="shared" si="7"/>
        <v>169090443110</v>
      </c>
      <c r="M24" s="10">
        <f t="shared" si="7"/>
        <v>164790236020</v>
      </c>
      <c r="N24" s="10">
        <f t="shared" si="7"/>
        <v>170691652830</v>
      </c>
      <c r="O24" s="10">
        <f t="shared" si="7"/>
        <v>176008020214</v>
      </c>
      <c r="P24" s="10">
        <f t="shared" si="7"/>
        <v>177163980788</v>
      </c>
      <c r="Q24" s="10">
        <f t="shared" si="7"/>
        <v>180756045425.62833</v>
      </c>
      <c r="R24" s="10">
        <f>R22+R13</f>
        <v>38715914456.215332</v>
      </c>
    </row>
    <row r="25" spans="2:18">
      <c r="B25" s="9" t="s">
        <v>65</v>
      </c>
      <c r="C25" s="10"/>
      <c r="D25" s="10"/>
      <c r="E25" s="10"/>
      <c r="F25" s="10"/>
      <c r="G25" s="10"/>
      <c r="H25" s="10"/>
      <c r="I25" s="13">
        <f t="shared" ref="I25:R25" si="8">I3/I24</f>
        <v>0.11033456101713622</v>
      </c>
      <c r="J25" s="13">
        <f t="shared" si="8"/>
        <v>0.10986187345036176</v>
      </c>
      <c r="K25" s="13">
        <f t="shared" si="8"/>
        <v>0.11378114224751998</v>
      </c>
      <c r="L25" s="13">
        <f t="shared" si="8"/>
        <v>0.10130673079410087</v>
      </c>
      <c r="M25" s="13">
        <f t="shared" si="8"/>
        <v>0.11432716194249189</v>
      </c>
      <c r="N25" s="13">
        <f t="shared" si="8"/>
        <v>0.1208612117696605</v>
      </c>
      <c r="O25" s="13">
        <f t="shared" si="8"/>
        <v>0.11897185125166469</v>
      </c>
      <c r="P25" s="13">
        <f t="shared" si="8"/>
        <v>0.12158227594679893</v>
      </c>
      <c r="Q25" s="13">
        <f t="shared" si="8"/>
        <v>0.1235366703637452</v>
      </c>
      <c r="R25" s="13">
        <f t="shared" si="8"/>
        <v>0.62041670298566087</v>
      </c>
    </row>
    <row r="26" spans="2:18">
      <c r="B26" s="12" t="s">
        <v>66</v>
      </c>
      <c r="C26" s="10"/>
      <c r="D26" s="10"/>
      <c r="E26" s="10"/>
      <c r="F26" s="10"/>
      <c r="G26" s="10"/>
      <c r="H26" s="10"/>
      <c r="I26" s="10"/>
      <c r="J26" s="10"/>
      <c r="K26" s="10"/>
      <c r="L26" s="10"/>
      <c r="M26" s="10"/>
      <c r="N26" s="10"/>
      <c r="O26" s="10"/>
      <c r="P26" s="10"/>
      <c r="Q26" s="10"/>
    </row>
    <row r="27" spans="2:18">
      <c r="B27" s="9" t="s">
        <v>67</v>
      </c>
      <c r="C27" s="10">
        <f>C6</f>
        <v>0</v>
      </c>
      <c r="D27" s="10">
        <f t="shared" ref="D27:R27" si="9">D6</f>
        <v>0</v>
      </c>
      <c r="E27" s="10">
        <f t="shared" si="9"/>
        <v>800000</v>
      </c>
      <c r="F27" s="10">
        <f t="shared" si="9"/>
        <v>33000000</v>
      </c>
      <c r="G27" s="10">
        <f t="shared" si="9"/>
        <v>123000000</v>
      </c>
      <c r="H27" s="10">
        <f t="shared" si="9"/>
        <v>230000000</v>
      </c>
      <c r="I27" s="10">
        <f t="shared" si="9"/>
        <v>311000000</v>
      </c>
      <c r="J27" s="10">
        <f t="shared" si="9"/>
        <v>288000000</v>
      </c>
      <c r="K27" s="10">
        <f t="shared" si="9"/>
        <v>418000000</v>
      </c>
      <c r="L27" s="10">
        <f t="shared" si="9"/>
        <v>510000000</v>
      </c>
      <c r="M27" s="10">
        <f t="shared" si="9"/>
        <v>560000000</v>
      </c>
      <c r="N27" s="10">
        <f t="shared" si="9"/>
        <v>630000000</v>
      </c>
      <c r="O27" s="10">
        <f t="shared" si="9"/>
        <v>840000000</v>
      </c>
      <c r="P27" s="10">
        <f t="shared" si="9"/>
        <v>1090000000</v>
      </c>
      <c r="Q27" s="10">
        <f t="shared" si="9"/>
        <v>1380000000</v>
      </c>
      <c r="R27" s="10">
        <f t="shared" si="9"/>
        <v>1300000000</v>
      </c>
    </row>
    <row r="28" spans="2:18">
      <c r="B28" s="9" t="s">
        <v>24</v>
      </c>
      <c r="C28" s="10">
        <f>C5</f>
        <v>800000000</v>
      </c>
      <c r="D28" s="10">
        <f t="shared" ref="D28:R28" si="10">D5</f>
        <v>1000000000</v>
      </c>
      <c r="E28" s="10">
        <f t="shared" si="10"/>
        <v>1280000000</v>
      </c>
      <c r="F28" s="10">
        <f t="shared" si="10"/>
        <v>1630000000</v>
      </c>
      <c r="G28" s="10">
        <f t="shared" si="10"/>
        <v>1730000000</v>
      </c>
      <c r="H28" s="10">
        <f t="shared" si="10"/>
        <v>1900000000</v>
      </c>
      <c r="I28" s="10">
        <f t="shared" si="10"/>
        <v>2000000000</v>
      </c>
      <c r="J28" s="10">
        <f t="shared" si="10"/>
        <v>2100000000</v>
      </c>
      <c r="K28" s="10">
        <f t="shared" si="10"/>
        <v>2100000000</v>
      </c>
      <c r="L28" s="10">
        <f t="shared" si="10"/>
        <v>2430000000</v>
      </c>
      <c r="M28" s="10">
        <f t="shared" si="10"/>
        <v>2430000000</v>
      </c>
      <c r="N28" s="10">
        <f t="shared" si="10"/>
        <v>2760000000</v>
      </c>
      <c r="O28" s="10">
        <f t="shared" si="10"/>
        <v>2820000000</v>
      </c>
      <c r="P28" s="10">
        <f t="shared" si="10"/>
        <v>3040000000</v>
      </c>
      <c r="Q28" s="10">
        <f t="shared" si="10"/>
        <v>3500000000</v>
      </c>
      <c r="R28" s="10">
        <f t="shared" si="10"/>
        <v>7120000000</v>
      </c>
    </row>
    <row r="29" spans="2:18">
      <c r="B29" s="9" t="s">
        <v>68</v>
      </c>
      <c r="C29" s="10">
        <f>C4</f>
        <v>1350000000</v>
      </c>
      <c r="D29" s="10">
        <f t="shared" ref="D29:R29" si="11">D4</f>
        <v>2000000000</v>
      </c>
      <c r="E29" s="10">
        <f t="shared" si="11"/>
        <v>2750000000</v>
      </c>
      <c r="F29" s="10">
        <f t="shared" si="11"/>
        <v>2670000000</v>
      </c>
      <c r="G29" s="10">
        <f t="shared" si="11"/>
        <v>2880000000</v>
      </c>
      <c r="H29" s="10">
        <f t="shared" si="11"/>
        <v>3610000000</v>
      </c>
      <c r="I29" s="10">
        <f t="shared" si="11"/>
        <v>4280000000</v>
      </c>
      <c r="J29" s="10">
        <f t="shared" si="11"/>
        <v>4290000000</v>
      </c>
      <c r="K29" s="10">
        <f t="shared" si="11"/>
        <v>4920000000</v>
      </c>
      <c r="L29" s="10">
        <f t="shared" si="11"/>
        <v>4630000000</v>
      </c>
      <c r="M29" s="10">
        <f t="shared" si="11"/>
        <v>5050000000</v>
      </c>
      <c r="N29" s="10">
        <f t="shared" si="11"/>
        <v>5630000000</v>
      </c>
      <c r="O29" s="10">
        <f t="shared" si="11"/>
        <v>5940000000</v>
      </c>
      <c r="P29" s="10">
        <f t="shared" si="11"/>
        <v>6540000000</v>
      </c>
      <c r="Q29" s="10">
        <f t="shared" si="11"/>
        <v>7330000000</v>
      </c>
      <c r="R29" s="10">
        <f t="shared" si="11"/>
        <v>9020000000</v>
      </c>
    </row>
    <row r="30" spans="2:18">
      <c r="B30" s="9" t="s">
        <v>5</v>
      </c>
      <c r="C30" s="10">
        <f>C3</f>
        <v>13950000000</v>
      </c>
      <c r="D30" s="10">
        <f t="shared" ref="D30:R30" si="12">D3</f>
        <v>15200000000</v>
      </c>
      <c r="E30" s="10">
        <f t="shared" si="12"/>
        <v>16550000000</v>
      </c>
      <c r="F30" s="10">
        <f t="shared" si="12"/>
        <v>16280000000</v>
      </c>
      <c r="G30" s="10">
        <f t="shared" si="12"/>
        <v>16930000000</v>
      </c>
      <c r="H30" s="10">
        <f t="shared" si="12"/>
        <v>18110000000</v>
      </c>
      <c r="I30" s="10">
        <f t="shared" si="12"/>
        <v>19280000000</v>
      </c>
      <c r="J30" s="10">
        <f t="shared" si="12"/>
        <v>19290000000</v>
      </c>
      <c r="K30" s="10">
        <f t="shared" si="12"/>
        <v>19920000000</v>
      </c>
      <c r="L30" s="10">
        <f t="shared" si="12"/>
        <v>17129999999.999998</v>
      </c>
      <c r="M30" s="10">
        <f t="shared" si="12"/>
        <v>18840000000</v>
      </c>
      <c r="N30" s="10">
        <f t="shared" si="12"/>
        <v>20630000000</v>
      </c>
      <c r="O30" s="10">
        <f t="shared" si="12"/>
        <v>20940000000</v>
      </c>
      <c r="P30" s="10">
        <f t="shared" si="12"/>
        <v>21540000000</v>
      </c>
      <c r="Q30" s="10">
        <f t="shared" si="12"/>
        <v>22330000000</v>
      </c>
      <c r="R30" s="10">
        <f t="shared" si="12"/>
        <v>24020000000</v>
      </c>
    </row>
    <row r="31" spans="2:18">
      <c r="B31" s="9" t="s">
        <v>69</v>
      </c>
      <c r="C31" s="10">
        <f>'RVO Forecast'!B49</f>
        <v>12600000000</v>
      </c>
      <c r="D31" s="10">
        <f>'RVO Forecast'!C49</f>
        <v>13200000000</v>
      </c>
      <c r="E31" s="10">
        <f>'RVO Forecast'!D49</f>
        <v>13880000000</v>
      </c>
      <c r="F31" s="10">
        <f>'RVO Forecast'!E49</f>
        <v>13610000000</v>
      </c>
      <c r="G31" s="10">
        <f>'RVO Forecast'!F49</f>
        <v>14050000000</v>
      </c>
      <c r="H31" s="10">
        <f>'RVO Forecast'!G49</f>
        <v>14500000000</v>
      </c>
      <c r="I31" s="10">
        <f>'RVO Forecast'!H49</f>
        <v>15000000000</v>
      </c>
      <c r="J31" s="10">
        <f>'RVO Forecast'!I49</f>
        <v>15000000000</v>
      </c>
      <c r="K31" s="10">
        <f>'RVO Forecast'!J49</f>
        <v>15000000000</v>
      </c>
      <c r="L31" s="10">
        <f>'RVO Forecast'!K49</f>
        <v>12499999999.999998</v>
      </c>
      <c r="M31" s="10">
        <f>'RVO Forecast'!L49</f>
        <v>13790000000</v>
      </c>
      <c r="N31" s="10">
        <f>'RVO Forecast'!M49</f>
        <v>14999999999.999998</v>
      </c>
      <c r="O31" s="10">
        <f>'RVO Forecast'!N49</f>
        <v>15250000000</v>
      </c>
      <c r="P31" s="10">
        <f>'RVO Forecast'!O49</f>
        <v>15000000000</v>
      </c>
      <c r="Q31" s="10">
        <f>'RVO Forecast'!P49</f>
        <v>15000000000</v>
      </c>
      <c r="R31" s="10">
        <f>'RVO Forecast'!Q49</f>
        <v>14999999999.999996</v>
      </c>
    </row>
    <row r="32" spans="2:18">
      <c r="B32" s="8" t="s">
        <v>70</v>
      </c>
      <c r="C32" s="10">
        <f>C8</f>
        <v>0</v>
      </c>
      <c r="D32" s="10">
        <f t="shared" ref="D32:R32" si="13">D8</f>
        <v>0</v>
      </c>
      <c r="E32" s="10">
        <f t="shared" si="13"/>
        <v>0</v>
      </c>
      <c r="F32" s="10">
        <f t="shared" si="13"/>
        <v>0</v>
      </c>
      <c r="G32" s="10">
        <f t="shared" si="13"/>
        <v>0</v>
      </c>
      <c r="H32" s="10">
        <f t="shared" si="13"/>
        <v>0</v>
      </c>
      <c r="I32" s="10">
        <f t="shared" si="13"/>
        <v>0</v>
      </c>
      <c r="J32" s="10">
        <f t="shared" si="13"/>
        <v>0</v>
      </c>
      <c r="K32" s="10">
        <f t="shared" si="13"/>
        <v>0</v>
      </c>
      <c r="L32" s="10">
        <f t="shared" si="13"/>
        <v>0</v>
      </c>
      <c r="M32" s="10">
        <f t="shared" si="13"/>
        <v>0</v>
      </c>
      <c r="N32" s="10">
        <f t="shared" si="13"/>
        <v>250000000</v>
      </c>
      <c r="O32" s="10">
        <f t="shared" si="13"/>
        <v>0</v>
      </c>
      <c r="P32" s="10">
        <f t="shared" si="13"/>
        <v>0</v>
      </c>
      <c r="Q32" s="10">
        <f t="shared" si="13"/>
        <v>0</v>
      </c>
      <c r="R32" s="10">
        <f t="shared" si="13"/>
        <v>0</v>
      </c>
    </row>
    <row r="33" spans="1:18">
      <c r="C33" s="10"/>
      <c r="D33" s="10"/>
      <c r="E33" s="10"/>
      <c r="F33" s="10"/>
      <c r="G33" s="10"/>
      <c r="H33" s="10"/>
      <c r="I33" s="10"/>
      <c r="J33" s="10"/>
      <c r="K33" s="10"/>
      <c r="L33" s="10"/>
      <c r="M33" s="10"/>
      <c r="N33" s="10"/>
      <c r="O33" s="10"/>
      <c r="P33" s="10"/>
      <c r="Q33" s="10"/>
    </row>
    <row r="34" spans="1:18">
      <c r="B34" s="9" t="s">
        <v>71</v>
      </c>
      <c r="C34" s="10"/>
      <c r="D34" s="10"/>
      <c r="E34" s="10"/>
      <c r="F34" s="10"/>
      <c r="G34" s="10"/>
      <c r="H34" s="10"/>
      <c r="I34" s="10"/>
      <c r="J34" s="10"/>
      <c r="K34" s="10"/>
      <c r="L34" s="10"/>
      <c r="M34" s="10"/>
      <c r="N34" s="10"/>
      <c r="O34" s="10"/>
      <c r="P34" s="10"/>
      <c r="Q34" s="10"/>
    </row>
    <row r="35" spans="1:18">
      <c r="B35" s="9" t="s">
        <v>67</v>
      </c>
      <c r="C35" s="13">
        <f>C27/C24</f>
        <v>0</v>
      </c>
      <c r="D35" s="13">
        <f t="shared" ref="D35:R35" si="14">D27/D24</f>
        <v>0</v>
      </c>
      <c r="E35" s="13">
        <f t="shared" si="14"/>
        <v>4.6074826712795012E-6</v>
      </c>
      <c r="F35" s="13">
        <f t="shared" si="14"/>
        <v>1.9177560651100983E-4</v>
      </c>
      <c r="G35" s="13">
        <f t="shared" si="14"/>
        <v>7.1711419793966567E-4</v>
      </c>
      <c r="H35" s="13">
        <f t="shared" si="14"/>
        <v>1.3384649168710764E-3</v>
      </c>
      <c r="I35" s="13">
        <f t="shared" si="14"/>
        <v>1.7797742985648012E-3</v>
      </c>
      <c r="J35" s="13">
        <f t="shared" si="14"/>
        <v>1.6402394791966918E-3</v>
      </c>
      <c r="K35" s="13">
        <f t="shared" si="14"/>
        <v>2.3875761776839034E-3</v>
      </c>
      <c r="L35" s="13">
        <f t="shared" si="14"/>
        <v>3.0161373441326008E-3</v>
      </c>
      <c r="M35" s="13">
        <f t="shared" si="14"/>
        <v>3.3982595906473173E-3</v>
      </c>
      <c r="N35" s="13">
        <f t="shared" si="14"/>
        <v>3.6908658950502238E-3</v>
      </c>
      <c r="O35" s="13">
        <f t="shared" si="14"/>
        <v>4.7725097923303891E-3</v>
      </c>
      <c r="P35" s="13">
        <f t="shared" si="14"/>
        <v>6.1524921440116453E-3</v>
      </c>
      <c r="Q35" s="13">
        <f t="shared" si="14"/>
        <v>7.6345994223899856E-3</v>
      </c>
      <c r="R35" s="13">
        <f t="shared" si="14"/>
        <v>3.3577923142437932E-2</v>
      </c>
    </row>
    <row r="36" spans="1:18">
      <c r="B36" s="9" t="s">
        <v>72</v>
      </c>
      <c r="C36" s="13">
        <f>C28/C24</f>
        <v>4.6226938412475315E-3</v>
      </c>
      <c r="D36" s="13">
        <f t="shared" ref="D36:R36" si="15">D28/D24</f>
        <v>5.6950951519794185E-3</v>
      </c>
      <c r="E36" s="13">
        <f t="shared" si="15"/>
        <v>7.3719722740472017E-3</v>
      </c>
      <c r="F36" s="13">
        <f t="shared" si="15"/>
        <v>9.4725526852407881E-3</v>
      </c>
      <c r="G36" s="13">
        <f t="shared" si="15"/>
        <v>1.0086240345005054E-2</v>
      </c>
      <c r="H36" s="13">
        <f t="shared" si="15"/>
        <v>1.1056884095891501E-2</v>
      </c>
      <c r="I36" s="13">
        <f t="shared" si="15"/>
        <v>1.1445493881445666E-2</v>
      </c>
      <c r="J36" s="13">
        <f t="shared" si="15"/>
        <v>1.1960079535809211E-2</v>
      </c>
      <c r="K36" s="13">
        <f t="shared" si="15"/>
        <v>1.1994999935732529E-2</v>
      </c>
      <c r="L36" s="13">
        <f t="shared" si="15"/>
        <v>1.437100734557298E-2</v>
      </c>
      <c r="M36" s="13">
        <f t="shared" si="15"/>
        <v>1.4746019295130324E-2</v>
      </c>
      <c r="N36" s="13">
        <f t="shared" si="15"/>
        <v>1.6169507730696218E-2</v>
      </c>
      <c r="O36" s="13">
        <f t="shared" si="15"/>
        <v>1.6021997159966304E-2</v>
      </c>
      <c r="P36" s="13">
        <f t="shared" si="15"/>
        <v>1.7159244144766422E-2</v>
      </c>
      <c r="Q36" s="13">
        <f t="shared" si="15"/>
        <v>1.936311447707605E-2</v>
      </c>
      <c r="R36" s="13">
        <f t="shared" si="15"/>
        <v>0.18390370213396773</v>
      </c>
    </row>
    <row r="37" spans="1:18">
      <c r="B37" s="9" t="s">
        <v>68</v>
      </c>
      <c r="C37" s="13">
        <f>C29/C24</f>
        <v>7.8007958571052098E-3</v>
      </c>
      <c r="D37" s="13">
        <f t="shared" ref="D37:R37" si="16">D29/D24</f>
        <v>1.1390190303958837E-2</v>
      </c>
      <c r="E37" s="13">
        <f t="shared" si="16"/>
        <v>1.5838221682523284E-2</v>
      </c>
      <c r="F37" s="13">
        <f t="shared" si="16"/>
        <v>1.551638998134534E-2</v>
      </c>
      <c r="G37" s="13">
        <f t="shared" si="16"/>
        <v>1.6790966585904368E-2</v>
      </c>
      <c r="H37" s="13">
        <f t="shared" si="16"/>
        <v>2.100807978219385E-2</v>
      </c>
      <c r="I37" s="13">
        <f t="shared" si="16"/>
        <v>2.4493356906293725E-2</v>
      </c>
      <c r="J37" s="13">
        <f t="shared" si="16"/>
        <v>2.4432733908867389E-2</v>
      </c>
      <c r="K37" s="13">
        <f t="shared" si="16"/>
        <v>2.8102571278001923E-2</v>
      </c>
      <c r="L37" s="13">
        <f t="shared" si="16"/>
        <v>2.738179588889008E-2</v>
      </c>
      <c r="M37" s="13">
        <f t="shared" si="16"/>
        <v>3.06450195228017E-2</v>
      </c>
      <c r="N37" s="13">
        <f t="shared" si="16"/>
        <v>3.2983452363702793E-2</v>
      </c>
      <c r="O37" s="13">
        <f t="shared" si="16"/>
        <v>3.3748462102907752E-2</v>
      </c>
      <c r="P37" s="13">
        <f t="shared" si="16"/>
        <v>3.6914952864069872E-2</v>
      </c>
      <c r="Q37" s="13">
        <f t="shared" si="16"/>
        <v>4.0551894033419272E-2</v>
      </c>
      <c r="R37" s="13">
        <f t="shared" si="16"/>
        <v>0.23297912826522318</v>
      </c>
    </row>
    <row r="38" spans="1:18">
      <c r="B38" s="9" t="s">
        <v>69</v>
      </c>
      <c r="C38" s="13">
        <f>C31/C24-SUM(C35:C37)</f>
        <v>6.0383938301295882E-2</v>
      </c>
      <c r="D38" s="13">
        <f t="shared" ref="D38:R38" si="17">D31/D24-SUM(D35:D37)</f>
        <v>5.8089970550190079E-2</v>
      </c>
      <c r="E38" s="13">
        <f t="shared" si="17"/>
        <v>5.6725022907457581E-2</v>
      </c>
      <c r="F38" s="13">
        <f t="shared" si="17"/>
        <v>5.3912190957655697E-2</v>
      </c>
      <c r="G38" s="13">
        <f t="shared" si="17"/>
        <v>5.4319942944746874E-2</v>
      </c>
      <c r="H38" s="13">
        <f t="shared" si="17"/>
        <v>5.0978055094741868E-2</v>
      </c>
      <c r="I38" s="13">
        <f t="shared" si="17"/>
        <v>4.8122579024538301E-2</v>
      </c>
      <c r="J38" s="13">
        <f t="shared" si="17"/>
        <v>4.7396086617621069E-2</v>
      </c>
      <c r="K38" s="13">
        <f t="shared" si="17"/>
        <v>4.3193423578099702E-2</v>
      </c>
      <c r="L38" s="13">
        <f t="shared" si="17"/>
        <v>2.9155994326615128E-2</v>
      </c>
      <c r="M38" s="13">
        <f t="shared" si="17"/>
        <v>3.4892844011110841E-2</v>
      </c>
      <c r="N38" s="13">
        <f t="shared" si="17"/>
        <v>3.5033933416508463E-2</v>
      </c>
      <c r="O38" s="13">
        <f t="shared" si="17"/>
        <v>3.2100809912698439E-2</v>
      </c>
      <c r="P38" s="13">
        <f t="shared" si="17"/>
        <v>2.444063392988112E-2</v>
      </c>
      <c r="Q38" s="13">
        <f t="shared" si="17"/>
        <v>1.5435168397440621E-2</v>
      </c>
      <c r="R38" s="13">
        <f t="shared" si="17"/>
        <v>-6.3023178821191295E-2</v>
      </c>
    </row>
    <row r="39" spans="1:18">
      <c r="B39" s="9" t="s">
        <v>73</v>
      </c>
      <c r="C39" s="14" t="e">
        <v>#N/A</v>
      </c>
      <c r="D39" s="14" t="e">
        <v>#N/A</v>
      </c>
      <c r="E39" s="14" t="e">
        <v>#N/A</v>
      </c>
      <c r="F39" s="14" t="e">
        <v>#N/A</v>
      </c>
      <c r="G39" s="14" t="e">
        <v>#N/A</v>
      </c>
      <c r="H39" s="14" t="e">
        <v>#N/A</v>
      </c>
      <c r="I39" s="14" t="e">
        <v>#N/A</v>
      </c>
      <c r="J39" s="14" t="e">
        <v>#N/A</v>
      </c>
      <c r="K39" s="14" t="e">
        <v>#N/A</v>
      </c>
      <c r="L39" s="14" t="e">
        <v>#N/A</v>
      </c>
      <c r="M39" s="14" t="e">
        <v>#N/A</v>
      </c>
      <c r="N39" s="14" t="e">
        <v>#N/A</v>
      </c>
      <c r="O39" s="14" t="e">
        <v>#N/A</v>
      </c>
      <c r="P39" s="14" t="e">
        <v>#N/A</v>
      </c>
      <c r="Q39" s="14" t="e">
        <v>#N/A</v>
      </c>
      <c r="R39" s="14" t="e">
        <v>#N/A</v>
      </c>
    </row>
    <row r="40" spans="1:18">
      <c r="B40" s="9" t="s">
        <v>5</v>
      </c>
      <c r="C40" s="13">
        <f>C30/C24</f>
        <v>8.0608223856753827E-2</v>
      </c>
      <c r="D40" s="13">
        <f t="shared" ref="D40:R40" si="18">D30/D24</f>
        <v>8.6565446310087169E-2</v>
      </c>
      <c r="E40" s="13">
        <f t="shared" si="18"/>
        <v>9.5317297762094688E-2</v>
      </c>
      <c r="F40" s="13">
        <f t="shared" si="18"/>
        <v>9.460929921209818E-2</v>
      </c>
      <c r="G40" s="13">
        <f t="shared" si="18"/>
        <v>9.8705230659500334E-2</v>
      </c>
      <c r="H40" s="13">
        <f t="shared" si="18"/>
        <v>0.10538956367189214</v>
      </c>
      <c r="I40" s="13">
        <f t="shared" si="18"/>
        <v>0.11033456101713622</v>
      </c>
      <c r="J40" s="13">
        <f t="shared" si="18"/>
        <v>0.10986187345036176</v>
      </c>
      <c r="K40" s="13">
        <f t="shared" si="18"/>
        <v>0.11378114224751998</v>
      </c>
      <c r="L40" s="13">
        <f t="shared" si="18"/>
        <v>0.10130673079410087</v>
      </c>
      <c r="M40" s="13">
        <f t="shared" si="18"/>
        <v>0.11432716194249189</v>
      </c>
      <c r="N40" s="13">
        <f t="shared" si="18"/>
        <v>0.1208612117696605</v>
      </c>
      <c r="O40" s="13">
        <f t="shared" si="18"/>
        <v>0.11897185125166469</v>
      </c>
      <c r="P40" s="13">
        <f t="shared" si="18"/>
        <v>0.12158227594679893</v>
      </c>
      <c r="Q40" s="13">
        <f t="shared" si="18"/>
        <v>0.1235366703637452</v>
      </c>
      <c r="R40" s="13">
        <f t="shared" si="18"/>
        <v>0.62041670298566087</v>
      </c>
    </row>
    <row r="41" spans="1:18">
      <c r="C41" s="10"/>
      <c r="D41" s="10"/>
      <c r="E41" s="10"/>
      <c r="F41" s="10"/>
      <c r="G41" s="10"/>
      <c r="H41" s="10"/>
      <c r="I41" s="10"/>
      <c r="J41" s="10"/>
      <c r="K41" s="10"/>
      <c r="L41" s="10"/>
      <c r="M41" s="10"/>
      <c r="N41" s="10"/>
      <c r="O41" s="10"/>
      <c r="P41" s="10"/>
      <c r="Q41" s="10"/>
    </row>
    <row r="42" spans="1:18" ht="21">
      <c r="A42" s="7" t="s">
        <v>74</v>
      </c>
    </row>
    <row r="43" spans="1:18">
      <c r="C43" s="8">
        <f>C2</f>
        <v>2011</v>
      </c>
      <c r="D43" s="8">
        <f t="shared" ref="D43:Q43" si="19">D2</f>
        <v>2012</v>
      </c>
      <c r="E43" s="8">
        <f t="shared" si="19"/>
        <v>2013</v>
      </c>
      <c r="F43" s="8">
        <f t="shared" si="19"/>
        <v>2014</v>
      </c>
      <c r="G43" s="8">
        <f t="shared" si="19"/>
        <v>2015</v>
      </c>
      <c r="H43" s="8">
        <f t="shared" si="19"/>
        <v>2016</v>
      </c>
      <c r="I43" s="8">
        <f t="shared" si="19"/>
        <v>2017</v>
      </c>
      <c r="J43" s="8">
        <f t="shared" si="19"/>
        <v>2018</v>
      </c>
      <c r="K43" s="8">
        <f t="shared" si="19"/>
        <v>2019</v>
      </c>
      <c r="L43" s="8">
        <f t="shared" si="19"/>
        <v>2020</v>
      </c>
      <c r="M43" s="8">
        <f t="shared" si="19"/>
        <v>2021</v>
      </c>
      <c r="N43" s="8">
        <f t="shared" si="19"/>
        <v>2022</v>
      </c>
      <c r="O43" s="8">
        <f t="shared" si="19"/>
        <v>2023</v>
      </c>
      <c r="P43" s="8">
        <f t="shared" si="19"/>
        <v>2024</v>
      </c>
      <c r="Q43" s="8">
        <f t="shared" si="19"/>
        <v>2025</v>
      </c>
    </row>
    <row r="44" spans="1:18">
      <c r="B44" s="9" t="s">
        <v>67</v>
      </c>
      <c r="C44" s="15"/>
      <c r="D44" s="15"/>
      <c r="E44" s="15"/>
      <c r="F44" s="15"/>
      <c r="G44" s="15"/>
      <c r="H44" s="15"/>
      <c r="I44" s="15"/>
      <c r="J44" s="15"/>
      <c r="K44" s="15"/>
      <c r="L44" s="15">
        <f>'Small Refinery Exemptions'!L25</f>
        <v>2.8999999999999998E-3</v>
      </c>
      <c r="M44" s="15">
        <f>'Small Refinery Exemptions'!M25</f>
        <v>3.3E-3</v>
      </c>
      <c r="N44" s="15">
        <f>'Small Refinery Exemptions'!N25</f>
        <v>3.5000000000000001E-3</v>
      </c>
      <c r="O44" s="15">
        <v>4.7999999999999996E-3</v>
      </c>
      <c r="P44" s="15">
        <v>6.3E-3</v>
      </c>
      <c r="Q44" s="15">
        <v>8.0999999999999996E-3</v>
      </c>
    </row>
    <row r="45" spans="1:18">
      <c r="B45" s="9" t="s">
        <v>72</v>
      </c>
      <c r="C45" s="15"/>
      <c r="D45" s="15"/>
      <c r="E45" s="15"/>
      <c r="F45" s="15"/>
      <c r="G45" s="15"/>
      <c r="H45" s="15"/>
      <c r="I45" s="15"/>
      <c r="J45" s="15"/>
      <c r="K45" s="15"/>
      <c r="L45" s="15">
        <f>'Small Refinery Exemptions'!L26</f>
        <v>2.1000000000000001E-2</v>
      </c>
      <c r="M45" s="15">
        <f>'Small Refinery Exemptions'!M26</f>
        <v>2.1600000000000001E-2</v>
      </c>
      <c r="N45" s="15">
        <f>'Small Refinery Exemptions'!N26</f>
        <v>2.3300000000000001E-2</v>
      </c>
      <c r="O45" s="15">
        <v>2.58E-2</v>
      </c>
      <c r="P45" s="15">
        <v>2.8199999999999999E-2</v>
      </c>
      <c r="Q45" s="15">
        <v>3.15E-2</v>
      </c>
    </row>
    <row r="46" spans="1:18">
      <c r="B46" s="9" t="s">
        <v>68</v>
      </c>
      <c r="C46" s="15"/>
      <c r="D46" s="15"/>
      <c r="E46" s="15"/>
      <c r="F46" s="15"/>
      <c r="G46" s="15"/>
      <c r="H46" s="15"/>
      <c r="I46" s="15"/>
      <c r="J46" s="15"/>
      <c r="K46" s="15"/>
      <c r="L46" s="15">
        <f>'Small Refinery Exemptions'!L27</f>
        <v>2.93E-2</v>
      </c>
      <c r="M46" s="15">
        <f>'Small Refinery Exemptions'!M27</f>
        <v>0.03</v>
      </c>
      <c r="N46" s="15">
        <f>'Small Refinery Exemptions'!N27</f>
        <v>3.1600000000000003E-2</v>
      </c>
      <c r="O46" s="15">
        <v>3.39E-2</v>
      </c>
      <c r="P46" s="15">
        <v>3.7900000000000003E-2</v>
      </c>
      <c r="Q46" s="15">
        <v>4.3099999999999999E-2</v>
      </c>
    </row>
    <row r="47" spans="1:18">
      <c r="B47" s="9" t="s">
        <v>5</v>
      </c>
      <c r="C47" s="15"/>
      <c r="D47" s="15"/>
      <c r="E47" s="15"/>
      <c r="F47" s="15"/>
      <c r="G47" s="15"/>
      <c r="H47" s="15"/>
      <c r="I47" s="15"/>
      <c r="J47" s="15"/>
      <c r="K47" s="15"/>
      <c r="L47" s="15">
        <f>'Small Refinery Exemptions'!L28</f>
        <v>0.1009</v>
      </c>
      <c r="M47" s="15">
        <f>'Small Refinery Exemptions'!M28</f>
        <v>0.1119</v>
      </c>
      <c r="N47" s="15">
        <f>'Small Refinery Exemptions'!N28</f>
        <v>0.1159</v>
      </c>
      <c r="O47" s="15">
        <v>0.1196</v>
      </c>
      <c r="P47" s="15">
        <v>0.125</v>
      </c>
      <c r="Q47" s="15">
        <v>0.1313</v>
      </c>
    </row>
    <row r="48" spans="1:18">
      <c r="B48" s="9" t="s">
        <v>73</v>
      </c>
      <c r="C48" s="16"/>
      <c r="D48" s="16"/>
      <c r="E48" s="16"/>
      <c r="F48" s="16"/>
      <c r="G48" s="16"/>
      <c r="H48" s="16"/>
      <c r="I48" s="16"/>
      <c r="J48" s="16"/>
      <c r="K48" s="16"/>
      <c r="L48" s="16"/>
      <c r="M48" s="16"/>
      <c r="N48" s="16"/>
      <c r="O48" s="16"/>
      <c r="P48" s="16"/>
      <c r="Q48" s="16" t="s">
        <v>75</v>
      </c>
    </row>
    <row r="50" spans="1:17" ht="21">
      <c r="A50" s="7" t="s">
        <v>76</v>
      </c>
    </row>
    <row r="51" spans="1:17">
      <c r="B51" s="9" t="s">
        <v>77</v>
      </c>
      <c r="C51" s="10">
        <f t="shared" ref="C51:N51" si="20">C47*C3</f>
        <v>0</v>
      </c>
      <c r="D51" s="10">
        <f t="shared" si="20"/>
        <v>0</v>
      </c>
      <c r="E51" s="10">
        <f t="shared" si="20"/>
        <v>0</v>
      </c>
      <c r="F51" s="10">
        <f t="shared" si="20"/>
        <v>0</v>
      </c>
      <c r="G51" s="10">
        <f t="shared" si="20"/>
        <v>0</v>
      </c>
      <c r="H51" s="10">
        <f t="shared" si="20"/>
        <v>0</v>
      </c>
      <c r="I51" s="10">
        <f t="shared" si="20"/>
        <v>0</v>
      </c>
      <c r="J51" s="10">
        <f t="shared" si="20"/>
        <v>0</v>
      </c>
      <c r="K51" s="10">
        <f t="shared" si="20"/>
        <v>0</v>
      </c>
      <c r="L51" s="10">
        <f t="shared" si="20"/>
        <v>1728416999.9999998</v>
      </c>
      <c r="M51" s="10">
        <f t="shared" si="20"/>
        <v>2108196000</v>
      </c>
      <c r="N51" s="10">
        <f t="shared" si="20"/>
        <v>2391017000</v>
      </c>
      <c r="O51" s="10">
        <f>O47*O3</f>
        <v>2504424000</v>
      </c>
      <c r="P51" s="10">
        <f>P47*P3</f>
        <v>2692500000</v>
      </c>
      <c r="Q51" s="10">
        <f>Q47*Q3</f>
        <v>2931929000</v>
      </c>
    </row>
    <row r="53" spans="1:17" ht="21">
      <c r="A53" s="7" t="s">
        <v>78</v>
      </c>
      <c r="C53" s="10"/>
      <c r="D53" s="10"/>
      <c r="E53" s="10"/>
      <c r="F53" s="10"/>
      <c r="G53" s="10"/>
      <c r="H53" s="10"/>
      <c r="I53" s="10"/>
      <c r="J53" s="10"/>
      <c r="K53" s="10"/>
      <c r="L53" s="10"/>
      <c r="M53" s="10"/>
      <c r="N53" s="10"/>
      <c r="O53" s="10"/>
      <c r="P53" s="10"/>
      <c r="Q53" s="10"/>
    </row>
    <row r="54" spans="1:17">
      <c r="B54" s="9" t="s">
        <v>79</v>
      </c>
      <c r="C54" s="10">
        <f t="shared" ref="C54:N54" si="21">C4*C46</f>
        <v>0</v>
      </c>
      <c r="D54" s="10">
        <f t="shared" si="21"/>
        <v>0</v>
      </c>
      <c r="E54" s="10">
        <f t="shared" si="21"/>
        <v>0</v>
      </c>
      <c r="F54" s="10">
        <f t="shared" si="21"/>
        <v>0</v>
      </c>
      <c r="G54" s="10">
        <f t="shared" si="21"/>
        <v>0</v>
      </c>
      <c r="H54" s="10">
        <f t="shared" si="21"/>
        <v>0</v>
      </c>
      <c r="I54" s="10">
        <f t="shared" si="21"/>
        <v>0</v>
      </c>
      <c r="J54" s="10">
        <f t="shared" si="21"/>
        <v>0</v>
      </c>
      <c r="K54" s="10">
        <f t="shared" si="21"/>
        <v>0</v>
      </c>
      <c r="L54" s="10">
        <f t="shared" si="21"/>
        <v>135659000</v>
      </c>
      <c r="M54" s="10">
        <f t="shared" si="21"/>
        <v>151500000</v>
      </c>
      <c r="N54" s="10">
        <f t="shared" si="21"/>
        <v>177908000.00000003</v>
      </c>
      <c r="O54" s="10">
        <f>O4*O46</f>
        <v>201366000</v>
      </c>
      <c r="P54" s="10">
        <f>P4*P46</f>
        <v>247866000.00000003</v>
      </c>
      <c r="Q54" s="10">
        <f>Q4*Q46</f>
        <v>315923000</v>
      </c>
    </row>
    <row r="55" spans="1:17">
      <c r="C55" s="10"/>
      <c r="D55" s="10"/>
      <c r="E55" s="10"/>
      <c r="F55" s="10"/>
      <c r="G55" s="10"/>
      <c r="H55" s="10"/>
      <c r="I55" s="10"/>
      <c r="J55" s="10"/>
      <c r="K55" s="10"/>
      <c r="L55" s="10"/>
      <c r="M55" s="10"/>
      <c r="N55" s="10"/>
      <c r="O55" s="10"/>
      <c r="P55" s="10"/>
      <c r="Q55" s="10"/>
    </row>
    <row r="56" spans="1:17" ht="21">
      <c r="A56" s="7" t="s">
        <v>80</v>
      </c>
      <c r="C56" s="10"/>
      <c r="D56" s="10"/>
      <c r="E56" s="10"/>
      <c r="F56" s="10"/>
      <c r="G56" s="10"/>
      <c r="H56" s="10"/>
      <c r="I56" s="10"/>
      <c r="J56" s="10"/>
      <c r="K56" s="10"/>
      <c r="L56" s="10"/>
      <c r="M56" s="10"/>
      <c r="N56" s="10"/>
      <c r="O56" s="10"/>
      <c r="P56" s="10"/>
      <c r="Q56" s="10"/>
    </row>
    <row r="57" spans="1:17">
      <c r="B57" s="9" t="s">
        <v>81</v>
      </c>
      <c r="C57" s="10">
        <f t="shared" ref="C57:N57" si="22">C47*C51</f>
        <v>0</v>
      </c>
      <c r="D57" s="10">
        <f t="shared" si="22"/>
        <v>0</v>
      </c>
      <c r="E57" s="10">
        <f t="shared" si="22"/>
        <v>0</v>
      </c>
      <c r="F57" s="10">
        <f t="shared" si="22"/>
        <v>0</v>
      </c>
      <c r="G57" s="10">
        <f t="shared" si="22"/>
        <v>0</v>
      </c>
      <c r="H57" s="10">
        <f t="shared" si="22"/>
        <v>0</v>
      </c>
      <c r="I57" s="10">
        <f t="shared" si="22"/>
        <v>0</v>
      </c>
      <c r="J57" s="10">
        <f t="shared" si="22"/>
        <v>0</v>
      </c>
      <c r="K57" s="10">
        <f t="shared" si="22"/>
        <v>0</v>
      </c>
      <c r="L57" s="10">
        <f t="shared" si="22"/>
        <v>174397275.29999998</v>
      </c>
      <c r="M57" s="10">
        <f t="shared" si="22"/>
        <v>235907132.40000001</v>
      </c>
      <c r="N57" s="10">
        <f t="shared" si="22"/>
        <v>277118870.30000001</v>
      </c>
      <c r="O57" s="10">
        <f>O47*O51</f>
        <v>299529110.39999998</v>
      </c>
      <c r="P57" s="10">
        <f>P47*P51</f>
        <v>336562500</v>
      </c>
      <c r="Q57" s="10">
        <f>Q47*Q51</f>
        <v>384962277.69999999</v>
      </c>
    </row>
    <row r="59" spans="1:17" ht="21">
      <c r="A59" s="7" t="s">
        <v>82</v>
      </c>
    </row>
    <row r="60" spans="1:17">
      <c r="B60" s="9" t="s">
        <v>83</v>
      </c>
      <c r="C60" s="10">
        <f t="shared" ref="C60:N60" si="23">C57-C54</f>
        <v>0</v>
      </c>
      <c r="D60" s="10">
        <f t="shared" si="23"/>
        <v>0</v>
      </c>
      <c r="E60" s="10">
        <f t="shared" si="23"/>
        <v>0</v>
      </c>
      <c r="F60" s="10">
        <f t="shared" si="23"/>
        <v>0</v>
      </c>
      <c r="G60" s="10">
        <f t="shared" si="23"/>
        <v>0</v>
      </c>
      <c r="H60" s="10">
        <f t="shared" si="23"/>
        <v>0</v>
      </c>
      <c r="I60" s="10">
        <f t="shared" si="23"/>
        <v>0</v>
      </c>
      <c r="J60" s="10">
        <f t="shared" si="23"/>
        <v>0</v>
      </c>
      <c r="K60" s="10">
        <f t="shared" si="23"/>
        <v>0</v>
      </c>
      <c r="L60" s="10">
        <f t="shared" si="23"/>
        <v>38738275.299999982</v>
      </c>
      <c r="M60" s="10">
        <f t="shared" si="23"/>
        <v>84407132.400000006</v>
      </c>
      <c r="N60" s="10">
        <f t="shared" si="23"/>
        <v>99210870.299999982</v>
      </c>
      <c r="O60" s="10">
        <f>O57-O54</f>
        <v>98163110.399999976</v>
      </c>
      <c r="P60" s="10">
        <f>P57-P54</f>
        <v>88696499.99999997</v>
      </c>
      <c r="Q60" s="10">
        <f>Q57-Q54</f>
        <v>69039277.699999988</v>
      </c>
    </row>
    <row r="62" spans="1:17" ht="21">
      <c r="A62" s="7" t="s">
        <v>84</v>
      </c>
    </row>
    <row r="63" spans="1:17">
      <c r="B63" s="9" t="s">
        <v>85</v>
      </c>
      <c r="C63" s="17" t="e">
        <f t="shared" ref="C63:N63" si="24">C60/C51</f>
        <v>#DIV/0!</v>
      </c>
      <c r="D63" s="17" t="e">
        <f t="shared" si="24"/>
        <v>#DIV/0!</v>
      </c>
      <c r="E63" s="17" t="e">
        <f t="shared" si="24"/>
        <v>#DIV/0!</v>
      </c>
      <c r="F63" s="17" t="e">
        <f t="shared" si="24"/>
        <v>#DIV/0!</v>
      </c>
      <c r="G63" s="17" t="e">
        <f t="shared" si="24"/>
        <v>#DIV/0!</v>
      </c>
      <c r="H63" s="17" t="e">
        <f t="shared" si="24"/>
        <v>#DIV/0!</v>
      </c>
      <c r="I63" s="17" t="e">
        <f t="shared" si="24"/>
        <v>#DIV/0!</v>
      </c>
      <c r="J63" s="17" t="e">
        <f t="shared" si="24"/>
        <v>#DIV/0!</v>
      </c>
      <c r="K63" s="17" t="e">
        <f t="shared" si="24"/>
        <v>#DIV/0!</v>
      </c>
      <c r="L63" s="17">
        <f t="shared" si="24"/>
        <v>2.2412574801104125E-2</v>
      </c>
      <c r="M63" s="17">
        <f t="shared" si="24"/>
        <v>4.0037611493428507E-2</v>
      </c>
      <c r="N63" s="17">
        <f t="shared" si="24"/>
        <v>4.1493168095417129E-2</v>
      </c>
      <c r="O63" s="17">
        <f>O60/O51</f>
        <v>3.9195883125221598E-2</v>
      </c>
      <c r="P63" s="17">
        <f>P60/P51</f>
        <v>3.2942061281337039E-2</v>
      </c>
      <c r="Q63" s="17">
        <f>Q60/Q51</f>
        <v>2.3547390711030174E-2</v>
      </c>
    </row>
    <row r="64" spans="1:17">
      <c r="B64" s="9" t="s">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6B531-1555-44E3-9E0A-F1FCD4270FE2}">
  <dimension ref="A1:T132"/>
  <sheetViews>
    <sheetView zoomScaleNormal="100" workbookViewId="0">
      <selection activeCell="AD6" sqref="AD6"/>
    </sheetView>
  </sheetViews>
  <sheetFormatPr defaultColWidth="12.5703125" defaultRowHeight="15.75"/>
  <cols>
    <col min="1" max="1" width="13.5703125" style="18" bestFit="1" customWidth="1"/>
    <col min="2" max="2" width="58.42578125" style="18" bestFit="1" customWidth="1"/>
    <col min="3" max="3" width="18.7109375" style="18" customWidth="1"/>
    <col min="4" max="4" width="20.42578125" style="18" customWidth="1"/>
    <col min="5" max="5" width="20" style="18" customWidth="1"/>
    <col min="6" max="6" width="19.5703125" style="18" customWidth="1"/>
    <col min="7" max="7" width="21.28515625" style="18" customWidth="1"/>
    <col min="8" max="8" width="23.42578125" style="18" customWidth="1"/>
    <col min="9" max="9" width="18.140625" style="18" customWidth="1"/>
    <col min="10" max="10" width="17.28515625" style="18" customWidth="1"/>
    <col min="11" max="12" width="12.5703125" style="18"/>
    <col min="13" max="13" width="14.42578125" style="18" bestFit="1" customWidth="1"/>
    <col min="14" max="16384" width="12.5703125" style="18"/>
  </cols>
  <sheetData>
    <row r="1" spans="1:10">
      <c r="E1" s="18" t="s">
        <v>87</v>
      </c>
      <c r="F1" s="227" t="s">
        <v>88</v>
      </c>
      <c r="G1" s="227"/>
      <c r="H1" s="227"/>
    </row>
    <row r="2" spans="1:10" ht="15.95" customHeight="1">
      <c r="A2" s="18">
        <v>2020</v>
      </c>
      <c r="D2" s="18" t="s">
        <v>88</v>
      </c>
      <c r="E2" s="226" t="s">
        <v>89</v>
      </c>
      <c r="F2" s="226" t="s">
        <v>89</v>
      </c>
      <c r="G2" s="226" t="s">
        <v>90</v>
      </c>
      <c r="H2" s="226" t="s">
        <v>91</v>
      </c>
      <c r="I2" s="226" t="s">
        <v>92</v>
      </c>
    </row>
    <row r="3" spans="1:10">
      <c r="A3" s="18" t="s">
        <v>93</v>
      </c>
      <c r="B3" s="18" t="s">
        <v>94</v>
      </c>
      <c r="D3" s="18" t="s">
        <v>95</v>
      </c>
      <c r="E3" s="226"/>
      <c r="F3" s="226"/>
      <c r="G3" s="226"/>
      <c r="H3" s="226"/>
      <c r="I3" s="226"/>
    </row>
    <row r="4" spans="1:10">
      <c r="A4" s="18" t="s">
        <v>96</v>
      </c>
      <c r="B4" s="18" t="s">
        <v>97</v>
      </c>
      <c r="D4" s="19">
        <v>0.59</v>
      </c>
      <c r="F4" s="18">
        <v>0.59</v>
      </c>
      <c r="G4" s="18">
        <v>0.54</v>
      </c>
      <c r="H4" s="18">
        <v>0.54</v>
      </c>
      <c r="I4" s="18">
        <v>0.54</v>
      </c>
    </row>
    <row r="5" spans="1:10">
      <c r="A5" s="18" t="s">
        <v>98</v>
      </c>
      <c r="B5" s="18" t="s">
        <v>99</v>
      </c>
      <c r="D5" s="19">
        <f>2.43*1.5</f>
        <v>3.6450000000000005</v>
      </c>
      <c r="F5" s="18">
        <f>2.43*1.5</f>
        <v>3.6450000000000005</v>
      </c>
      <c r="G5" s="18">
        <f>2.43*1.5</f>
        <v>3.6450000000000005</v>
      </c>
      <c r="H5" s="18">
        <f>2.43*1.5</f>
        <v>3.6450000000000005</v>
      </c>
      <c r="I5" s="18">
        <f>2.43*1.5</f>
        <v>3.6450000000000005</v>
      </c>
    </row>
    <row r="6" spans="1:10">
      <c r="A6" s="18" t="s">
        <v>100</v>
      </c>
      <c r="B6" s="18" t="s">
        <v>101</v>
      </c>
      <c r="D6" s="19">
        <v>5.09</v>
      </c>
      <c r="F6" s="18">
        <v>5.09</v>
      </c>
      <c r="G6" s="18">
        <v>5.04</v>
      </c>
      <c r="H6" s="18">
        <v>5.04</v>
      </c>
      <c r="I6" s="18">
        <v>5.04</v>
      </c>
      <c r="J6" s="18">
        <f>+F5+F4</f>
        <v>4.2350000000000003</v>
      </c>
    </row>
    <row r="7" spans="1:10">
      <c r="A7" s="18" t="s">
        <v>102</v>
      </c>
      <c r="B7" s="18" t="s">
        <v>103</v>
      </c>
      <c r="D7" s="19">
        <v>19.920000000000002</v>
      </c>
      <c r="F7" s="18">
        <v>20.09</v>
      </c>
      <c r="G7" s="18">
        <v>20.04</v>
      </c>
      <c r="H7" s="18">
        <v>20.04</v>
      </c>
      <c r="I7" s="18">
        <v>20.04</v>
      </c>
      <c r="J7" s="18">
        <f>+F6-J6</f>
        <v>0.85499999999999954</v>
      </c>
    </row>
    <row r="8" spans="1:10">
      <c r="A8" s="18" t="s">
        <v>104</v>
      </c>
      <c r="B8" s="18" t="s">
        <v>105</v>
      </c>
      <c r="D8" s="20">
        <f>8.74*42*365/1000</f>
        <v>133.98419999999999</v>
      </c>
      <c r="E8" s="20">
        <f>+G85</f>
        <v>122.46700000000001</v>
      </c>
      <c r="F8" s="18">
        <v>142.68</v>
      </c>
      <c r="G8" s="18">
        <v>143.49</v>
      </c>
      <c r="H8" s="18">
        <v>142.49</v>
      </c>
      <c r="I8" s="18">
        <v>142.49</v>
      </c>
    </row>
    <row r="9" spans="1:10">
      <c r="A9" s="18" t="s">
        <v>106</v>
      </c>
      <c r="B9" s="18" t="s">
        <v>107</v>
      </c>
      <c r="D9" s="20">
        <f>3.8*42*365/1000</f>
        <v>58.253999999999998</v>
      </c>
      <c r="E9" s="21">
        <f>+I85</f>
        <v>53.22625</v>
      </c>
      <c r="F9" s="18">
        <v>55.3</v>
      </c>
      <c r="G9" s="18">
        <v>57.06</v>
      </c>
      <c r="H9" s="18">
        <v>56.77</v>
      </c>
      <c r="I9" s="18">
        <v>56.77</v>
      </c>
    </row>
    <row r="10" spans="1:10">
      <c r="A10" s="18" t="s">
        <v>108</v>
      </c>
      <c r="B10" s="18" t="s">
        <v>109</v>
      </c>
      <c r="C10" s="18">
        <f>+D8*0.1</f>
        <v>13.39842</v>
      </c>
      <c r="D10" s="22">
        <f>0.898*42*365/1000</f>
        <v>13.76634</v>
      </c>
      <c r="E10" s="22">
        <v>14.42</v>
      </c>
      <c r="F10" s="22">
        <v>14.42</v>
      </c>
      <c r="G10" s="22">
        <v>14.62</v>
      </c>
      <c r="H10" s="18">
        <v>14.58</v>
      </c>
      <c r="I10" s="18">
        <v>14.58</v>
      </c>
    </row>
    <row r="11" spans="1:10">
      <c r="A11" s="18" t="s">
        <v>110</v>
      </c>
      <c r="B11" s="18" t="s">
        <v>111</v>
      </c>
      <c r="D11" s="22">
        <f>0.145*42*365/1000</f>
        <v>2.2228499999999998</v>
      </c>
      <c r="E11" s="22">
        <v>2.48</v>
      </c>
      <c r="F11" s="22">
        <v>2.48</v>
      </c>
      <c r="G11" s="22">
        <v>2.48</v>
      </c>
      <c r="H11" s="18">
        <v>2.48</v>
      </c>
      <c r="I11" s="18">
        <v>2.48</v>
      </c>
    </row>
    <row r="12" spans="1:10">
      <c r="A12" s="18" t="s">
        <v>112</v>
      </c>
      <c r="B12" s="18" t="s">
        <v>113</v>
      </c>
      <c r="D12" s="18">
        <v>0</v>
      </c>
      <c r="E12" s="18">
        <v>0</v>
      </c>
      <c r="F12" s="18">
        <v>0</v>
      </c>
      <c r="G12" s="18">
        <v>0</v>
      </c>
      <c r="H12" s="18">
        <v>0</v>
      </c>
      <c r="I12" s="18">
        <v>0</v>
      </c>
    </row>
    <row r="13" spans="1:10">
      <c r="A13" s="18" t="s">
        <v>114</v>
      </c>
      <c r="B13" s="18" t="s">
        <v>115</v>
      </c>
      <c r="D13" s="18">
        <v>0</v>
      </c>
      <c r="E13" s="18">
        <v>0</v>
      </c>
      <c r="F13" s="18">
        <v>0</v>
      </c>
      <c r="G13" s="18">
        <v>0</v>
      </c>
      <c r="H13" s="18">
        <v>0</v>
      </c>
      <c r="I13" s="18">
        <v>0</v>
      </c>
    </row>
    <row r="14" spans="1:10">
      <c r="A14" s="18" t="s">
        <v>116</v>
      </c>
      <c r="B14" s="18" t="s">
        <v>117</v>
      </c>
      <c r="D14" s="18">
        <v>0</v>
      </c>
      <c r="E14" s="18">
        <v>0</v>
      </c>
      <c r="F14" s="18">
        <v>0</v>
      </c>
      <c r="G14" s="18">
        <v>0</v>
      </c>
      <c r="H14" s="18">
        <v>0</v>
      </c>
      <c r="I14" s="18">
        <v>0</v>
      </c>
    </row>
    <row r="15" spans="1:10">
      <c r="A15" s="18" t="s">
        <v>118</v>
      </c>
      <c r="B15" s="18" t="s">
        <v>119</v>
      </c>
      <c r="D15" s="18">
        <v>0</v>
      </c>
      <c r="E15" s="18">
        <v>0</v>
      </c>
      <c r="F15" s="18">
        <v>0</v>
      </c>
      <c r="G15" s="18">
        <v>0</v>
      </c>
      <c r="H15" s="18">
        <v>0</v>
      </c>
      <c r="I15" s="18">
        <v>0</v>
      </c>
    </row>
    <row r="16" spans="1:10">
      <c r="A16" s="18" t="s">
        <v>120</v>
      </c>
      <c r="B16" s="18" t="s">
        <v>121</v>
      </c>
      <c r="D16" s="23">
        <v>4.17</v>
      </c>
      <c r="E16" s="22">
        <v>4.24</v>
      </c>
      <c r="F16" s="22">
        <v>4.24</v>
      </c>
      <c r="G16" s="18">
        <v>0</v>
      </c>
      <c r="H16" s="18">
        <v>4.24</v>
      </c>
      <c r="I16" s="18">
        <v>3.23</v>
      </c>
    </row>
    <row r="17" spans="1:9">
      <c r="A17" s="18" t="s">
        <v>122</v>
      </c>
      <c r="B17" s="18" t="s">
        <v>123</v>
      </c>
      <c r="D17" s="23">
        <v>3.02</v>
      </c>
      <c r="E17" s="22">
        <v>3.02</v>
      </c>
      <c r="F17" s="22">
        <v>3.02</v>
      </c>
      <c r="G17" s="18">
        <v>0</v>
      </c>
      <c r="H17" s="18">
        <v>3.02</v>
      </c>
      <c r="I17" s="18">
        <v>2.42</v>
      </c>
    </row>
    <row r="19" spans="1:9">
      <c r="B19" s="19" t="s">
        <v>124</v>
      </c>
      <c r="D19" s="18" t="s">
        <v>125</v>
      </c>
    </row>
    <row r="20" spans="1:9">
      <c r="A20" s="18" t="s">
        <v>126</v>
      </c>
      <c r="B20" s="24" t="str">
        <f>+A7</f>
        <v>RFVrf</v>
      </c>
      <c r="C20" s="24"/>
      <c r="D20" s="24">
        <v>19.920000000000002</v>
      </c>
      <c r="E20" s="24"/>
      <c r="F20" s="18">
        <f>+F7</f>
        <v>20.09</v>
      </c>
      <c r="G20" s="18">
        <f>+G7</f>
        <v>20.04</v>
      </c>
      <c r="H20" s="18">
        <f>+H7</f>
        <v>20.04</v>
      </c>
      <c r="I20" s="18">
        <f>+I7</f>
        <v>20.04</v>
      </c>
    </row>
    <row r="22" spans="1:9">
      <c r="A22" s="18" t="s">
        <v>127</v>
      </c>
      <c r="B22" s="18" t="s">
        <v>128</v>
      </c>
      <c r="D22" s="21">
        <f t="shared" ref="D22:I22" si="0">+D8-D10</f>
        <v>120.21785999999999</v>
      </c>
      <c r="E22" s="18">
        <f t="shared" si="0"/>
        <v>108.04700000000001</v>
      </c>
      <c r="F22" s="18">
        <f t="shared" si="0"/>
        <v>128.26000000000002</v>
      </c>
      <c r="G22" s="18">
        <f t="shared" si="0"/>
        <v>128.87</v>
      </c>
      <c r="H22" s="18">
        <f t="shared" si="0"/>
        <v>127.91000000000001</v>
      </c>
      <c r="I22" s="18">
        <f t="shared" si="0"/>
        <v>127.91000000000001</v>
      </c>
    </row>
    <row r="23" spans="1:9">
      <c r="B23" s="18" t="s">
        <v>129</v>
      </c>
      <c r="D23" s="18">
        <f t="shared" ref="D23:I23" si="1">+D12-D13</f>
        <v>0</v>
      </c>
      <c r="E23" s="18">
        <f t="shared" si="1"/>
        <v>0</v>
      </c>
      <c r="F23" s="18">
        <f t="shared" si="1"/>
        <v>0</v>
      </c>
      <c r="G23" s="18">
        <f t="shared" si="1"/>
        <v>0</v>
      </c>
      <c r="H23" s="18">
        <f t="shared" si="1"/>
        <v>0</v>
      </c>
      <c r="I23" s="18">
        <f t="shared" si="1"/>
        <v>0</v>
      </c>
    </row>
    <row r="24" spans="1:9">
      <c r="B24" s="18" t="s">
        <v>120</v>
      </c>
      <c r="D24" s="18">
        <f t="shared" ref="D24:I24" si="2">+D16</f>
        <v>4.17</v>
      </c>
      <c r="E24" s="18">
        <f t="shared" si="2"/>
        <v>4.24</v>
      </c>
      <c r="F24" s="18">
        <f t="shared" si="2"/>
        <v>4.24</v>
      </c>
      <c r="G24" s="18">
        <f t="shared" si="2"/>
        <v>0</v>
      </c>
      <c r="H24" s="18">
        <f t="shared" si="2"/>
        <v>4.24</v>
      </c>
      <c r="I24" s="18">
        <f t="shared" si="2"/>
        <v>3.23</v>
      </c>
    </row>
    <row r="25" spans="1:9">
      <c r="B25" s="18" t="s">
        <v>130</v>
      </c>
      <c r="D25" s="18">
        <f t="shared" ref="D25:I25" si="3">+D9-D11</f>
        <v>56.031149999999997</v>
      </c>
      <c r="E25" s="18">
        <f t="shared" si="3"/>
        <v>50.746250000000003</v>
      </c>
      <c r="F25" s="18">
        <f t="shared" si="3"/>
        <v>52.82</v>
      </c>
      <c r="G25" s="18">
        <f t="shared" si="3"/>
        <v>54.580000000000005</v>
      </c>
      <c r="H25" s="18">
        <f>+H9-H11</f>
        <v>54.290000000000006</v>
      </c>
      <c r="I25" s="18">
        <f t="shared" si="3"/>
        <v>54.290000000000006</v>
      </c>
    </row>
    <row r="26" spans="1:9">
      <c r="B26" s="18" t="s">
        <v>131</v>
      </c>
      <c r="D26" s="18">
        <f t="shared" ref="D26:I26" si="4">+D14-D15</f>
        <v>0</v>
      </c>
      <c r="E26" s="18">
        <f t="shared" si="4"/>
        <v>0</v>
      </c>
      <c r="F26" s="18">
        <f t="shared" si="4"/>
        <v>0</v>
      </c>
      <c r="G26" s="18">
        <f t="shared" si="4"/>
        <v>0</v>
      </c>
      <c r="H26" s="18">
        <f t="shared" si="4"/>
        <v>0</v>
      </c>
      <c r="I26" s="18">
        <f t="shared" si="4"/>
        <v>0</v>
      </c>
    </row>
    <row r="27" spans="1:9">
      <c r="B27" s="18" t="s">
        <v>122</v>
      </c>
      <c r="D27" s="18">
        <f t="shared" ref="D27:I27" si="5">+D17</f>
        <v>3.02</v>
      </c>
      <c r="E27" s="18">
        <f t="shared" si="5"/>
        <v>3.02</v>
      </c>
      <c r="F27" s="18">
        <f t="shared" si="5"/>
        <v>3.02</v>
      </c>
      <c r="G27" s="18">
        <f t="shared" si="5"/>
        <v>0</v>
      </c>
      <c r="H27" s="18">
        <f t="shared" si="5"/>
        <v>3.02</v>
      </c>
      <c r="I27" s="18">
        <f t="shared" si="5"/>
        <v>2.42</v>
      </c>
    </row>
    <row r="29" spans="1:9">
      <c r="A29" s="18" t="s">
        <v>127</v>
      </c>
      <c r="D29" s="18">
        <f t="shared" ref="D29:I29" si="6">D22+D23-D24+D25+D26-D27</f>
        <v>169.05900999999997</v>
      </c>
      <c r="E29" s="18">
        <f t="shared" si="6"/>
        <v>151.53325000000001</v>
      </c>
      <c r="F29" s="18">
        <f t="shared" si="6"/>
        <v>173.82000000000002</v>
      </c>
      <c r="G29" s="18">
        <f t="shared" si="6"/>
        <v>183.45000000000002</v>
      </c>
      <c r="H29" s="18">
        <f t="shared" si="6"/>
        <v>174.94000000000003</v>
      </c>
      <c r="I29" s="18">
        <f t="shared" si="6"/>
        <v>176.55000000000004</v>
      </c>
    </row>
    <row r="30" spans="1:9">
      <c r="D30" s="25">
        <f>+D20/D29</f>
        <v>0.11782868005674471</v>
      </c>
      <c r="F30" s="25">
        <f>+F20/F29</f>
        <v>0.11557933494419513</v>
      </c>
      <c r="G30" s="25">
        <f>+G20/G29</f>
        <v>0.10923957481602616</v>
      </c>
      <c r="H30" s="25">
        <f>+H20/H29</f>
        <v>0.11455356122099003</v>
      </c>
      <c r="I30" s="25">
        <f>+I20/I29</f>
        <v>0.11350892098555647</v>
      </c>
    </row>
    <row r="31" spans="1:9">
      <c r="A31" s="18" t="s">
        <v>132</v>
      </c>
      <c r="B31" s="24" t="s">
        <v>133</v>
      </c>
      <c r="C31" s="24"/>
      <c r="D31" s="24"/>
      <c r="E31" s="24"/>
    </row>
    <row r="32" spans="1:9">
      <c r="B32" s="24" t="s">
        <v>134</v>
      </c>
      <c r="C32" s="24"/>
      <c r="D32" s="25">
        <f>+D4/D29</f>
        <v>3.4899056844116148E-3</v>
      </c>
      <c r="E32" s="25">
        <v>3.3943159590380848E-3</v>
      </c>
      <c r="F32" s="25">
        <f>+F4/F29</f>
        <v>3.3943159590380848E-3</v>
      </c>
      <c r="G32" s="25">
        <f>+G4/G29</f>
        <v>2.9435813573180703E-3</v>
      </c>
      <c r="H32" s="25">
        <f>+H4/H29</f>
        <v>3.0867726077512289E-3</v>
      </c>
      <c r="I32" s="25">
        <f>+I4/I29</f>
        <v>3.0586236193712825E-3</v>
      </c>
    </row>
    <row r="33" spans="2:9">
      <c r="B33" s="24" t="s">
        <v>135</v>
      </c>
      <c r="C33" s="24"/>
      <c r="D33" s="25">
        <f>+D5/D29</f>
        <v>2.1560519016407355E-2</v>
      </c>
      <c r="E33" s="25">
        <v>2.0969968933379358E-2</v>
      </c>
      <c r="F33" s="25">
        <f>+F5/F29</f>
        <v>2.0969968933379358E-2</v>
      </c>
      <c r="G33" s="25">
        <f>+G5/G29</f>
        <v>1.9869174161896975E-2</v>
      </c>
      <c r="H33" s="25">
        <f>+H5/H29</f>
        <v>2.0835715102320795E-2</v>
      </c>
      <c r="I33" s="25">
        <f>+I5/I29</f>
        <v>2.0645709430756158E-2</v>
      </c>
    </row>
    <row r="34" spans="2:9">
      <c r="B34" s="24" t="s">
        <v>136</v>
      </c>
      <c r="C34" s="24"/>
      <c r="D34" s="25">
        <f>+D6/D29</f>
        <v>3.0107830396025628E-2</v>
      </c>
      <c r="E34" s="25">
        <v>2.9283166494074326E-2</v>
      </c>
      <c r="F34" s="25">
        <f>+F6/F29</f>
        <v>2.9283166494074326E-2</v>
      </c>
      <c r="G34" s="25">
        <f>+G6/G29</f>
        <v>2.7473426001635319E-2</v>
      </c>
      <c r="H34" s="25">
        <f>+H6/H29</f>
        <v>2.8809877672344799E-2</v>
      </c>
      <c r="I34" s="25">
        <f>+I6/I29</f>
        <v>2.8547153780798633E-2</v>
      </c>
    </row>
    <row r="35" spans="2:9">
      <c r="B35" s="24" t="s">
        <v>26</v>
      </c>
      <c r="C35" s="24"/>
      <c r="D35" s="26">
        <v>0.113</v>
      </c>
      <c r="E35" s="25">
        <v>0.11557933494419513</v>
      </c>
      <c r="F35" s="25">
        <f>+F30</f>
        <v>0.11557933494419513</v>
      </c>
      <c r="G35" s="25">
        <f>+G30</f>
        <v>0.10923957481602616</v>
      </c>
      <c r="H35" s="25">
        <f>+H30</f>
        <v>0.11455356122099003</v>
      </c>
      <c r="I35" s="25">
        <f>+I30</f>
        <v>0.11350892098555647</v>
      </c>
    </row>
    <row r="36" spans="2:9">
      <c r="B36" s="24" t="s">
        <v>27</v>
      </c>
      <c r="C36" s="24"/>
      <c r="D36" s="25">
        <f>+D10/D29</f>
        <v>8.1429200372106769E-2</v>
      </c>
      <c r="E36" s="25">
        <v>8.2959383270049467E-2</v>
      </c>
      <c r="F36" s="25">
        <f>+F10/F29</f>
        <v>8.2959383270049467E-2</v>
      </c>
      <c r="G36" s="25">
        <f>+G10/G29</f>
        <v>7.9694739711092935E-2</v>
      </c>
      <c r="H36" s="25">
        <f>+H10/H29</f>
        <v>8.3342860409283168E-2</v>
      </c>
      <c r="I36" s="25">
        <f>+I10/I29</f>
        <v>8.2582837723024619E-2</v>
      </c>
    </row>
    <row r="38" spans="2:9">
      <c r="B38" s="24" t="s">
        <v>137</v>
      </c>
      <c r="C38" s="24"/>
      <c r="D38" s="24" t="s">
        <v>138</v>
      </c>
      <c r="E38" s="24" t="s">
        <v>139</v>
      </c>
      <c r="F38" s="24" t="s">
        <v>140</v>
      </c>
    </row>
    <row r="39" spans="2:9">
      <c r="B39" s="24" t="s">
        <v>141</v>
      </c>
      <c r="C39" s="24"/>
      <c r="D39" s="24"/>
      <c r="E39" s="24"/>
      <c r="F39" s="24"/>
    </row>
    <row r="40" spans="2:9">
      <c r="B40" s="24" t="s">
        <v>134</v>
      </c>
      <c r="C40" s="24"/>
      <c r="D40" s="20">
        <f t="shared" ref="D40:I40" si="7">+D32*D29</f>
        <v>0.59</v>
      </c>
      <c r="E40" s="20">
        <f t="shared" si="7"/>
        <v>0.51435172879990787</v>
      </c>
      <c r="F40" s="18">
        <f t="shared" si="7"/>
        <v>0.59</v>
      </c>
      <c r="G40" s="18">
        <f t="shared" si="7"/>
        <v>0.54</v>
      </c>
      <c r="H40" s="18">
        <f t="shared" si="7"/>
        <v>0.54</v>
      </c>
      <c r="I40" s="18">
        <f t="shared" si="7"/>
        <v>0.54</v>
      </c>
    </row>
    <row r="41" spans="2:9">
      <c r="B41" s="24" t="s">
        <v>135</v>
      </c>
      <c r="C41" s="24"/>
      <c r="D41" s="20">
        <f t="shared" ref="D41:I41" si="8">+D33*D29/1.5</f>
        <v>2.4300000000000002</v>
      </c>
      <c r="E41" s="20">
        <f t="shared" si="8"/>
        <v>2.1184316965826722</v>
      </c>
      <c r="F41" s="18">
        <f t="shared" si="8"/>
        <v>2.4300000000000002</v>
      </c>
      <c r="G41" s="18">
        <f t="shared" si="8"/>
        <v>2.4300000000000002</v>
      </c>
      <c r="H41" s="18">
        <f t="shared" si="8"/>
        <v>2.4300000000000002</v>
      </c>
      <c r="I41" s="18">
        <f t="shared" si="8"/>
        <v>2.4300000000000002</v>
      </c>
    </row>
    <row r="42" spans="2:9">
      <c r="B42" s="24" t="s">
        <v>136</v>
      </c>
      <c r="C42" s="24"/>
      <c r="D42" s="20">
        <f t="shared" ref="D42:I42" si="9">+D34*D29</f>
        <v>5.09</v>
      </c>
      <c r="E42" s="20">
        <f t="shared" si="9"/>
        <v>4.4373733891381884</v>
      </c>
      <c r="F42" s="18">
        <f t="shared" si="9"/>
        <v>5.09</v>
      </c>
      <c r="G42" s="18">
        <f t="shared" si="9"/>
        <v>5.04</v>
      </c>
      <c r="H42" s="18">
        <f t="shared" si="9"/>
        <v>5.04</v>
      </c>
      <c r="I42" s="18">
        <f t="shared" si="9"/>
        <v>5.04</v>
      </c>
    </row>
    <row r="43" spans="2:9">
      <c r="B43" s="24" t="s">
        <v>26</v>
      </c>
      <c r="C43" s="24"/>
      <c r="D43" s="20">
        <f t="shared" ref="D43:I43" si="10">+D35*D29</f>
        <v>19.103668129999999</v>
      </c>
      <c r="E43" s="20">
        <f t="shared" si="10"/>
        <v>17.514112256932457</v>
      </c>
      <c r="F43" s="18">
        <f t="shared" si="10"/>
        <v>20.09</v>
      </c>
      <c r="G43" s="18">
        <f t="shared" si="10"/>
        <v>20.04</v>
      </c>
      <c r="H43" s="18">
        <f t="shared" si="10"/>
        <v>20.04</v>
      </c>
      <c r="I43" s="18">
        <f t="shared" si="10"/>
        <v>20.04</v>
      </c>
    </row>
    <row r="44" spans="2:9">
      <c r="B44" s="24" t="s">
        <v>27</v>
      </c>
      <c r="C44" s="24"/>
      <c r="D44" s="20">
        <f t="shared" ref="D44:I44" si="11">+D43-D42</f>
        <v>14.013668129999999</v>
      </c>
      <c r="E44" s="20">
        <f t="shared" si="11"/>
        <v>13.076738867794269</v>
      </c>
      <c r="F44" s="18">
        <f t="shared" si="11"/>
        <v>15</v>
      </c>
      <c r="G44" s="18">
        <f t="shared" si="11"/>
        <v>15</v>
      </c>
      <c r="H44" s="18">
        <f t="shared" si="11"/>
        <v>15</v>
      </c>
      <c r="I44" s="18">
        <f t="shared" si="11"/>
        <v>15</v>
      </c>
    </row>
    <row r="46" spans="2:9">
      <c r="B46" s="24" t="s">
        <v>142</v>
      </c>
      <c r="C46" s="24"/>
      <c r="D46" s="24"/>
      <c r="E46" s="24"/>
      <c r="F46" s="24"/>
      <c r="H46" s="18">
        <v>0.77</v>
      </c>
      <c r="I46" s="18">
        <v>0.57999999999999996</v>
      </c>
    </row>
    <row r="47" spans="2:9">
      <c r="B47" s="24" t="s">
        <v>134</v>
      </c>
      <c r="C47" s="24"/>
      <c r="D47" s="24"/>
      <c r="E47" s="24"/>
      <c r="F47" s="24"/>
      <c r="H47" s="27">
        <f t="shared" ref="H47:I51" si="12">+H32*H$46</f>
        <v>2.3768149079684462E-3</v>
      </c>
      <c r="I47" s="27">
        <f t="shared" si="12"/>
        <v>1.7740016992353438E-3</v>
      </c>
    </row>
    <row r="48" spans="2:9">
      <c r="B48" s="24" t="s">
        <v>135</v>
      </c>
      <c r="C48" s="24"/>
      <c r="D48" s="24"/>
      <c r="E48" s="24"/>
      <c r="F48" s="24"/>
      <c r="H48" s="27">
        <f t="shared" si="12"/>
        <v>1.6043500628787014E-2</v>
      </c>
      <c r="I48" s="27">
        <f t="shared" si="12"/>
        <v>1.1974511469838571E-2</v>
      </c>
    </row>
    <row r="49" spans="2:20">
      <c r="B49" s="24" t="s">
        <v>136</v>
      </c>
      <c r="C49" s="24"/>
      <c r="D49" s="24"/>
      <c r="E49" s="24"/>
      <c r="F49" s="24"/>
      <c r="H49" s="27">
        <f t="shared" si="12"/>
        <v>2.2183605807705495E-2</v>
      </c>
      <c r="I49" s="27">
        <f t="shared" si="12"/>
        <v>1.6557349192863207E-2</v>
      </c>
    </row>
    <row r="50" spans="2:20">
      <c r="B50" s="24" t="s">
        <v>26</v>
      </c>
      <c r="C50" s="24"/>
      <c r="D50" s="24"/>
      <c r="E50" s="24"/>
      <c r="F50" s="24"/>
      <c r="H50" s="27">
        <f t="shared" si="12"/>
        <v>8.820624214016233E-2</v>
      </c>
      <c r="I50" s="27">
        <f t="shared" si="12"/>
        <v>6.5835174171622754E-2</v>
      </c>
    </row>
    <row r="51" spans="2:20">
      <c r="B51" s="24" t="s">
        <v>27</v>
      </c>
      <c r="C51" s="24"/>
      <c r="D51" s="24"/>
      <c r="E51" s="24"/>
      <c r="F51" s="24"/>
      <c r="H51" s="27">
        <f t="shared" si="12"/>
        <v>6.4174002515148043E-2</v>
      </c>
      <c r="I51" s="27">
        <f t="shared" si="12"/>
        <v>4.7898045879354277E-2</v>
      </c>
    </row>
    <row r="52" spans="2:20">
      <c r="N52" s="18" t="s">
        <v>143</v>
      </c>
    </row>
    <row r="53" spans="2:20">
      <c r="B53" s="24" t="s">
        <v>144</v>
      </c>
      <c r="C53" s="24"/>
      <c r="D53" s="24"/>
      <c r="E53" s="24"/>
      <c r="F53" s="24"/>
      <c r="H53" s="18">
        <v>1.347</v>
      </c>
      <c r="I53" s="18">
        <v>0.96699999999999997</v>
      </c>
      <c r="N53" s="18" t="s">
        <v>145</v>
      </c>
      <c r="O53" s="18" t="s">
        <v>146</v>
      </c>
      <c r="Q53" s="18" t="s">
        <v>147</v>
      </c>
      <c r="R53" s="18" t="s">
        <v>148</v>
      </c>
    </row>
    <row r="54" spans="2:20">
      <c r="B54" s="24" t="s">
        <v>134</v>
      </c>
      <c r="C54" s="24"/>
      <c r="D54" s="24"/>
      <c r="E54" s="24"/>
      <c r="F54" s="24"/>
      <c r="H54" s="27">
        <f t="shared" ref="H54:I58" si="13">+H32*H$53</f>
        <v>4.1578827026409054E-3</v>
      </c>
      <c r="I54" s="27">
        <f t="shared" si="13"/>
        <v>2.9576890399320302E-3</v>
      </c>
      <c r="K54" s="18" t="s">
        <v>149</v>
      </c>
      <c r="M54" s="28">
        <f>(440+1020+840)/3</f>
        <v>766.66666666666663</v>
      </c>
      <c r="N54" s="18">
        <v>770</v>
      </c>
      <c r="Q54" s="29">
        <f>2450+5650+4620</f>
        <v>12720</v>
      </c>
      <c r="R54" s="29">
        <f>1930+3870+3270</f>
        <v>9070</v>
      </c>
      <c r="S54" s="29">
        <f>+Q54+R54</f>
        <v>21790</v>
      </c>
      <c r="T54" s="29">
        <f>+S54/3</f>
        <v>7263.333333333333</v>
      </c>
    </row>
    <row r="55" spans="2:20">
      <c r="B55" s="24" t="s">
        <v>135</v>
      </c>
      <c r="C55" s="24"/>
      <c r="D55" s="24"/>
      <c r="E55" s="24"/>
      <c r="F55" s="24"/>
      <c r="H55" s="27">
        <f t="shared" si="13"/>
        <v>2.8065708242826112E-2</v>
      </c>
      <c r="I55" s="27">
        <f t="shared" si="13"/>
        <v>1.9964401019541205E-2</v>
      </c>
      <c r="K55" s="18" t="s">
        <v>150</v>
      </c>
      <c r="M55" s="28">
        <f>(290+440+1020)/3</f>
        <v>583.33333333333337</v>
      </c>
      <c r="N55" s="18">
        <v>580</v>
      </c>
      <c r="Q55" s="29">
        <f>1590+2450+5650</f>
        <v>9690</v>
      </c>
      <c r="R55" s="29">
        <f>1450+1930+3870</f>
        <v>7250</v>
      </c>
      <c r="S55" s="29">
        <f>+Q55+R55</f>
        <v>16940</v>
      </c>
      <c r="T55" s="29">
        <f>+S55/3</f>
        <v>5646.666666666667</v>
      </c>
    </row>
    <row r="56" spans="2:20">
      <c r="B56" s="24" t="s">
        <v>136</v>
      </c>
      <c r="C56" s="24"/>
      <c r="D56" s="24"/>
      <c r="E56" s="24"/>
      <c r="F56" s="24"/>
      <c r="H56" s="27">
        <f t="shared" si="13"/>
        <v>3.8806905224648441E-2</v>
      </c>
      <c r="I56" s="27">
        <f t="shared" si="13"/>
        <v>2.7605097706032276E-2</v>
      </c>
    </row>
    <row r="57" spans="2:20">
      <c r="B57" s="24" t="s">
        <v>26</v>
      </c>
      <c r="C57" s="24"/>
      <c r="D57" s="24"/>
      <c r="E57" s="24"/>
      <c r="F57" s="24"/>
      <c r="H57" s="27">
        <f t="shared" si="13"/>
        <v>0.15430364696467358</v>
      </c>
      <c r="I57" s="27">
        <f t="shared" si="13"/>
        <v>0.1097631265930331</v>
      </c>
    </row>
    <row r="58" spans="2:20">
      <c r="B58" s="24" t="s">
        <v>27</v>
      </c>
      <c r="C58" s="24"/>
      <c r="D58" s="24"/>
      <c r="E58" s="24"/>
      <c r="F58" s="24"/>
      <c r="H58" s="27">
        <f t="shared" si="13"/>
        <v>0.11226283297130442</v>
      </c>
      <c r="I58" s="27">
        <f t="shared" si="13"/>
        <v>7.9857604078164807E-2</v>
      </c>
    </row>
    <row r="60" spans="2:20">
      <c r="B60" s="24" t="s">
        <v>151</v>
      </c>
      <c r="C60" s="24"/>
      <c r="D60" s="24"/>
      <c r="E60" s="24"/>
      <c r="F60" s="24"/>
    </row>
    <row r="61" spans="2:20">
      <c r="B61" s="24" t="s">
        <v>152</v>
      </c>
      <c r="C61" s="24"/>
      <c r="D61" s="24"/>
      <c r="E61" s="24"/>
      <c r="F61" s="24"/>
    </row>
    <row r="62" spans="2:20">
      <c r="B62" s="24" t="s">
        <v>153</v>
      </c>
      <c r="C62" s="24"/>
      <c r="D62" s="24"/>
      <c r="E62" s="24"/>
      <c r="F62" s="24"/>
    </row>
    <row r="63" spans="2:20">
      <c r="B63" s="24" t="s">
        <v>154</v>
      </c>
      <c r="C63" s="24"/>
      <c r="D63" s="24"/>
      <c r="E63" s="24"/>
      <c r="F63" s="24"/>
      <c r="H63" s="29">
        <v>770000000</v>
      </c>
      <c r="Q63" s="18">
        <f>1430+1820+790</f>
        <v>4040</v>
      </c>
    </row>
    <row r="64" spans="2:20">
      <c r="H64" s="29">
        <f>+H63*H33</f>
        <v>16043500.628787013</v>
      </c>
      <c r="Q64" s="28">
        <f>+Q63/3</f>
        <v>1346.6666666666667</v>
      </c>
    </row>
    <row r="67" spans="2:14">
      <c r="M67" s="18" t="s">
        <v>145</v>
      </c>
      <c r="N67" s="18" t="s">
        <v>146</v>
      </c>
    </row>
    <row r="68" spans="2:14">
      <c r="F68" s="30"/>
      <c r="K68" s="18" t="s">
        <v>149</v>
      </c>
      <c r="M68" s="28">
        <f>(790+1820+1430)/3</f>
        <v>1346.6666666666667</v>
      </c>
      <c r="N68" s="18">
        <f>(7840+17050+13420)/3</f>
        <v>12770</v>
      </c>
    </row>
    <row r="69" spans="2:14">
      <c r="K69" s="18" t="s">
        <v>150</v>
      </c>
      <c r="M69" s="28">
        <f>(290+790+1820)/3</f>
        <v>966.66666666666663</v>
      </c>
      <c r="N69" s="18">
        <f>(3070+7840+17050)/3</f>
        <v>9320</v>
      </c>
    </row>
    <row r="70" spans="2:14">
      <c r="F70" s="223" t="s">
        <v>155</v>
      </c>
      <c r="G70" s="224"/>
      <c r="H70" s="224"/>
      <c r="I70" s="225"/>
    </row>
    <row r="71" spans="2:14">
      <c r="F71" s="223" t="s">
        <v>156</v>
      </c>
      <c r="G71" s="225"/>
      <c r="H71" s="223" t="s">
        <v>157</v>
      </c>
      <c r="I71" s="225"/>
    </row>
    <row r="72" spans="2:14">
      <c r="F72" s="31">
        <v>142.68</v>
      </c>
      <c r="G72" s="32">
        <v>142.68</v>
      </c>
      <c r="H72" s="33">
        <f>+F9</f>
        <v>55.3</v>
      </c>
      <c r="I72" s="32">
        <f>+H72</f>
        <v>55.3</v>
      </c>
    </row>
    <row r="73" spans="2:14">
      <c r="E73" s="24" t="s">
        <v>158</v>
      </c>
      <c r="F73" s="34">
        <f>+F72/12</f>
        <v>11.89</v>
      </c>
      <c r="G73" s="35">
        <f>+F73</f>
        <v>11.89</v>
      </c>
      <c r="H73" s="36">
        <f>+H72/12</f>
        <v>4.6083333333333334</v>
      </c>
      <c r="I73" s="35">
        <f>+H73</f>
        <v>4.6083333333333334</v>
      </c>
    </row>
    <row r="74" spans="2:14">
      <c r="E74" s="24" t="s">
        <v>159</v>
      </c>
      <c r="F74" s="34">
        <v>11.89</v>
      </c>
      <c r="G74" s="35">
        <f>+F74</f>
        <v>11.89</v>
      </c>
      <c r="H74" s="36">
        <f t="shared" ref="H74:H84" si="14">+H73</f>
        <v>4.6083333333333334</v>
      </c>
      <c r="I74" s="35">
        <f>+H74</f>
        <v>4.6083333333333334</v>
      </c>
    </row>
    <row r="75" spans="2:14">
      <c r="B75" s="37" t="s">
        <v>160</v>
      </c>
      <c r="C75" s="37"/>
      <c r="D75" s="37"/>
      <c r="E75" s="24" t="s">
        <v>161</v>
      </c>
      <c r="F75" s="34">
        <v>11.89</v>
      </c>
      <c r="G75" s="35">
        <f>+F75*0.9</f>
        <v>10.701000000000001</v>
      </c>
      <c r="H75" s="36">
        <f t="shared" si="14"/>
        <v>4.6083333333333334</v>
      </c>
      <c r="I75" s="35">
        <f>+H75</f>
        <v>4.6083333333333334</v>
      </c>
      <c r="J75" s="38">
        <v>0</v>
      </c>
    </row>
    <row r="76" spans="2:14">
      <c r="B76" s="37" t="s">
        <v>162</v>
      </c>
      <c r="C76" s="37"/>
      <c r="D76" s="37"/>
      <c r="E76" s="24" t="s">
        <v>163</v>
      </c>
      <c r="F76" s="34">
        <v>11.89</v>
      </c>
      <c r="G76" s="35">
        <f>+F76*0.65</f>
        <v>7.7285000000000004</v>
      </c>
      <c r="H76" s="36">
        <f t="shared" si="14"/>
        <v>4.6083333333333334</v>
      </c>
      <c r="I76" s="35">
        <f>+H76*0.95</f>
        <v>4.3779166666666667</v>
      </c>
      <c r="J76" s="38">
        <v>-0.05</v>
      </c>
    </row>
    <row r="77" spans="2:14">
      <c r="B77" s="37" t="s">
        <v>164</v>
      </c>
      <c r="C77" s="37"/>
      <c r="D77" s="37"/>
      <c r="E77" s="24" t="s">
        <v>165</v>
      </c>
      <c r="F77" s="34">
        <v>11.89</v>
      </c>
      <c r="G77" s="35">
        <f>+F77*0.6</f>
        <v>7.1340000000000003</v>
      </c>
      <c r="H77" s="36">
        <f t="shared" si="14"/>
        <v>4.6083333333333334</v>
      </c>
      <c r="I77" s="35">
        <f>+H77*0.95</f>
        <v>4.3779166666666667</v>
      </c>
      <c r="J77" s="38">
        <v>-0.05</v>
      </c>
    </row>
    <row r="78" spans="2:14">
      <c r="B78" s="37" t="s">
        <v>162</v>
      </c>
      <c r="C78" s="37"/>
      <c r="D78" s="37"/>
      <c r="E78" s="24" t="s">
        <v>166</v>
      </c>
      <c r="F78" s="34">
        <v>11.89</v>
      </c>
      <c r="G78" s="35">
        <f>+F78*0.65</f>
        <v>7.7285000000000004</v>
      </c>
      <c r="H78" s="36">
        <f t="shared" si="14"/>
        <v>4.6083333333333334</v>
      </c>
      <c r="I78" s="35">
        <f>+H78*0.95</f>
        <v>4.3779166666666667</v>
      </c>
      <c r="J78" s="38">
        <v>-0.05</v>
      </c>
    </row>
    <row r="79" spans="2:14">
      <c r="B79" s="37" t="s">
        <v>167</v>
      </c>
      <c r="C79" s="37"/>
      <c r="D79" s="37"/>
      <c r="E79" s="24" t="s">
        <v>168</v>
      </c>
      <c r="F79" s="34">
        <v>11.89</v>
      </c>
      <c r="G79" s="35">
        <f>+F79*0.7</f>
        <v>8.3230000000000004</v>
      </c>
      <c r="H79" s="36">
        <f t="shared" si="14"/>
        <v>4.6083333333333334</v>
      </c>
      <c r="I79" s="35">
        <f>+H79*0.85</f>
        <v>3.9170833333333333</v>
      </c>
      <c r="J79" s="38">
        <v>-0.15</v>
      </c>
    </row>
    <row r="80" spans="2:14">
      <c r="B80" s="37" t="s">
        <v>169</v>
      </c>
      <c r="C80" s="37"/>
      <c r="D80" s="37"/>
      <c r="E80" s="24" t="s">
        <v>170</v>
      </c>
      <c r="F80" s="34">
        <v>11.89</v>
      </c>
      <c r="G80" s="35">
        <f>+F80*0.8</f>
        <v>9.5120000000000005</v>
      </c>
      <c r="H80" s="36">
        <f t="shared" si="14"/>
        <v>4.6083333333333334</v>
      </c>
      <c r="I80" s="35">
        <f>+H80*0.9</f>
        <v>4.1475</v>
      </c>
      <c r="J80" s="38">
        <v>-0.1</v>
      </c>
    </row>
    <row r="81" spans="2:11">
      <c r="E81" s="24" t="s">
        <v>171</v>
      </c>
      <c r="F81" s="34">
        <v>11.89</v>
      </c>
      <c r="G81" s="35">
        <f>+F81</f>
        <v>11.89</v>
      </c>
      <c r="H81" s="36">
        <f t="shared" si="14"/>
        <v>4.6083333333333334</v>
      </c>
      <c r="I81" s="35">
        <f>+H81*0.95</f>
        <v>4.3779166666666667</v>
      </c>
      <c r="J81" s="39">
        <v>-0.05</v>
      </c>
      <c r="K81" s="38"/>
    </row>
    <row r="82" spans="2:11">
      <c r="E82" s="24" t="s">
        <v>172</v>
      </c>
      <c r="F82" s="34">
        <v>11.89</v>
      </c>
      <c r="G82" s="35">
        <f>+F82</f>
        <v>11.89</v>
      </c>
      <c r="H82" s="36">
        <f t="shared" si="14"/>
        <v>4.6083333333333334</v>
      </c>
      <c r="I82" s="35">
        <f>+H82</f>
        <v>4.6083333333333334</v>
      </c>
    </row>
    <row r="83" spans="2:11">
      <c r="E83" s="24" t="s">
        <v>173</v>
      </c>
      <c r="F83" s="34">
        <v>11.89</v>
      </c>
      <c r="G83" s="35">
        <f>+F83</f>
        <v>11.89</v>
      </c>
      <c r="H83" s="36">
        <f t="shared" si="14"/>
        <v>4.6083333333333334</v>
      </c>
      <c r="I83" s="35">
        <f>+H83</f>
        <v>4.6083333333333334</v>
      </c>
    </row>
    <row r="84" spans="2:11">
      <c r="E84" s="24" t="s">
        <v>174</v>
      </c>
      <c r="F84" s="34">
        <v>11.89</v>
      </c>
      <c r="G84" s="35">
        <f>+F84</f>
        <v>11.89</v>
      </c>
      <c r="H84" s="36">
        <f t="shared" si="14"/>
        <v>4.6083333333333334</v>
      </c>
      <c r="I84" s="35">
        <f>+H84</f>
        <v>4.6083333333333334</v>
      </c>
    </row>
    <row r="85" spans="2:11">
      <c r="F85" s="36">
        <f>SUM(F73:F84)</f>
        <v>142.68</v>
      </c>
      <c r="G85" s="35">
        <f>SUM(G73:G84)</f>
        <v>122.46700000000001</v>
      </c>
      <c r="H85" s="36">
        <f>SUM(H73:H84)</f>
        <v>55.300000000000004</v>
      </c>
      <c r="I85" s="35">
        <f>SUM(I73:I84)</f>
        <v>53.22625</v>
      </c>
    </row>
    <row r="86" spans="2:11">
      <c r="F86" s="31" t="s">
        <v>175</v>
      </c>
      <c r="G86" s="40" t="s">
        <v>176</v>
      </c>
      <c r="H86" s="31" t="s">
        <v>175</v>
      </c>
      <c r="I86" s="40" t="s">
        <v>176</v>
      </c>
    </row>
    <row r="88" spans="2:11">
      <c r="F88" s="18" t="s">
        <v>177</v>
      </c>
      <c r="G88" s="41">
        <f>+G85/F85-1</f>
        <v>-0.14166666666666661</v>
      </c>
      <c r="H88" s="24"/>
      <c r="I88" s="41">
        <f>+I85/H85-1</f>
        <v>-3.7500000000000089E-2</v>
      </c>
      <c r="J88" s="24"/>
    </row>
    <row r="92" spans="2:11">
      <c r="E92" s="226" t="s">
        <v>178</v>
      </c>
      <c r="F92" s="226" t="s">
        <v>89</v>
      </c>
    </row>
    <row r="93" spans="2:11">
      <c r="E93" s="226"/>
      <c r="F93" s="226"/>
    </row>
    <row r="94" spans="2:11">
      <c r="B94" s="24" t="s">
        <v>137</v>
      </c>
      <c r="C94" s="24"/>
      <c r="D94" s="24"/>
      <c r="E94" s="24" t="s">
        <v>139</v>
      </c>
      <c r="F94" s="24" t="s">
        <v>140</v>
      </c>
    </row>
    <row r="95" spans="2:11">
      <c r="B95" s="24" t="s">
        <v>179</v>
      </c>
      <c r="C95" s="24"/>
      <c r="D95" s="24"/>
      <c r="E95" s="24"/>
      <c r="F95" s="24"/>
    </row>
    <row r="96" spans="2:11">
      <c r="B96" s="24" t="s">
        <v>134</v>
      </c>
      <c r="C96" s="24"/>
      <c r="D96" s="24"/>
      <c r="E96" s="20">
        <f t="shared" ref="E96:F100" si="15">+E40</f>
        <v>0.51435172879990787</v>
      </c>
      <c r="F96" s="20">
        <f t="shared" si="15"/>
        <v>0.59</v>
      </c>
    </row>
    <row r="97" spans="2:12">
      <c r="B97" s="24" t="s">
        <v>135</v>
      </c>
      <c r="C97" s="24"/>
      <c r="D97" s="24"/>
      <c r="E97" s="20">
        <f t="shared" si="15"/>
        <v>2.1184316965826722</v>
      </c>
      <c r="F97" s="20">
        <f t="shared" si="15"/>
        <v>2.4300000000000002</v>
      </c>
    </row>
    <row r="98" spans="2:12">
      <c r="B98" s="24" t="s">
        <v>136</v>
      </c>
      <c r="C98" s="24"/>
      <c r="D98" s="24"/>
      <c r="E98" s="20">
        <f t="shared" si="15"/>
        <v>4.4373733891381884</v>
      </c>
      <c r="F98" s="20">
        <f t="shared" si="15"/>
        <v>5.09</v>
      </c>
    </row>
    <row r="99" spans="2:12">
      <c r="B99" s="24" t="s">
        <v>26</v>
      </c>
      <c r="C99" s="24"/>
      <c r="D99" s="24"/>
      <c r="E99" s="20">
        <f t="shared" si="15"/>
        <v>17.514112256932457</v>
      </c>
      <c r="F99" s="20">
        <f t="shared" si="15"/>
        <v>20.09</v>
      </c>
      <c r="H99" s="42" t="s">
        <v>180</v>
      </c>
      <c r="I99" s="43" t="s">
        <v>139</v>
      </c>
      <c r="J99" s="44" t="s">
        <v>140</v>
      </c>
    </row>
    <row r="100" spans="2:12">
      <c r="B100" s="24" t="s">
        <v>27</v>
      </c>
      <c r="C100" s="24"/>
      <c r="D100" s="24"/>
      <c r="E100" s="20">
        <f t="shared" si="15"/>
        <v>13.076738867794269</v>
      </c>
      <c r="F100" s="20">
        <f t="shared" si="15"/>
        <v>15</v>
      </c>
      <c r="H100" s="45" t="s">
        <v>181</v>
      </c>
      <c r="I100" s="21">
        <f>+E41</f>
        <v>2.1184316965826722</v>
      </c>
      <c r="J100" s="46">
        <f>+F41</f>
        <v>2.4300000000000002</v>
      </c>
    </row>
    <row r="101" spans="2:12">
      <c r="H101" s="45" t="s">
        <v>182</v>
      </c>
      <c r="I101" s="18">
        <v>0.43</v>
      </c>
      <c r="J101" s="46">
        <v>0.4</v>
      </c>
      <c r="L101" s="47">
        <v>2019</v>
      </c>
    </row>
    <row r="102" spans="2:12">
      <c r="B102" s="24" t="s">
        <v>183</v>
      </c>
      <c r="C102" s="24"/>
      <c r="D102" s="24"/>
      <c r="E102" s="20">
        <f>+E97*1.55</f>
        <v>3.283569129703142</v>
      </c>
      <c r="F102" s="20">
        <f>+F97*1.55</f>
        <v>3.7665000000000002</v>
      </c>
      <c r="H102" s="48" t="s">
        <v>184</v>
      </c>
      <c r="I102" s="47">
        <v>0.04</v>
      </c>
      <c r="J102" s="49">
        <v>0.04</v>
      </c>
      <c r="L102" s="18">
        <v>3.4000000000000002E-2</v>
      </c>
    </row>
    <row r="103" spans="2:12">
      <c r="H103" s="45"/>
      <c r="J103" s="46"/>
    </row>
    <row r="104" spans="2:12">
      <c r="B104" s="24" t="s">
        <v>185</v>
      </c>
      <c r="C104" s="24"/>
      <c r="D104" s="24"/>
      <c r="H104" s="50" t="s">
        <v>5</v>
      </c>
      <c r="I104" s="51">
        <f>+I102+I101+I100</f>
        <v>2.5884316965826724</v>
      </c>
      <c r="J104" s="52">
        <f>+J102+J101+J100</f>
        <v>2.87</v>
      </c>
    </row>
    <row r="105" spans="2:12">
      <c r="B105" s="37" t="s">
        <v>186</v>
      </c>
      <c r="C105" s="37"/>
      <c r="D105" s="37"/>
      <c r="E105" s="21">
        <f>+E98</f>
        <v>4.4373733891381884</v>
      </c>
      <c r="F105" s="21">
        <f>+F98</f>
        <v>5.09</v>
      </c>
    </row>
    <row r="106" spans="2:12">
      <c r="B106" s="37" t="s">
        <v>187</v>
      </c>
      <c r="C106" s="37"/>
      <c r="D106" s="37"/>
      <c r="E106" s="21">
        <f>+E102</f>
        <v>3.283569129703142</v>
      </c>
      <c r="F106" s="21">
        <f>+F102</f>
        <v>3.7665000000000002</v>
      </c>
    </row>
    <row r="107" spans="2:12">
      <c r="B107" s="37" t="s">
        <v>188</v>
      </c>
      <c r="C107" s="37"/>
      <c r="D107" s="37"/>
      <c r="E107" s="21">
        <f>+E96</f>
        <v>0.51435172879990787</v>
      </c>
      <c r="F107" s="21">
        <f>+F96</f>
        <v>0.59</v>
      </c>
    </row>
    <row r="108" spans="2:12">
      <c r="B108" s="37" t="s">
        <v>189</v>
      </c>
      <c r="C108" s="37"/>
      <c r="D108" s="37"/>
      <c r="E108" s="21">
        <f>+E105-E106-E107</f>
        <v>0.63945253063513852</v>
      </c>
      <c r="F108" s="21">
        <f>+F105-F106-F107</f>
        <v>0.73349999999999971</v>
      </c>
    </row>
    <row r="110" spans="2:12">
      <c r="B110" s="37" t="s">
        <v>190</v>
      </c>
      <c r="C110" s="37"/>
      <c r="D110" s="37"/>
      <c r="E110" s="18">
        <v>0.21</v>
      </c>
      <c r="F110" s="18">
        <v>0.33</v>
      </c>
    </row>
    <row r="111" spans="2:12">
      <c r="B111" s="37" t="s">
        <v>191</v>
      </c>
      <c r="C111" s="37"/>
      <c r="D111" s="37"/>
      <c r="E111" s="21">
        <f>+E108-E110</f>
        <v>0.42945253063513855</v>
      </c>
      <c r="F111" s="21">
        <f>+F108-F110</f>
        <v>0.40349999999999969</v>
      </c>
    </row>
    <row r="114" spans="2:9">
      <c r="B114" s="18" t="s">
        <v>192</v>
      </c>
    </row>
    <row r="115" spans="2:9">
      <c r="B115" s="18">
        <v>1</v>
      </c>
      <c r="E115" s="18" t="s">
        <v>193</v>
      </c>
    </row>
    <row r="116" spans="2:9">
      <c r="B116" s="18">
        <v>2</v>
      </c>
      <c r="E116" s="18" t="s">
        <v>194</v>
      </c>
    </row>
    <row r="117" spans="2:9">
      <c r="B117" s="18">
        <v>3</v>
      </c>
      <c r="E117" s="18" t="s">
        <v>195</v>
      </c>
    </row>
    <row r="118" spans="2:9">
      <c r="B118" s="18">
        <v>4</v>
      </c>
      <c r="E118" s="18" t="s">
        <v>196</v>
      </c>
    </row>
    <row r="123" spans="2:9">
      <c r="C123" s="18" t="s">
        <v>197</v>
      </c>
    </row>
    <row r="124" spans="2:9" ht="18">
      <c r="C124" s="53">
        <v>43278</v>
      </c>
    </row>
    <row r="125" spans="2:9" ht="18.75">
      <c r="C125" s="54" t="s">
        <v>198</v>
      </c>
      <c r="I125" s="18">
        <f>1970223635+692240736</f>
        <v>2662464371</v>
      </c>
    </row>
    <row r="126" spans="2:9">
      <c r="C126" s="222" t="s">
        <v>199</v>
      </c>
      <c r="D126" s="222"/>
      <c r="E126" s="222"/>
      <c r="F126" s="222"/>
      <c r="G126" s="222"/>
      <c r="H126" s="222"/>
    </row>
    <row r="127" spans="2:9">
      <c r="C127" s="222"/>
      <c r="D127" s="222"/>
      <c r="E127" s="222"/>
      <c r="F127" s="222"/>
      <c r="G127" s="222"/>
      <c r="H127" s="222"/>
    </row>
    <row r="128" spans="2:9">
      <c r="C128" s="222" t="s">
        <v>200</v>
      </c>
      <c r="D128" s="222"/>
      <c r="E128" s="222"/>
      <c r="F128" s="222"/>
      <c r="G128" s="222"/>
      <c r="H128" s="222"/>
    </row>
    <row r="129" spans="3:8">
      <c r="C129" s="222"/>
      <c r="D129" s="222"/>
      <c r="E129" s="222"/>
      <c r="F129" s="222"/>
      <c r="G129" s="222"/>
      <c r="H129" s="222"/>
    </row>
    <row r="130" spans="3:8">
      <c r="C130" s="222"/>
      <c r="D130" s="222"/>
      <c r="E130" s="222"/>
      <c r="F130" s="222"/>
      <c r="G130" s="222"/>
      <c r="H130" s="222"/>
    </row>
    <row r="131" spans="3:8">
      <c r="C131" s="222" t="s">
        <v>201</v>
      </c>
      <c r="D131" s="222"/>
      <c r="E131" s="222"/>
      <c r="F131" s="222"/>
      <c r="G131" s="222"/>
      <c r="H131" s="222"/>
    </row>
    <row r="132" spans="3:8">
      <c r="C132" s="222"/>
      <c r="D132" s="222"/>
      <c r="E132" s="222"/>
      <c r="F132" s="222"/>
      <c r="G132" s="222"/>
      <c r="H132" s="222"/>
    </row>
  </sheetData>
  <mergeCells count="14">
    <mergeCell ref="I2:I3"/>
    <mergeCell ref="F1:H1"/>
    <mergeCell ref="E2:E3"/>
    <mergeCell ref="F2:F3"/>
    <mergeCell ref="G2:G3"/>
    <mergeCell ref="H2:H3"/>
    <mergeCell ref="C128:H130"/>
    <mergeCell ref="C131:H132"/>
    <mergeCell ref="F70:I70"/>
    <mergeCell ref="F71:G71"/>
    <mergeCell ref="H71:I71"/>
    <mergeCell ref="E92:E93"/>
    <mergeCell ref="F92:F93"/>
    <mergeCell ref="C126:H12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A3CFE-80CE-4696-A478-5E09424530D4}">
  <dimension ref="A1:AP95"/>
  <sheetViews>
    <sheetView topLeftCell="L32" zoomScaleNormal="100" workbookViewId="0">
      <selection activeCell="AD6" sqref="AD6"/>
    </sheetView>
  </sheetViews>
  <sheetFormatPr defaultColWidth="12.5703125" defaultRowHeight="15.75"/>
  <cols>
    <col min="1" max="1" width="12.5703125" style="18"/>
    <col min="2" max="2" width="22.140625" style="18" customWidth="1"/>
    <col min="3" max="7" width="12.42578125" style="18" customWidth="1"/>
    <col min="8" max="8" width="13.85546875" style="18" bestFit="1" customWidth="1"/>
    <col min="9" max="9" width="16.140625" style="18" customWidth="1"/>
    <col min="10" max="19" width="12.5703125" style="18"/>
    <col min="20" max="20" width="13.5703125" style="18" customWidth="1"/>
    <col min="21" max="26" width="12.5703125" style="18"/>
    <col min="27" max="27" width="13.7109375" style="18" customWidth="1"/>
    <col min="28" max="32" width="12.5703125" style="18"/>
    <col min="33" max="33" width="17.5703125" style="18" customWidth="1"/>
    <col min="34" max="16384" width="12.5703125" style="18"/>
  </cols>
  <sheetData>
    <row r="1" spans="2:27">
      <c r="B1" s="55"/>
      <c r="C1" s="56"/>
      <c r="G1" s="56"/>
      <c r="H1" s="56"/>
      <c r="U1" s="18" t="s">
        <v>202</v>
      </c>
      <c r="W1" s="18" t="s">
        <v>203</v>
      </c>
    </row>
    <row r="2" spans="2:27" ht="15.95" customHeight="1">
      <c r="B2" s="55"/>
      <c r="C2" s="55"/>
      <c r="G2" s="55"/>
      <c r="H2" s="55"/>
      <c r="R2" s="18" t="s">
        <v>204</v>
      </c>
      <c r="S2" s="18" t="s">
        <v>205</v>
      </c>
    </row>
    <row r="3" spans="2:27">
      <c r="B3" s="55"/>
      <c r="C3" s="55"/>
      <c r="G3" s="55"/>
      <c r="H3" s="55"/>
      <c r="S3" s="18" t="s">
        <v>206</v>
      </c>
    </row>
    <row r="4" spans="2:27" ht="15.95" customHeight="1">
      <c r="B4" s="55"/>
      <c r="C4" s="57"/>
      <c r="D4" s="57"/>
      <c r="G4" s="57"/>
      <c r="H4" s="57"/>
      <c r="R4" s="58" t="s">
        <v>207</v>
      </c>
      <c r="S4" s="58"/>
      <c r="T4" s="58"/>
      <c r="U4" s="58"/>
      <c r="V4" s="58"/>
    </row>
    <row r="5" spans="2:27">
      <c r="B5" s="55"/>
      <c r="C5" s="57"/>
      <c r="D5" s="57"/>
      <c r="G5" s="57"/>
      <c r="H5" s="57"/>
      <c r="R5" s="58" t="s">
        <v>208</v>
      </c>
      <c r="S5" s="58" t="s">
        <v>209</v>
      </c>
      <c r="T5" s="58"/>
      <c r="U5" s="58" t="s">
        <v>210</v>
      </c>
      <c r="V5" s="58"/>
    </row>
    <row r="6" spans="2:27">
      <c r="B6" s="55"/>
      <c r="C6" s="59"/>
      <c r="G6" s="59"/>
      <c r="H6" s="59"/>
      <c r="R6" s="58">
        <v>2011</v>
      </c>
      <c r="S6" s="60">
        <v>40521</v>
      </c>
      <c r="T6" s="58"/>
      <c r="U6" s="58">
        <v>2011</v>
      </c>
      <c r="V6" s="60">
        <v>40379</v>
      </c>
    </row>
    <row r="7" spans="2:27">
      <c r="C7" s="57"/>
      <c r="G7" s="61"/>
      <c r="R7" s="58">
        <v>2012</v>
      </c>
      <c r="S7" s="60">
        <v>40917</v>
      </c>
      <c r="T7" s="58"/>
      <c r="U7" s="58">
        <v>2012</v>
      </c>
      <c r="V7" s="60">
        <v>40725</v>
      </c>
    </row>
    <row r="8" spans="2:27">
      <c r="C8" s="61"/>
      <c r="G8" s="61"/>
      <c r="H8" s="61"/>
      <c r="R8" s="58">
        <v>2013</v>
      </c>
      <c r="S8" s="60">
        <v>41501</v>
      </c>
      <c r="T8" s="58"/>
      <c r="U8" s="58">
        <v>2013</v>
      </c>
      <c r="V8" s="60">
        <v>41312</v>
      </c>
    </row>
    <row r="9" spans="2:27">
      <c r="R9" s="58">
        <v>2014</v>
      </c>
      <c r="S9" s="60">
        <v>42352</v>
      </c>
      <c r="T9" s="58"/>
      <c r="U9" s="58">
        <v>2014</v>
      </c>
      <c r="V9" s="60">
        <v>42165</v>
      </c>
      <c r="Z9" s="18" t="s">
        <v>211</v>
      </c>
    </row>
    <row r="10" spans="2:27">
      <c r="R10" s="58">
        <v>2015</v>
      </c>
      <c r="S10" s="60">
        <v>42352</v>
      </c>
      <c r="T10" s="58"/>
      <c r="U10" s="58">
        <v>2015</v>
      </c>
      <c r="V10" s="60">
        <v>42165</v>
      </c>
      <c r="Z10" s="62" t="s">
        <v>212</v>
      </c>
    </row>
    <row r="11" spans="2:27">
      <c r="R11" s="58">
        <v>2016</v>
      </c>
      <c r="S11" s="60">
        <v>42352</v>
      </c>
      <c r="T11" s="58"/>
      <c r="U11" s="58">
        <v>2016</v>
      </c>
      <c r="V11" s="60">
        <v>42165</v>
      </c>
      <c r="Z11" s="63" t="s">
        <v>213</v>
      </c>
    </row>
    <row r="12" spans="2:27">
      <c r="R12" s="58">
        <v>2017</v>
      </c>
      <c r="S12" s="60">
        <v>42716</v>
      </c>
      <c r="T12" s="58"/>
      <c r="U12" s="58">
        <v>2017</v>
      </c>
      <c r="V12" s="60">
        <v>42508</v>
      </c>
      <c r="AA12" s="64" t="s">
        <v>214</v>
      </c>
    </row>
    <row r="13" spans="2:27" ht="21">
      <c r="B13" s="232"/>
      <c r="C13" s="232"/>
      <c r="D13" s="232"/>
      <c r="E13" s="232"/>
      <c r="F13" s="232"/>
      <c r="G13" s="232"/>
      <c r="H13" s="232"/>
      <c r="I13" s="232"/>
      <c r="R13" s="58">
        <v>2018</v>
      </c>
      <c r="S13" s="60">
        <v>43081</v>
      </c>
      <c r="T13" s="58"/>
      <c r="U13" s="58">
        <v>2018</v>
      </c>
      <c r="V13" s="60">
        <v>42937</v>
      </c>
    </row>
    <row r="14" spans="2:27">
      <c r="B14" s="37"/>
      <c r="C14" s="65"/>
      <c r="R14" s="58">
        <v>2019</v>
      </c>
      <c r="S14" s="60">
        <v>43445</v>
      </c>
      <c r="T14" s="58"/>
      <c r="U14" s="58">
        <v>2019</v>
      </c>
      <c r="V14" s="60">
        <v>43291</v>
      </c>
    </row>
    <row r="15" spans="2:27">
      <c r="B15" s="37"/>
      <c r="R15" s="58">
        <v>2020</v>
      </c>
      <c r="S15" s="60">
        <v>43867</v>
      </c>
      <c r="T15" s="58"/>
      <c r="U15" s="58">
        <v>2020</v>
      </c>
      <c r="V15" s="60">
        <v>43675</v>
      </c>
    </row>
    <row r="16" spans="2:27">
      <c r="B16" s="37"/>
      <c r="R16" s="58">
        <v>2021</v>
      </c>
      <c r="S16" s="60" t="s">
        <v>215</v>
      </c>
      <c r="T16" s="58"/>
      <c r="U16" s="58">
        <v>2021</v>
      </c>
      <c r="V16" s="60" t="s">
        <v>215</v>
      </c>
    </row>
    <row r="17" spans="2:42">
      <c r="B17" s="37"/>
      <c r="S17" s="66"/>
      <c r="V17" s="66"/>
    </row>
    <row r="18" spans="2:42" ht="21">
      <c r="B18" s="37"/>
      <c r="S18" s="66"/>
      <c r="V18" s="66"/>
      <c r="Y18" s="18" t="s">
        <v>216</v>
      </c>
      <c r="AA18" s="67" t="s">
        <v>217</v>
      </c>
    </row>
    <row r="19" spans="2:42">
      <c r="B19" s="37"/>
      <c r="S19" s="66"/>
      <c r="V19" s="66"/>
    </row>
    <row r="20" spans="2:42">
      <c r="L20" s="68" t="s">
        <v>218</v>
      </c>
      <c r="Y20" s="18" t="s">
        <v>219</v>
      </c>
      <c r="AA20" s="18" t="s">
        <v>220</v>
      </c>
    </row>
    <row r="21" spans="2:42">
      <c r="Y21" s="69" t="s">
        <v>221</v>
      </c>
    </row>
    <row r="22" spans="2:42">
      <c r="AH22" s="68" t="s">
        <v>222</v>
      </c>
    </row>
    <row r="23" spans="2:42" ht="24" customHeight="1">
      <c r="Y23" s="233" t="s">
        <v>223</v>
      </c>
      <c r="Z23" s="233"/>
      <c r="AA23" s="233"/>
      <c r="AB23" s="233"/>
      <c r="AC23" s="233"/>
      <c r="AD23" s="233"/>
      <c r="AE23" s="233"/>
      <c r="AH23" s="18" t="s">
        <v>224</v>
      </c>
    </row>
    <row r="24" spans="2:42" ht="15.95" customHeight="1">
      <c r="B24" s="70"/>
      <c r="C24" s="55"/>
      <c r="D24" s="55"/>
      <c r="E24" s="55"/>
      <c r="F24" s="55"/>
      <c r="G24" s="55"/>
      <c r="H24" s="55"/>
      <c r="I24" s="55"/>
      <c r="Y24" s="233"/>
      <c r="Z24" s="233"/>
      <c r="AA24" s="233"/>
      <c r="AB24" s="233"/>
      <c r="AC24" s="233"/>
      <c r="AD24" s="233"/>
      <c r="AE24" s="233"/>
      <c r="AG24" s="18">
        <v>1</v>
      </c>
      <c r="AH24" s="18" t="s">
        <v>225</v>
      </c>
    </row>
    <row r="25" spans="2:42" ht="15.95" customHeight="1">
      <c r="B25" s="70"/>
      <c r="C25" s="55"/>
      <c r="D25" s="55"/>
      <c r="E25" s="55"/>
      <c r="F25" s="55"/>
      <c r="G25" s="55"/>
      <c r="H25" s="55"/>
      <c r="I25" s="55"/>
      <c r="Y25" s="233"/>
      <c r="Z25" s="233"/>
      <c r="AA25" s="233"/>
      <c r="AB25" s="233"/>
      <c r="AC25" s="233"/>
      <c r="AD25" s="233"/>
      <c r="AE25" s="233"/>
      <c r="AI25" s="229" t="s">
        <v>226</v>
      </c>
      <c r="AJ25" s="229"/>
      <c r="AK25" s="229"/>
      <c r="AL25" s="229"/>
      <c r="AM25" s="229"/>
      <c r="AN25" s="229"/>
      <c r="AO25" s="229"/>
      <c r="AP25" s="229"/>
    </row>
    <row r="26" spans="2:42" ht="15.95" customHeight="1">
      <c r="B26" s="70"/>
      <c r="C26" s="55"/>
      <c r="D26" s="55"/>
      <c r="E26" s="55"/>
      <c r="F26" s="55"/>
      <c r="G26" s="55"/>
      <c r="H26" s="55"/>
      <c r="I26" s="55"/>
      <c r="Y26" s="233"/>
      <c r="Z26" s="233"/>
      <c r="AA26" s="233"/>
      <c r="AB26" s="233"/>
      <c r="AC26" s="233"/>
      <c r="AD26" s="233"/>
      <c r="AE26" s="233"/>
      <c r="AI26" s="229"/>
      <c r="AJ26" s="229"/>
      <c r="AK26" s="229"/>
      <c r="AL26" s="229"/>
      <c r="AM26" s="229"/>
      <c r="AN26" s="229"/>
      <c r="AO26" s="229"/>
      <c r="AP26" s="229"/>
    </row>
    <row r="27" spans="2:42" ht="15.95" customHeight="1">
      <c r="B27" s="55"/>
      <c r="C27" s="55"/>
      <c r="D27" s="55"/>
      <c r="E27" s="55"/>
      <c r="F27" s="55"/>
      <c r="G27" s="55"/>
      <c r="H27" s="71"/>
      <c r="I27" s="71"/>
      <c r="Y27" s="233"/>
      <c r="Z27" s="233"/>
      <c r="AA27" s="233"/>
      <c r="AB27" s="233"/>
      <c r="AC27" s="233"/>
      <c r="AD27" s="233"/>
      <c r="AE27" s="233"/>
      <c r="AI27" s="72" t="s">
        <v>227</v>
      </c>
    </row>
    <row r="28" spans="2:42" ht="15.95" customHeight="1">
      <c r="B28" s="55"/>
      <c r="C28" s="55"/>
      <c r="D28" s="55"/>
      <c r="E28" s="55"/>
      <c r="F28" s="55"/>
      <c r="G28" s="55"/>
      <c r="H28" s="71"/>
      <c r="I28" s="71"/>
      <c r="Y28" s="233"/>
      <c r="Z28" s="233"/>
      <c r="AA28" s="233"/>
      <c r="AB28" s="233"/>
      <c r="AC28" s="233"/>
      <c r="AD28" s="233"/>
      <c r="AE28" s="233"/>
      <c r="AI28" s="72" t="s">
        <v>228</v>
      </c>
    </row>
    <row r="29" spans="2:42" ht="15.95" customHeight="1">
      <c r="B29" s="55"/>
      <c r="C29" s="73"/>
      <c r="D29" s="73"/>
      <c r="E29" s="55"/>
      <c r="F29" s="73"/>
      <c r="G29" s="73"/>
      <c r="H29" s="71"/>
      <c r="I29" s="71"/>
      <c r="Y29" s="233"/>
      <c r="Z29" s="233"/>
      <c r="AA29" s="233"/>
      <c r="AB29" s="233"/>
      <c r="AC29" s="233"/>
      <c r="AD29" s="233"/>
      <c r="AE29" s="233"/>
    </row>
    <row r="30" spans="2:42" ht="15.95" customHeight="1">
      <c r="B30" s="55"/>
      <c r="C30" s="73"/>
      <c r="D30" s="73"/>
      <c r="E30" s="55"/>
      <c r="F30" s="73"/>
      <c r="G30" s="73"/>
      <c r="H30" s="71"/>
      <c r="I30" s="71"/>
      <c r="R30" s="234" t="s">
        <v>229</v>
      </c>
      <c r="S30" s="234"/>
      <c r="T30" s="234"/>
      <c r="U30" s="234"/>
      <c r="V30" s="234"/>
      <c r="W30" s="234"/>
      <c r="X30" s="234"/>
      <c r="Y30" s="233"/>
      <c r="Z30" s="233"/>
      <c r="AA30" s="233"/>
      <c r="AB30" s="233"/>
      <c r="AC30" s="233"/>
      <c r="AD30" s="233"/>
      <c r="AE30" s="233"/>
      <c r="AG30" s="18">
        <v>2</v>
      </c>
      <c r="AH30" s="18" t="s">
        <v>230</v>
      </c>
    </row>
    <row r="31" spans="2:42" ht="15.95" customHeight="1">
      <c r="B31" s="55"/>
      <c r="C31" s="55"/>
      <c r="D31" s="73"/>
      <c r="E31" s="73"/>
      <c r="F31" s="55"/>
      <c r="G31" s="55"/>
      <c r="H31" s="71"/>
      <c r="I31" s="71"/>
      <c r="R31" s="234"/>
      <c r="S31" s="234"/>
      <c r="T31" s="234"/>
      <c r="U31" s="234"/>
      <c r="V31" s="234"/>
      <c r="W31" s="234"/>
      <c r="X31" s="234"/>
      <c r="AI31" s="228" t="s">
        <v>231</v>
      </c>
      <c r="AJ31" s="228"/>
      <c r="AK31" s="228"/>
      <c r="AL31" s="228"/>
      <c r="AM31" s="228"/>
      <c r="AN31" s="228"/>
      <c r="AO31" s="228"/>
      <c r="AP31" s="228"/>
    </row>
    <row r="32" spans="2:42" ht="18.95" customHeight="1">
      <c r="B32" s="55"/>
      <c r="C32" s="55"/>
      <c r="D32" s="73"/>
      <c r="E32" s="73"/>
      <c r="F32" s="55"/>
      <c r="G32" s="55"/>
      <c r="H32" s="71"/>
      <c r="I32" s="71"/>
      <c r="R32" s="234"/>
      <c r="S32" s="234"/>
      <c r="T32" s="234"/>
      <c r="U32" s="234"/>
      <c r="V32" s="234"/>
      <c r="W32" s="234"/>
      <c r="X32" s="234"/>
      <c r="Y32" s="235" t="s">
        <v>232</v>
      </c>
      <c r="Z32" s="235"/>
      <c r="AA32" s="235"/>
      <c r="AB32" s="235"/>
      <c r="AC32" s="235"/>
      <c r="AD32" s="235"/>
      <c r="AE32" s="235"/>
      <c r="AF32" s="235"/>
      <c r="AI32" s="228"/>
      <c r="AJ32" s="228"/>
      <c r="AK32" s="228"/>
      <c r="AL32" s="228"/>
      <c r="AM32" s="228"/>
      <c r="AN32" s="228"/>
      <c r="AO32" s="228"/>
      <c r="AP32" s="228"/>
    </row>
    <row r="33" spans="1:42" ht="15.95" customHeight="1">
      <c r="B33" s="55"/>
      <c r="C33" s="55"/>
      <c r="D33" s="55"/>
      <c r="E33" s="55"/>
      <c r="F33" s="55"/>
      <c r="G33" s="55"/>
      <c r="H33" s="71"/>
      <c r="I33" s="71"/>
      <c r="R33" s="234"/>
      <c r="S33" s="234"/>
      <c r="T33" s="234"/>
      <c r="U33" s="234"/>
      <c r="V33" s="234"/>
      <c r="W33" s="234"/>
      <c r="X33" s="234"/>
      <c r="Y33" s="235"/>
      <c r="Z33" s="235"/>
      <c r="AA33" s="235"/>
      <c r="AB33" s="235"/>
      <c r="AC33" s="235"/>
      <c r="AD33" s="235"/>
      <c r="AE33" s="235"/>
      <c r="AF33" s="235"/>
      <c r="AI33" s="228"/>
      <c r="AJ33" s="228"/>
      <c r="AK33" s="228"/>
      <c r="AL33" s="228"/>
      <c r="AM33" s="228"/>
      <c r="AN33" s="228"/>
      <c r="AO33" s="228"/>
      <c r="AP33" s="228"/>
    </row>
    <row r="34" spans="1:42" ht="15.95" customHeight="1">
      <c r="B34" s="55"/>
      <c r="C34" s="55"/>
      <c r="D34" s="55"/>
      <c r="E34" s="55"/>
      <c r="F34" s="55"/>
      <c r="G34" s="55"/>
      <c r="H34" s="71"/>
      <c r="I34" s="71"/>
      <c r="R34" s="234"/>
      <c r="S34" s="234"/>
      <c r="T34" s="234"/>
      <c r="U34" s="234"/>
      <c r="V34" s="234"/>
      <c r="W34" s="234"/>
      <c r="X34" s="234"/>
      <c r="Y34" s="235"/>
      <c r="Z34" s="235"/>
      <c r="AA34" s="235"/>
      <c r="AB34" s="235"/>
      <c r="AC34" s="235"/>
      <c r="AD34" s="235"/>
      <c r="AE34" s="235"/>
      <c r="AF34" s="235"/>
      <c r="AI34" s="228"/>
      <c r="AJ34" s="228"/>
      <c r="AK34" s="228"/>
      <c r="AL34" s="228"/>
      <c r="AM34" s="228"/>
      <c r="AN34" s="228"/>
      <c r="AO34" s="228"/>
      <c r="AP34" s="228"/>
    </row>
    <row r="35" spans="1:42" ht="15.95" customHeight="1">
      <c r="R35" s="234"/>
      <c r="S35" s="234"/>
      <c r="T35" s="234"/>
      <c r="U35" s="234"/>
      <c r="V35" s="234"/>
      <c r="W35" s="234"/>
      <c r="X35" s="234"/>
      <c r="Y35" s="235"/>
      <c r="Z35" s="235"/>
      <c r="AA35" s="235"/>
      <c r="AB35" s="235"/>
      <c r="AC35" s="235"/>
      <c r="AD35" s="235"/>
      <c r="AE35" s="235"/>
      <c r="AF35" s="235"/>
      <c r="AI35" s="228"/>
      <c r="AJ35" s="228"/>
      <c r="AK35" s="228"/>
      <c r="AL35" s="228"/>
      <c r="AM35" s="228"/>
      <c r="AN35" s="228"/>
      <c r="AO35" s="228"/>
      <c r="AP35" s="228"/>
    </row>
    <row r="36" spans="1:42">
      <c r="R36" s="234"/>
      <c r="S36" s="234"/>
      <c r="T36" s="234"/>
      <c r="U36" s="234"/>
      <c r="V36" s="234"/>
      <c r="W36" s="234"/>
      <c r="X36" s="234"/>
      <c r="Y36" s="235"/>
      <c r="Z36" s="235"/>
      <c r="AA36" s="235"/>
      <c r="AB36" s="235"/>
      <c r="AC36" s="235"/>
      <c r="AD36" s="235"/>
      <c r="AE36" s="235"/>
      <c r="AF36" s="235"/>
      <c r="AI36" s="228"/>
      <c r="AJ36" s="228"/>
      <c r="AK36" s="228"/>
      <c r="AL36" s="228"/>
      <c r="AM36" s="228"/>
      <c r="AN36" s="228"/>
      <c r="AO36" s="228"/>
      <c r="AP36" s="228"/>
    </row>
    <row r="37" spans="1:42" ht="20.100000000000001" customHeight="1">
      <c r="Y37" s="235"/>
      <c r="Z37" s="235"/>
      <c r="AA37" s="235"/>
      <c r="AB37" s="235"/>
      <c r="AC37" s="235"/>
      <c r="AD37" s="235"/>
      <c r="AE37" s="235"/>
      <c r="AF37" s="235"/>
      <c r="AI37" s="228"/>
      <c r="AJ37" s="228"/>
      <c r="AK37" s="228"/>
      <c r="AL37" s="228"/>
      <c r="AM37" s="228"/>
      <c r="AN37" s="228"/>
      <c r="AO37" s="228"/>
      <c r="AP37" s="228"/>
    </row>
    <row r="38" spans="1:42">
      <c r="A38" s="74"/>
      <c r="B38" s="74"/>
      <c r="C38" s="74"/>
      <c r="D38" s="74"/>
      <c r="E38" s="74"/>
      <c r="F38" s="74"/>
      <c r="G38" s="74"/>
      <c r="H38" s="74"/>
      <c r="I38" s="74"/>
      <c r="J38" s="74"/>
      <c r="K38" s="74"/>
      <c r="AI38" s="228"/>
      <c r="AJ38" s="228"/>
      <c r="AK38" s="228"/>
      <c r="AL38" s="228"/>
      <c r="AM38" s="228"/>
      <c r="AN38" s="228"/>
      <c r="AO38" s="228"/>
      <c r="AP38" s="228"/>
    </row>
    <row r="39" spans="1:42">
      <c r="B39" s="18" t="s">
        <v>233</v>
      </c>
      <c r="AI39" s="228"/>
      <c r="AJ39" s="228"/>
      <c r="AK39" s="228"/>
      <c r="AL39" s="228"/>
      <c r="AM39" s="228"/>
      <c r="AN39" s="228"/>
      <c r="AO39" s="228"/>
      <c r="AP39" s="228"/>
    </row>
    <row r="40" spans="1:42">
      <c r="C40" s="18" t="s">
        <v>234</v>
      </c>
      <c r="J40" s="18" t="s">
        <v>235</v>
      </c>
      <c r="R40" s="18" t="s">
        <v>236</v>
      </c>
      <c r="Y40" s="18" t="s">
        <v>235</v>
      </c>
      <c r="AA40" s="18" t="s">
        <v>141</v>
      </c>
      <c r="AI40" s="228"/>
      <c r="AJ40" s="228"/>
      <c r="AK40" s="228"/>
      <c r="AL40" s="228"/>
      <c r="AM40" s="228"/>
      <c r="AN40" s="228"/>
      <c r="AO40" s="228"/>
      <c r="AP40" s="228"/>
    </row>
    <row r="41" spans="1:42" ht="15.95" customHeight="1">
      <c r="T41" s="231" t="s">
        <v>237</v>
      </c>
      <c r="AI41" s="228"/>
      <c r="AJ41" s="228"/>
      <c r="AK41" s="228"/>
      <c r="AL41" s="228"/>
      <c r="AM41" s="228"/>
      <c r="AN41" s="228"/>
      <c r="AO41" s="228"/>
      <c r="AP41" s="228"/>
    </row>
    <row r="42" spans="1:42">
      <c r="C42" s="24" t="s">
        <v>67</v>
      </c>
      <c r="D42" s="24" t="s">
        <v>238</v>
      </c>
      <c r="E42" s="24" t="s">
        <v>68</v>
      </c>
      <c r="F42" s="24" t="s">
        <v>69</v>
      </c>
      <c r="G42" s="24" t="s">
        <v>239</v>
      </c>
      <c r="J42" s="24" t="s">
        <v>67</v>
      </c>
      <c r="K42" s="24" t="s">
        <v>72</v>
      </c>
      <c r="L42" s="24" t="s">
        <v>68</v>
      </c>
      <c r="M42" s="24" t="s">
        <v>69</v>
      </c>
      <c r="N42" s="24" t="s">
        <v>239</v>
      </c>
      <c r="R42" s="24" t="s">
        <v>67</v>
      </c>
      <c r="S42" s="24" t="s">
        <v>238</v>
      </c>
      <c r="T42" s="231"/>
      <c r="U42" s="24" t="s">
        <v>69</v>
      </c>
      <c r="V42" s="24" t="s">
        <v>239</v>
      </c>
      <c r="Y42" s="24" t="s">
        <v>67</v>
      </c>
      <c r="Z42" s="24" t="s">
        <v>72</v>
      </c>
      <c r="AA42" s="18" t="s">
        <v>237</v>
      </c>
      <c r="AB42" s="24" t="s">
        <v>69</v>
      </c>
      <c r="AC42" s="24" t="s">
        <v>239</v>
      </c>
      <c r="AD42" s="24" t="s">
        <v>240</v>
      </c>
      <c r="AI42" s="228"/>
      <c r="AJ42" s="228"/>
      <c r="AK42" s="228"/>
      <c r="AL42" s="228"/>
      <c r="AM42" s="228"/>
      <c r="AN42" s="228"/>
      <c r="AO42" s="228"/>
      <c r="AP42" s="228"/>
    </row>
    <row r="43" spans="1:42">
      <c r="B43" s="18">
        <v>2006</v>
      </c>
      <c r="C43" s="75" t="s">
        <v>241</v>
      </c>
      <c r="D43" s="75" t="s">
        <v>241</v>
      </c>
      <c r="E43" s="75" t="s">
        <v>241</v>
      </c>
      <c r="H43" s="75"/>
      <c r="I43" s="18">
        <v>2006</v>
      </c>
      <c r="Q43" s="18">
        <v>2006</v>
      </c>
      <c r="R43" s="75" t="s">
        <v>241</v>
      </c>
      <c r="S43" s="75" t="s">
        <v>241</v>
      </c>
      <c r="T43" s="75" t="s">
        <v>241</v>
      </c>
      <c r="V43" s="18">
        <v>4</v>
      </c>
      <c r="X43" s="18">
        <v>2006</v>
      </c>
      <c r="AI43" s="228"/>
      <c r="AJ43" s="228"/>
      <c r="AK43" s="228"/>
      <c r="AL43" s="228"/>
      <c r="AM43" s="228"/>
      <c r="AN43" s="228"/>
      <c r="AO43" s="228"/>
      <c r="AP43" s="228"/>
    </row>
    <row r="44" spans="1:42">
      <c r="B44" s="18">
        <v>2007</v>
      </c>
      <c r="C44" s="75" t="s">
        <v>241</v>
      </c>
      <c r="D44" s="75" t="s">
        <v>241</v>
      </c>
      <c r="E44" s="75" t="s">
        <v>241</v>
      </c>
      <c r="H44" s="75"/>
      <c r="I44" s="18">
        <v>2007</v>
      </c>
      <c r="Q44" s="18">
        <v>2007</v>
      </c>
      <c r="R44" s="75" t="s">
        <v>241</v>
      </c>
      <c r="S44" s="75" t="s">
        <v>241</v>
      </c>
      <c r="T44" s="75" t="s">
        <v>241</v>
      </c>
      <c r="V44" s="18">
        <v>4.7</v>
      </c>
      <c r="X44" s="18">
        <v>2007</v>
      </c>
    </row>
    <row r="45" spans="1:42">
      <c r="B45" s="18">
        <v>2008</v>
      </c>
      <c r="C45" s="75" t="s">
        <v>241</v>
      </c>
      <c r="D45" s="75" t="s">
        <v>241</v>
      </c>
      <c r="E45" s="75" t="s">
        <v>241</v>
      </c>
      <c r="H45" s="75"/>
      <c r="I45" s="18">
        <v>2008</v>
      </c>
      <c r="Q45" s="18">
        <v>2008</v>
      </c>
      <c r="R45" s="75" t="s">
        <v>241</v>
      </c>
      <c r="S45" s="75" t="s">
        <v>241</v>
      </c>
      <c r="T45" s="75" t="s">
        <v>241</v>
      </c>
      <c r="V45" s="18">
        <v>9</v>
      </c>
      <c r="X45" s="18">
        <v>2008</v>
      </c>
      <c r="AG45" s="18">
        <v>3</v>
      </c>
      <c r="AH45" s="18" t="s">
        <v>242</v>
      </c>
    </row>
    <row r="46" spans="1:42">
      <c r="B46" s="76">
        <v>2009</v>
      </c>
      <c r="C46" s="75" t="s">
        <v>241</v>
      </c>
      <c r="D46" s="75">
        <v>0.5</v>
      </c>
      <c r="E46" s="75">
        <v>0.6</v>
      </c>
      <c r="F46" s="75">
        <v>10.5</v>
      </c>
      <c r="G46" s="75">
        <v>11.1</v>
      </c>
      <c r="H46" s="75"/>
      <c r="I46" s="18">
        <v>2009</v>
      </c>
      <c r="Q46" s="76">
        <v>2009</v>
      </c>
      <c r="R46" s="75" t="s">
        <v>241</v>
      </c>
      <c r="S46" s="75">
        <v>0.5</v>
      </c>
      <c r="T46" s="75">
        <f>+E46-S46</f>
        <v>9.9999999999999978E-2</v>
      </c>
      <c r="U46" s="75">
        <v>10.5</v>
      </c>
      <c r="V46" s="75">
        <v>11.1</v>
      </c>
      <c r="W46" s="75"/>
      <c r="X46" s="18">
        <v>2009</v>
      </c>
      <c r="AI46" s="229" t="s">
        <v>243</v>
      </c>
      <c r="AJ46" s="229"/>
      <c r="AK46" s="229"/>
      <c r="AL46" s="229"/>
      <c r="AM46" s="229"/>
      <c r="AN46" s="229"/>
      <c r="AO46" s="229"/>
      <c r="AP46" s="229"/>
    </row>
    <row r="47" spans="1:42">
      <c r="B47" s="76">
        <v>2010</v>
      </c>
      <c r="C47" s="75">
        <v>0.1</v>
      </c>
      <c r="D47" s="75">
        <v>0.65</v>
      </c>
      <c r="E47" s="75">
        <v>0.95</v>
      </c>
      <c r="F47" s="75">
        <v>12</v>
      </c>
      <c r="G47" s="75">
        <v>12.95</v>
      </c>
      <c r="H47" s="75"/>
      <c r="I47" s="18">
        <v>2010</v>
      </c>
      <c r="Q47" s="76">
        <v>2010</v>
      </c>
      <c r="R47" s="75">
        <v>0.1</v>
      </c>
      <c r="S47" s="75">
        <v>0.65</v>
      </c>
      <c r="T47" s="75">
        <f t="shared" ref="T47:T59" si="0">+E47-S47-R47</f>
        <v>0.19999999999999993</v>
      </c>
      <c r="U47" s="75">
        <v>12</v>
      </c>
      <c r="V47" s="75">
        <v>12.95</v>
      </c>
      <c r="W47" s="75"/>
      <c r="X47" s="18">
        <v>2010</v>
      </c>
      <c r="AI47" s="229"/>
      <c r="AJ47" s="229"/>
      <c r="AK47" s="229"/>
      <c r="AL47" s="229"/>
      <c r="AM47" s="229"/>
      <c r="AN47" s="229"/>
      <c r="AO47" s="229"/>
      <c r="AP47" s="229"/>
    </row>
    <row r="48" spans="1:42">
      <c r="B48" s="76">
        <v>2011</v>
      </c>
      <c r="C48" s="75">
        <v>0.25</v>
      </c>
      <c r="D48" s="75">
        <v>0.8</v>
      </c>
      <c r="E48" s="75">
        <v>1.35</v>
      </c>
      <c r="F48" s="75">
        <v>12.6</v>
      </c>
      <c r="G48" s="75">
        <v>13.95</v>
      </c>
      <c r="H48" s="75"/>
      <c r="I48" s="18">
        <v>2011</v>
      </c>
      <c r="Q48" s="76">
        <v>2011</v>
      </c>
      <c r="R48" s="75">
        <v>0.25</v>
      </c>
      <c r="S48" s="75">
        <v>0.8</v>
      </c>
      <c r="T48" s="75">
        <f t="shared" si="0"/>
        <v>0.30000000000000004</v>
      </c>
      <c r="U48" s="75">
        <v>12.6</v>
      </c>
      <c r="V48" s="75">
        <v>13.95</v>
      </c>
      <c r="W48" s="75"/>
      <c r="X48" s="18">
        <v>2011</v>
      </c>
      <c r="AE48" s="230" t="s">
        <v>244</v>
      </c>
      <c r="AF48" s="230"/>
      <c r="AG48" s="230"/>
      <c r="AI48" s="229"/>
      <c r="AJ48" s="229"/>
      <c r="AK48" s="229"/>
      <c r="AL48" s="229"/>
      <c r="AM48" s="229"/>
      <c r="AN48" s="229"/>
      <c r="AO48" s="229"/>
      <c r="AP48" s="229"/>
    </row>
    <row r="49" spans="2:42">
      <c r="B49" s="76">
        <v>2012</v>
      </c>
      <c r="C49" s="75">
        <v>0.5</v>
      </c>
      <c r="D49" s="75">
        <v>1</v>
      </c>
      <c r="E49" s="75">
        <v>2</v>
      </c>
      <c r="F49" s="75">
        <v>13.2</v>
      </c>
      <c r="G49" s="75">
        <v>15.2</v>
      </c>
      <c r="H49" s="75"/>
      <c r="I49" s="18">
        <v>2012</v>
      </c>
      <c r="Q49" s="76">
        <v>2012</v>
      </c>
      <c r="R49" s="75">
        <v>0.5</v>
      </c>
      <c r="S49" s="75">
        <v>1</v>
      </c>
      <c r="T49" s="75">
        <f t="shared" si="0"/>
        <v>0.5</v>
      </c>
      <c r="U49" s="75">
        <v>13.2</v>
      </c>
      <c r="V49" s="75">
        <v>15.2</v>
      </c>
      <c r="W49" s="75"/>
      <c r="X49" s="18">
        <v>2012</v>
      </c>
      <c r="AG49" s="231" t="s">
        <v>245</v>
      </c>
      <c r="AI49" s="229"/>
      <c r="AJ49" s="229"/>
      <c r="AK49" s="229"/>
      <c r="AL49" s="229"/>
      <c r="AM49" s="229"/>
      <c r="AN49" s="229"/>
      <c r="AO49" s="229"/>
      <c r="AP49" s="229"/>
    </row>
    <row r="50" spans="2:42">
      <c r="B50" s="76">
        <v>2013</v>
      </c>
      <c r="C50" s="75">
        <v>1</v>
      </c>
      <c r="D50" s="75">
        <v>1</v>
      </c>
      <c r="E50" s="75">
        <v>2.75</v>
      </c>
      <c r="F50" s="75">
        <v>13.8</v>
      </c>
      <c r="G50" s="75">
        <v>16.55</v>
      </c>
      <c r="H50" s="75"/>
      <c r="I50" s="18">
        <v>2013</v>
      </c>
      <c r="J50" s="75">
        <v>6.0000000000000001E-3</v>
      </c>
      <c r="K50" s="75">
        <v>1.28</v>
      </c>
      <c r="L50" s="18">
        <v>2.75</v>
      </c>
      <c r="M50" s="18">
        <f t="shared" ref="M50:M57" si="1">+N50-L50</f>
        <v>13.8</v>
      </c>
      <c r="N50" s="18">
        <v>16.55</v>
      </c>
      <c r="P50" s="18">
        <f t="shared" ref="P50:P57" si="2">+M50+L50</f>
        <v>16.55</v>
      </c>
      <c r="Q50" s="76">
        <v>2013</v>
      </c>
      <c r="R50" s="75">
        <v>1</v>
      </c>
      <c r="S50" s="75">
        <v>1</v>
      </c>
      <c r="T50" s="75">
        <f t="shared" si="0"/>
        <v>0.75</v>
      </c>
      <c r="U50" s="75">
        <v>13.8</v>
      </c>
      <c r="V50" s="75">
        <v>16.55</v>
      </c>
      <c r="W50" s="75"/>
      <c r="X50" s="18">
        <v>2013</v>
      </c>
      <c r="Y50" s="18">
        <v>6.0000000000000001E-3</v>
      </c>
      <c r="Z50" s="18">
        <v>1.28</v>
      </c>
      <c r="AA50" s="18">
        <f t="shared" ref="AA50:AA57" si="3">+L50-Z50-Y50</f>
        <v>1.464</v>
      </c>
      <c r="AB50" s="18">
        <f>+AC50-L50</f>
        <v>13.8</v>
      </c>
      <c r="AC50" s="18">
        <v>16.55</v>
      </c>
      <c r="AD50" s="77"/>
      <c r="AE50" s="18" t="s">
        <v>246</v>
      </c>
      <c r="AF50" s="18" t="s">
        <v>247</v>
      </c>
      <c r="AG50" s="231"/>
      <c r="AI50" s="229"/>
      <c r="AJ50" s="229"/>
      <c r="AK50" s="229"/>
      <c r="AL50" s="229"/>
      <c r="AM50" s="229"/>
      <c r="AN50" s="229"/>
      <c r="AO50" s="229"/>
      <c r="AP50" s="229"/>
    </row>
    <row r="51" spans="2:42">
      <c r="B51" s="76">
        <v>2014</v>
      </c>
      <c r="C51" s="75">
        <v>1.75</v>
      </c>
      <c r="D51" s="75">
        <v>1</v>
      </c>
      <c r="E51" s="75">
        <v>3.75</v>
      </c>
      <c r="F51" s="75">
        <v>14.4</v>
      </c>
      <c r="G51" s="75">
        <v>18.149999999999999</v>
      </c>
      <c r="H51" s="75"/>
      <c r="I51" s="18">
        <v>2014</v>
      </c>
      <c r="J51" s="18">
        <v>3.3000000000000002E-2</v>
      </c>
      <c r="K51" s="18">
        <v>1.63</v>
      </c>
      <c r="L51" s="18">
        <v>2.67</v>
      </c>
      <c r="M51" s="18">
        <f t="shared" si="1"/>
        <v>13.610000000000001</v>
      </c>
      <c r="N51" s="18">
        <v>16.28</v>
      </c>
      <c r="P51" s="18">
        <f t="shared" si="2"/>
        <v>16.28</v>
      </c>
      <c r="Q51" s="76">
        <v>2014</v>
      </c>
      <c r="R51" s="75">
        <v>1.75</v>
      </c>
      <c r="S51" s="75">
        <v>1</v>
      </c>
      <c r="T51" s="75">
        <f t="shared" si="0"/>
        <v>1</v>
      </c>
      <c r="U51" s="75">
        <v>14.4</v>
      </c>
      <c r="V51" s="75">
        <v>18.149999999999999</v>
      </c>
      <c r="W51" s="75"/>
      <c r="X51" s="18">
        <v>2014</v>
      </c>
      <c r="Y51" s="18">
        <v>3.3000000000000002E-2</v>
      </c>
      <c r="Z51" s="18">
        <v>1.63</v>
      </c>
      <c r="AA51" s="18">
        <f t="shared" si="3"/>
        <v>1.0070000000000001</v>
      </c>
      <c r="AB51" s="18">
        <v>13.610000000000001</v>
      </c>
      <c r="AC51" s="18">
        <v>16.28</v>
      </c>
      <c r="AD51" s="77">
        <f t="shared" ref="AD51:AD57" si="4">+AC51/V51</f>
        <v>0.89696969696969708</v>
      </c>
      <c r="AI51" s="229"/>
      <c r="AJ51" s="229"/>
      <c r="AK51" s="229"/>
      <c r="AL51" s="229"/>
      <c r="AM51" s="229"/>
      <c r="AN51" s="229"/>
      <c r="AO51" s="229"/>
      <c r="AP51" s="229"/>
    </row>
    <row r="52" spans="2:42">
      <c r="B52" s="76">
        <v>2015</v>
      </c>
      <c r="C52" s="75">
        <v>3</v>
      </c>
      <c r="D52" s="75">
        <v>1</v>
      </c>
      <c r="E52" s="75">
        <v>5.5</v>
      </c>
      <c r="F52" s="75">
        <v>15</v>
      </c>
      <c r="G52" s="75">
        <v>20.5</v>
      </c>
      <c r="H52" s="75"/>
      <c r="I52" s="18">
        <v>2015</v>
      </c>
      <c r="J52" s="18">
        <v>0.123</v>
      </c>
      <c r="K52" s="18">
        <v>1.73</v>
      </c>
      <c r="L52" s="18">
        <v>2.88</v>
      </c>
      <c r="M52" s="18">
        <f t="shared" si="1"/>
        <v>14.05</v>
      </c>
      <c r="N52" s="18">
        <v>16.93</v>
      </c>
      <c r="P52" s="18">
        <f t="shared" si="2"/>
        <v>16.93</v>
      </c>
      <c r="Q52" s="76">
        <v>2015</v>
      </c>
      <c r="R52" s="75">
        <v>3</v>
      </c>
      <c r="S52" s="75">
        <v>1</v>
      </c>
      <c r="T52" s="75">
        <f t="shared" si="0"/>
        <v>1.5</v>
      </c>
      <c r="U52" s="75">
        <v>15</v>
      </c>
      <c r="V52" s="75">
        <v>20.5</v>
      </c>
      <c r="W52" s="75"/>
      <c r="X52" s="18">
        <v>2015</v>
      </c>
      <c r="Y52" s="18">
        <v>0.123</v>
      </c>
      <c r="Z52" s="18">
        <v>1.73</v>
      </c>
      <c r="AA52" s="18">
        <f t="shared" si="3"/>
        <v>1.0269999999999999</v>
      </c>
      <c r="AB52" s="18">
        <v>14.05</v>
      </c>
      <c r="AC52" s="18">
        <v>16.93</v>
      </c>
      <c r="AD52" s="77">
        <f t="shared" si="4"/>
        <v>0.82585365853658532</v>
      </c>
      <c r="AF52" s="24"/>
      <c r="AG52" s="78"/>
      <c r="AI52" s="229"/>
      <c r="AJ52" s="229"/>
      <c r="AK52" s="229"/>
      <c r="AL52" s="229"/>
      <c r="AM52" s="229"/>
      <c r="AN52" s="229"/>
      <c r="AO52" s="229"/>
      <c r="AP52" s="229"/>
    </row>
    <row r="53" spans="2:42">
      <c r="B53" s="76">
        <v>2016</v>
      </c>
      <c r="C53" s="75">
        <v>4.25</v>
      </c>
      <c r="D53" s="75">
        <v>1</v>
      </c>
      <c r="E53" s="75">
        <v>7.25</v>
      </c>
      <c r="F53" s="75">
        <v>15</v>
      </c>
      <c r="G53" s="75">
        <v>22.25</v>
      </c>
      <c r="H53" s="75"/>
      <c r="I53" s="18">
        <v>2016</v>
      </c>
      <c r="J53" s="18">
        <v>0.23</v>
      </c>
      <c r="K53" s="18">
        <v>1.9</v>
      </c>
      <c r="L53" s="18">
        <v>3.61</v>
      </c>
      <c r="M53" s="18">
        <f t="shared" si="1"/>
        <v>14.5</v>
      </c>
      <c r="N53" s="18">
        <v>18.11</v>
      </c>
      <c r="P53" s="18">
        <f t="shared" si="2"/>
        <v>18.11</v>
      </c>
      <c r="Q53" s="76">
        <v>2016</v>
      </c>
      <c r="R53" s="75">
        <v>4.25</v>
      </c>
      <c r="S53" s="75">
        <v>1</v>
      </c>
      <c r="T53" s="75">
        <f t="shared" si="0"/>
        <v>2</v>
      </c>
      <c r="U53" s="75">
        <v>15</v>
      </c>
      <c r="V53" s="75">
        <v>22.25</v>
      </c>
      <c r="W53" s="75">
        <f t="shared" ref="W53:W59" si="5">+V53*0.8</f>
        <v>17.8</v>
      </c>
      <c r="X53" s="18">
        <v>2016</v>
      </c>
      <c r="Y53" s="18">
        <v>0.23</v>
      </c>
      <c r="Z53" s="18">
        <v>1.9</v>
      </c>
      <c r="AA53" s="18">
        <f t="shared" si="3"/>
        <v>1.48</v>
      </c>
      <c r="AB53" s="18">
        <v>14.5</v>
      </c>
      <c r="AC53" s="18">
        <v>18.11</v>
      </c>
      <c r="AD53" s="77">
        <f t="shared" si="4"/>
        <v>0.81393258426966286</v>
      </c>
      <c r="AE53" s="79">
        <v>2016</v>
      </c>
      <c r="AF53" s="24">
        <f>+V53*0.2</f>
        <v>4.45</v>
      </c>
      <c r="AG53" s="24">
        <f>+V53-AF53</f>
        <v>17.8</v>
      </c>
    </row>
    <row r="54" spans="2:42">
      <c r="B54" s="76">
        <v>2017</v>
      </c>
      <c r="C54" s="75">
        <v>5.5</v>
      </c>
      <c r="D54" s="75">
        <v>1</v>
      </c>
      <c r="E54" s="75">
        <v>9</v>
      </c>
      <c r="F54" s="75">
        <v>15</v>
      </c>
      <c r="G54" s="75">
        <v>24</v>
      </c>
      <c r="H54" s="75"/>
      <c r="I54" s="18">
        <v>2017</v>
      </c>
      <c r="J54" s="18">
        <v>0.311</v>
      </c>
      <c r="K54" s="18">
        <v>2</v>
      </c>
      <c r="L54" s="18">
        <v>4.28</v>
      </c>
      <c r="M54" s="18">
        <f t="shared" si="1"/>
        <v>15</v>
      </c>
      <c r="N54" s="18">
        <v>19.28</v>
      </c>
      <c r="P54" s="18">
        <f t="shared" si="2"/>
        <v>19.28</v>
      </c>
      <c r="Q54" s="76">
        <v>2017</v>
      </c>
      <c r="R54" s="75">
        <v>5.5</v>
      </c>
      <c r="S54" s="75">
        <v>1</v>
      </c>
      <c r="T54" s="75">
        <f t="shared" si="0"/>
        <v>2.5</v>
      </c>
      <c r="U54" s="75">
        <v>15</v>
      </c>
      <c r="V54" s="75">
        <v>24</v>
      </c>
      <c r="W54" s="75">
        <f t="shared" si="5"/>
        <v>19.200000000000003</v>
      </c>
      <c r="X54" s="18">
        <v>2017</v>
      </c>
      <c r="Y54" s="18">
        <v>0.311</v>
      </c>
      <c r="Z54" s="18">
        <v>2</v>
      </c>
      <c r="AA54" s="18">
        <f t="shared" si="3"/>
        <v>1.9690000000000003</v>
      </c>
      <c r="AB54" s="18">
        <v>15</v>
      </c>
      <c r="AC54" s="18">
        <v>19.28</v>
      </c>
      <c r="AD54" s="77">
        <f t="shared" si="4"/>
        <v>0.80333333333333334</v>
      </c>
      <c r="AE54" s="79">
        <v>2017</v>
      </c>
      <c r="AF54" s="24">
        <f>+V54*0.2</f>
        <v>4.8000000000000007</v>
      </c>
      <c r="AG54" s="24">
        <f>+V54-AF54</f>
        <v>19.2</v>
      </c>
    </row>
    <row r="55" spans="2:42">
      <c r="B55" s="76">
        <v>2018</v>
      </c>
      <c r="C55" s="75">
        <v>7</v>
      </c>
      <c r="D55" s="75">
        <v>1</v>
      </c>
      <c r="E55" s="75">
        <v>11</v>
      </c>
      <c r="F55" s="75">
        <v>15</v>
      </c>
      <c r="G55" s="75">
        <v>26</v>
      </c>
      <c r="H55" s="75"/>
      <c r="I55" s="18">
        <v>2018</v>
      </c>
      <c r="J55" s="18">
        <v>0.28799999999999998</v>
      </c>
      <c r="K55" s="18">
        <v>2.1</v>
      </c>
      <c r="L55" s="18">
        <v>4.29</v>
      </c>
      <c r="M55" s="18">
        <f t="shared" si="1"/>
        <v>15</v>
      </c>
      <c r="N55" s="18">
        <v>19.29</v>
      </c>
      <c r="P55" s="18">
        <f t="shared" si="2"/>
        <v>19.29</v>
      </c>
      <c r="Q55" s="76">
        <v>2018</v>
      </c>
      <c r="R55" s="75">
        <v>7</v>
      </c>
      <c r="S55" s="75">
        <v>1</v>
      </c>
      <c r="T55" s="75">
        <f t="shared" si="0"/>
        <v>3</v>
      </c>
      <c r="U55" s="75">
        <v>15</v>
      </c>
      <c r="V55" s="75">
        <v>26</v>
      </c>
      <c r="W55" s="75">
        <f t="shared" si="5"/>
        <v>20.8</v>
      </c>
      <c r="X55" s="18">
        <v>2018</v>
      </c>
      <c r="Y55" s="18">
        <v>0.28799999999999998</v>
      </c>
      <c r="Z55" s="18">
        <v>2.1</v>
      </c>
      <c r="AA55" s="18">
        <f t="shared" si="3"/>
        <v>1.9019999999999999</v>
      </c>
      <c r="AB55" s="18">
        <v>15</v>
      </c>
      <c r="AC55" s="18">
        <v>19.29</v>
      </c>
      <c r="AD55" s="77">
        <f t="shared" si="4"/>
        <v>0.74192307692307691</v>
      </c>
      <c r="AE55" s="79">
        <v>2018</v>
      </c>
      <c r="AF55" s="24">
        <f>+V55*0.2</f>
        <v>5.2</v>
      </c>
      <c r="AG55" s="24">
        <f>+V55-AF55</f>
        <v>20.8</v>
      </c>
      <c r="AH55" s="18" t="s">
        <v>248</v>
      </c>
    </row>
    <row r="56" spans="2:42">
      <c r="B56" s="76">
        <v>2019</v>
      </c>
      <c r="C56" s="75">
        <v>8.5</v>
      </c>
      <c r="D56" s="75">
        <v>1</v>
      </c>
      <c r="E56" s="75">
        <v>13</v>
      </c>
      <c r="F56" s="75">
        <v>15</v>
      </c>
      <c r="G56" s="75">
        <v>28</v>
      </c>
      <c r="H56" s="75"/>
      <c r="I56" s="18">
        <v>2019</v>
      </c>
      <c r="J56" s="18">
        <v>0.41799999999999998</v>
      </c>
      <c r="K56" s="18">
        <v>2.1</v>
      </c>
      <c r="L56" s="18">
        <v>4.92</v>
      </c>
      <c r="M56" s="18">
        <f t="shared" si="1"/>
        <v>15.000000000000002</v>
      </c>
      <c r="N56" s="18">
        <v>19.920000000000002</v>
      </c>
      <c r="P56" s="18">
        <f t="shared" si="2"/>
        <v>19.920000000000002</v>
      </c>
      <c r="Q56" s="76">
        <v>2019</v>
      </c>
      <c r="R56" s="75">
        <v>8.5</v>
      </c>
      <c r="S56" s="75">
        <v>1</v>
      </c>
      <c r="T56" s="75">
        <f t="shared" si="0"/>
        <v>3.5</v>
      </c>
      <c r="U56" s="75">
        <v>15</v>
      </c>
      <c r="V56" s="75">
        <v>28</v>
      </c>
      <c r="W56" s="75">
        <f t="shared" si="5"/>
        <v>22.400000000000002</v>
      </c>
      <c r="X56" s="18">
        <v>2019</v>
      </c>
      <c r="Y56" s="18">
        <v>0.41799999999999998</v>
      </c>
      <c r="Z56" s="18">
        <v>2.1</v>
      </c>
      <c r="AA56" s="18">
        <f t="shared" si="3"/>
        <v>2.4019999999999997</v>
      </c>
      <c r="AB56" s="18">
        <v>15.000000000000002</v>
      </c>
      <c r="AC56" s="18">
        <v>19.920000000000002</v>
      </c>
      <c r="AD56" s="77">
        <f t="shared" si="4"/>
        <v>0.71142857142857152</v>
      </c>
      <c r="AE56" s="79">
        <v>2019</v>
      </c>
      <c r="AF56" s="24">
        <f>+V56*0.2</f>
        <v>5.6000000000000005</v>
      </c>
      <c r="AG56" s="24">
        <f>+V56-AF56</f>
        <v>22.4</v>
      </c>
      <c r="AI56" s="229" t="s">
        <v>249</v>
      </c>
      <c r="AJ56" s="229"/>
      <c r="AK56" s="229"/>
      <c r="AL56" s="229"/>
      <c r="AM56" s="229"/>
      <c r="AN56" s="229"/>
      <c r="AO56" s="229"/>
      <c r="AP56" s="229"/>
    </row>
    <row r="57" spans="2:42">
      <c r="B57" s="76">
        <v>2020</v>
      </c>
      <c r="C57" s="75">
        <v>10.5</v>
      </c>
      <c r="D57" s="75">
        <v>1</v>
      </c>
      <c r="E57" s="75">
        <v>15</v>
      </c>
      <c r="F57" s="75">
        <v>15</v>
      </c>
      <c r="G57" s="75">
        <v>30</v>
      </c>
      <c r="I57" s="18">
        <v>2020</v>
      </c>
      <c r="J57" s="18">
        <v>0.59</v>
      </c>
      <c r="K57" s="18">
        <v>2.4300000000000002</v>
      </c>
      <c r="L57" s="18">
        <v>5.09</v>
      </c>
      <c r="M57" s="18">
        <f t="shared" si="1"/>
        <v>15</v>
      </c>
      <c r="N57" s="18">
        <v>20.09</v>
      </c>
      <c r="P57" s="18">
        <f t="shared" si="2"/>
        <v>20.09</v>
      </c>
      <c r="Q57" s="76">
        <v>2020</v>
      </c>
      <c r="R57" s="75">
        <v>10.5</v>
      </c>
      <c r="S57" s="75">
        <v>1</v>
      </c>
      <c r="T57" s="75">
        <f t="shared" si="0"/>
        <v>3.5</v>
      </c>
      <c r="U57" s="75">
        <v>15</v>
      </c>
      <c r="V57" s="75">
        <v>30</v>
      </c>
      <c r="W57" s="75">
        <f t="shared" si="5"/>
        <v>24</v>
      </c>
      <c r="X57" s="18">
        <v>2020</v>
      </c>
      <c r="Y57" s="18">
        <v>0.59</v>
      </c>
      <c r="Z57" s="18">
        <v>2.4300000000000002</v>
      </c>
      <c r="AA57" s="18">
        <f t="shared" si="3"/>
        <v>2.0699999999999998</v>
      </c>
      <c r="AB57" s="18">
        <v>15</v>
      </c>
      <c r="AC57" s="18">
        <v>20.09</v>
      </c>
      <c r="AD57" s="77">
        <f t="shared" si="4"/>
        <v>0.66966666666666663</v>
      </c>
      <c r="AE57" s="79">
        <v>2020</v>
      </c>
      <c r="AF57" s="24">
        <f>+V57*0.2</f>
        <v>6</v>
      </c>
      <c r="AG57" s="24">
        <f>+V57-AF57</f>
        <v>24</v>
      </c>
      <c r="AI57" s="229"/>
      <c r="AJ57" s="229"/>
      <c r="AK57" s="229"/>
      <c r="AL57" s="229"/>
      <c r="AM57" s="229"/>
      <c r="AN57" s="229"/>
      <c r="AO57" s="229"/>
      <c r="AP57" s="229"/>
    </row>
    <row r="58" spans="2:42">
      <c r="B58" s="80">
        <v>2021</v>
      </c>
      <c r="C58" s="81">
        <v>13.5</v>
      </c>
      <c r="D58" s="81">
        <v>1</v>
      </c>
      <c r="E58" s="81">
        <v>18</v>
      </c>
      <c r="F58" s="81">
        <v>15</v>
      </c>
      <c r="G58" s="81">
        <v>33</v>
      </c>
      <c r="H58" s="82"/>
      <c r="I58" s="82">
        <v>2021</v>
      </c>
      <c r="J58" s="81">
        <v>0.83</v>
      </c>
      <c r="K58" s="81">
        <v>2.4300000000000002</v>
      </c>
      <c r="L58" s="81"/>
      <c r="M58" s="81"/>
      <c r="N58" s="81"/>
      <c r="O58" s="82"/>
      <c r="P58" s="82"/>
      <c r="Q58" s="80">
        <v>2021</v>
      </c>
      <c r="R58" s="81">
        <v>13.5</v>
      </c>
      <c r="S58" s="81">
        <v>1</v>
      </c>
      <c r="T58" s="81">
        <f t="shared" si="0"/>
        <v>3.5</v>
      </c>
      <c r="U58" s="81">
        <v>15</v>
      </c>
      <c r="V58" s="81">
        <v>33</v>
      </c>
      <c r="W58" s="81">
        <f t="shared" si="5"/>
        <v>26.400000000000002</v>
      </c>
      <c r="X58" s="82">
        <v>2021</v>
      </c>
      <c r="Y58" s="82"/>
      <c r="Z58" s="82">
        <v>2.4300000000000002</v>
      </c>
      <c r="AA58" s="82"/>
      <c r="AB58" s="82"/>
      <c r="AC58" s="82"/>
      <c r="AD58" s="83"/>
      <c r="AE58" s="84">
        <v>2021</v>
      </c>
      <c r="AF58" s="82"/>
      <c r="AG58" s="82"/>
      <c r="AI58" s="229"/>
      <c r="AJ58" s="229"/>
      <c r="AK58" s="229"/>
      <c r="AL58" s="229"/>
      <c r="AM58" s="229"/>
      <c r="AN58" s="229"/>
      <c r="AO58" s="229"/>
      <c r="AP58" s="229"/>
    </row>
    <row r="59" spans="2:42">
      <c r="B59" s="76">
        <v>2022</v>
      </c>
      <c r="C59" s="75">
        <v>16</v>
      </c>
      <c r="D59" s="75">
        <v>1</v>
      </c>
      <c r="E59" s="75">
        <v>21</v>
      </c>
      <c r="F59" s="75">
        <v>15</v>
      </c>
      <c r="G59" s="75">
        <v>36</v>
      </c>
      <c r="I59" s="18">
        <v>2022</v>
      </c>
      <c r="J59" s="75"/>
      <c r="K59" s="75"/>
      <c r="L59" s="75"/>
      <c r="M59" s="75"/>
      <c r="N59" s="75"/>
      <c r="Q59" s="76">
        <v>2022</v>
      </c>
      <c r="R59" s="75">
        <v>16</v>
      </c>
      <c r="S59" s="75">
        <v>1</v>
      </c>
      <c r="T59" s="75">
        <f t="shared" si="0"/>
        <v>4</v>
      </c>
      <c r="U59" s="75">
        <v>15</v>
      </c>
      <c r="V59" s="75">
        <v>36</v>
      </c>
      <c r="W59" s="75">
        <f t="shared" si="5"/>
        <v>28.8</v>
      </c>
      <c r="X59" s="18">
        <v>2022</v>
      </c>
      <c r="AD59" s="77"/>
      <c r="AE59" s="79">
        <v>2022</v>
      </c>
      <c r="AI59" s="229"/>
      <c r="AJ59" s="229"/>
      <c r="AK59" s="229"/>
      <c r="AL59" s="229"/>
      <c r="AM59" s="229"/>
      <c r="AN59" s="229"/>
      <c r="AO59" s="229"/>
      <c r="AP59" s="229"/>
    </row>
    <row r="60" spans="2:42">
      <c r="I60" s="82" t="str">
        <f>+I94</f>
        <v>Speculation</v>
      </c>
      <c r="J60" s="82"/>
      <c r="K60" s="82"/>
      <c r="L60" s="82"/>
      <c r="M60" s="82"/>
      <c r="N60" s="82"/>
      <c r="O60" s="82"/>
      <c r="AI60" s="229"/>
      <c r="AJ60" s="229"/>
      <c r="AK60" s="229"/>
      <c r="AL60" s="229"/>
      <c r="AM60" s="229"/>
      <c r="AN60" s="229"/>
      <c r="AO60" s="229"/>
      <c r="AP60" s="229"/>
    </row>
    <row r="61" spans="2:42">
      <c r="C61" s="85" t="s">
        <v>250</v>
      </c>
      <c r="I61" s="82" t="str">
        <f>+I95</f>
        <v>EPA can reduce cellulosic by difference between statute and EIA estimated use for the year.</v>
      </c>
      <c r="J61" s="82"/>
      <c r="K61" s="82"/>
      <c r="L61" s="82"/>
      <c r="M61" s="82"/>
      <c r="N61" s="82"/>
      <c r="O61" s="82"/>
      <c r="R61" s="85" t="s">
        <v>250</v>
      </c>
      <c r="AI61" s="229"/>
      <c r="AJ61" s="229"/>
      <c r="AK61" s="229"/>
      <c r="AL61" s="229"/>
      <c r="AM61" s="229"/>
      <c r="AN61" s="229"/>
      <c r="AO61" s="229"/>
      <c r="AP61" s="229"/>
    </row>
    <row r="62" spans="2:42">
      <c r="AF62" s="228" t="s">
        <v>251</v>
      </c>
      <c r="AG62" s="228"/>
      <c r="AI62" s="229"/>
      <c r="AJ62" s="229"/>
      <c r="AK62" s="229"/>
      <c r="AL62" s="229"/>
      <c r="AM62" s="229"/>
      <c r="AN62" s="229"/>
      <c r="AO62" s="229"/>
      <c r="AP62" s="229"/>
    </row>
    <row r="63" spans="2:42">
      <c r="K63" s="18" t="s">
        <v>252</v>
      </c>
      <c r="AF63" s="228"/>
      <c r="AG63" s="228"/>
      <c r="AI63" s="229"/>
      <c r="AJ63" s="229"/>
      <c r="AK63" s="229"/>
      <c r="AL63" s="229"/>
      <c r="AM63" s="229"/>
      <c r="AN63" s="229"/>
      <c r="AO63" s="229"/>
      <c r="AP63" s="229"/>
    </row>
    <row r="64" spans="2:42">
      <c r="J64" s="24" t="s">
        <v>253</v>
      </c>
      <c r="K64" s="24" t="s">
        <v>254</v>
      </c>
      <c r="L64" s="24" t="s">
        <v>255</v>
      </c>
      <c r="M64" s="24" t="s">
        <v>240</v>
      </c>
      <c r="N64" s="24"/>
      <c r="AF64" s="228"/>
      <c r="AG64" s="228"/>
    </row>
    <row r="65" spans="9:42">
      <c r="I65" s="18">
        <v>2016</v>
      </c>
      <c r="J65" s="18">
        <f t="shared" ref="J65:J71" si="6">+C53</f>
        <v>4.25</v>
      </c>
      <c r="K65" s="18">
        <f>+J53</f>
        <v>0.23</v>
      </c>
      <c r="L65" s="18">
        <f t="shared" ref="L65:L70" si="7">+K65-J65</f>
        <v>-4.0199999999999996</v>
      </c>
      <c r="M65" s="77">
        <f>+K65/J65</f>
        <v>5.4117647058823534E-2</v>
      </c>
      <c r="O65" s="18">
        <f>+K66/K65</f>
        <v>1.3521739130434782</v>
      </c>
      <c r="AF65" s="228"/>
      <c r="AG65" s="228"/>
      <c r="AH65" s="37" t="s">
        <v>256</v>
      </c>
      <c r="AI65" s="18" t="s">
        <v>257</v>
      </c>
    </row>
    <row r="66" spans="9:42" ht="15.95" customHeight="1">
      <c r="I66" s="18">
        <v>2017</v>
      </c>
      <c r="J66" s="18">
        <f t="shared" si="6"/>
        <v>5.5</v>
      </c>
      <c r="K66" s="18">
        <f>+J54</f>
        <v>0.311</v>
      </c>
      <c r="L66" s="18">
        <f t="shared" si="7"/>
        <v>-5.1890000000000001</v>
      </c>
      <c r="M66" s="77">
        <f>+K66/J66</f>
        <v>5.6545454545454545E-2</v>
      </c>
      <c r="O66" s="18">
        <f>+K67/K66</f>
        <v>0.92604501607717038</v>
      </c>
      <c r="P66" s="18">
        <f>+K65*O65</f>
        <v>0.311</v>
      </c>
      <c r="AI66" s="228" t="s">
        <v>258</v>
      </c>
      <c r="AJ66" s="228"/>
      <c r="AK66" s="228"/>
      <c r="AL66" s="228"/>
      <c r="AM66" s="228"/>
      <c r="AN66" s="228"/>
      <c r="AO66" s="228"/>
      <c r="AP66" s="228"/>
    </row>
    <row r="67" spans="9:42">
      <c r="I67" s="18">
        <v>2018</v>
      </c>
      <c r="J67" s="18">
        <f t="shared" si="6"/>
        <v>7</v>
      </c>
      <c r="K67" s="18">
        <f>+J55</f>
        <v>0.28799999999999998</v>
      </c>
      <c r="L67" s="18">
        <f t="shared" si="7"/>
        <v>-6.7119999999999997</v>
      </c>
      <c r="M67" s="77">
        <f>+K67/J67</f>
        <v>4.1142857142857141E-2</v>
      </c>
      <c r="O67" s="18">
        <f>+K68/K67</f>
        <v>1.4513888888888888</v>
      </c>
      <c r="P67" s="18">
        <f>+K66*O66</f>
        <v>0.28799999999999998</v>
      </c>
      <c r="AI67" s="228"/>
      <c r="AJ67" s="228"/>
      <c r="AK67" s="228"/>
      <c r="AL67" s="228"/>
      <c r="AM67" s="228"/>
      <c r="AN67" s="228"/>
      <c r="AO67" s="228"/>
      <c r="AP67" s="228"/>
    </row>
    <row r="68" spans="9:42">
      <c r="I68" s="18">
        <v>2019</v>
      </c>
      <c r="J68" s="18">
        <f t="shared" si="6"/>
        <v>8.5</v>
      </c>
      <c r="K68" s="18">
        <f>+J56</f>
        <v>0.41799999999999998</v>
      </c>
      <c r="L68" s="18">
        <f t="shared" si="7"/>
        <v>-8.0820000000000007</v>
      </c>
      <c r="M68" s="77">
        <f>+K68/J68</f>
        <v>4.9176470588235294E-2</v>
      </c>
      <c r="O68" s="18">
        <f>+K69/K68</f>
        <v>1.4114832535885167</v>
      </c>
      <c r="P68" s="18">
        <f>+K67*O67</f>
        <v>0.41799999999999993</v>
      </c>
      <c r="AI68" s="228"/>
      <c r="AJ68" s="228"/>
      <c r="AK68" s="228"/>
      <c r="AL68" s="228"/>
      <c r="AM68" s="228"/>
      <c r="AN68" s="228"/>
      <c r="AO68" s="228"/>
      <c r="AP68" s="228"/>
    </row>
    <row r="69" spans="9:42">
      <c r="I69" s="18">
        <v>2020</v>
      </c>
      <c r="J69" s="18">
        <f t="shared" si="6"/>
        <v>10.5</v>
      </c>
      <c r="K69" s="18">
        <f>+J57</f>
        <v>0.59</v>
      </c>
      <c r="L69" s="18">
        <f t="shared" si="7"/>
        <v>-9.91</v>
      </c>
      <c r="M69" s="77">
        <f>+K69/J69</f>
        <v>5.6190476190476187E-2</v>
      </c>
      <c r="O69" s="18">
        <f>+K70/K69</f>
        <v>1.4114832535885167</v>
      </c>
      <c r="P69" s="18">
        <f>+K68*O68</f>
        <v>0.59</v>
      </c>
      <c r="AI69" s="228" t="s">
        <v>259</v>
      </c>
      <c r="AJ69" s="228"/>
      <c r="AK69" s="228"/>
      <c r="AL69" s="228"/>
      <c r="AM69" s="228"/>
      <c r="AN69" s="228"/>
      <c r="AO69" s="228"/>
      <c r="AP69" s="228"/>
    </row>
    <row r="70" spans="9:42">
      <c r="I70" s="82">
        <v>2021</v>
      </c>
      <c r="J70" s="82">
        <f t="shared" si="6"/>
        <v>13.5</v>
      </c>
      <c r="K70" s="86">
        <f>+P70</f>
        <v>0.83277511961722483</v>
      </c>
      <c r="L70" s="82">
        <f t="shared" si="7"/>
        <v>-12.667224880382776</v>
      </c>
      <c r="M70" s="82"/>
      <c r="O70" s="18" t="s">
        <v>260</v>
      </c>
      <c r="P70" s="18">
        <f>+P69*O68</f>
        <v>0.83277511961722483</v>
      </c>
      <c r="AI70" s="228"/>
      <c r="AJ70" s="228"/>
      <c r="AK70" s="228"/>
      <c r="AL70" s="228"/>
      <c r="AM70" s="228"/>
      <c r="AN70" s="228"/>
      <c r="AO70" s="228"/>
      <c r="AP70" s="228"/>
    </row>
    <row r="71" spans="9:42">
      <c r="I71" s="18">
        <v>2022</v>
      </c>
      <c r="J71" s="18">
        <f t="shared" si="6"/>
        <v>16</v>
      </c>
      <c r="K71" s="18">
        <f>+J59</f>
        <v>0</v>
      </c>
      <c r="AI71" s="228"/>
      <c r="AJ71" s="228"/>
      <c r="AK71" s="228"/>
      <c r="AL71" s="228"/>
      <c r="AM71" s="228"/>
      <c r="AN71" s="228"/>
      <c r="AO71" s="228"/>
      <c r="AP71" s="228"/>
    </row>
    <row r="73" spans="9:42">
      <c r="K73" s="18" t="s">
        <v>261</v>
      </c>
    </row>
    <row r="74" spans="9:42">
      <c r="J74" s="24" t="s">
        <v>253</v>
      </c>
      <c r="K74" s="24" t="s">
        <v>254</v>
      </c>
      <c r="L74" s="24" t="s">
        <v>255</v>
      </c>
      <c r="M74" s="24" t="s">
        <v>240</v>
      </c>
      <c r="N74" s="24"/>
    </row>
    <row r="75" spans="9:42">
      <c r="I75" s="18">
        <v>2016</v>
      </c>
      <c r="J75" s="18">
        <f t="shared" ref="J75:J81" si="8">+E53</f>
        <v>7.25</v>
      </c>
      <c r="K75" s="18">
        <f>+L53</f>
        <v>3.61</v>
      </c>
      <c r="L75" s="18">
        <f t="shared" ref="L75:L80" si="9">+K75-J75</f>
        <v>-3.64</v>
      </c>
      <c r="M75" s="77">
        <f t="shared" ref="M75:M80" si="10">+K75/J75</f>
        <v>0.49793103448275861</v>
      </c>
    </row>
    <row r="76" spans="9:42">
      <c r="I76" s="18">
        <v>2017</v>
      </c>
      <c r="J76" s="18">
        <f t="shared" si="8"/>
        <v>9</v>
      </c>
      <c r="K76" s="18">
        <f>+L54</f>
        <v>4.28</v>
      </c>
      <c r="L76" s="18">
        <f t="shared" si="9"/>
        <v>-4.72</v>
      </c>
      <c r="M76" s="77">
        <f t="shared" si="10"/>
        <v>0.47555555555555556</v>
      </c>
    </row>
    <row r="77" spans="9:42">
      <c r="I77" s="18">
        <v>2018</v>
      </c>
      <c r="J77" s="18">
        <f t="shared" si="8"/>
        <v>11</v>
      </c>
      <c r="K77" s="18">
        <f>+L55</f>
        <v>4.29</v>
      </c>
      <c r="L77" s="18">
        <f t="shared" si="9"/>
        <v>-6.71</v>
      </c>
      <c r="M77" s="77">
        <f t="shared" si="10"/>
        <v>0.39</v>
      </c>
    </row>
    <row r="78" spans="9:42">
      <c r="I78" s="18">
        <v>2019</v>
      </c>
      <c r="J78" s="18">
        <f t="shared" si="8"/>
        <v>13</v>
      </c>
      <c r="K78" s="18">
        <f>+L56</f>
        <v>4.92</v>
      </c>
      <c r="L78" s="18">
        <f t="shared" si="9"/>
        <v>-8.08</v>
      </c>
      <c r="M78" s="77">
        <f t="shared" si="10"/>
        <v>0.37846153846153846</v>
      </c>
    </row>
    <row r="79" spans="9:42">
      <c r="I79" s="18">
        <v>2020</v>
      </c>
      <c r="J79" s="18">
        <f t="shared" si="8"/>
        <v>15</v>
      </c>
      <c r="K79" s="18">
        <f>+L57</f>
        <v>5.09</v>
      </c>
      <c r="L79" s="18">
        <f t="shared" si="9"/>
        <v>-9.91</v>
      </c>
      <c r="M79" s="77">
        <f t="shared" si="10"/>
        <v>0.33933333333333332</v>
      </c>
    </row>
    <row r="80" spans="9:42">
      <c r="I80" s="82">
        <v>2021</v>
      </c>
      <c r="J80" s="82">
        <f t="shared" si="8"/>
        <v>18</v>
      </c>
      <c r="K80" s="86">
        <f>+J80+L70</f>
        <v>5.3327751196172244</v>
      </c>
      <c r="L80" s="82">
        <f t="shared" si="9"/>
        <v>-12.667224880382776</v>
      </c>
      <c r="M80" s="83">
        <f t="shared" si="10"/>
        <v>0.29626528442317912</v>
      </c>
    </row>
    <row r="81" spans="9:14">
      <c r="I81" s="18">
        <v>2022</v>
      </c>
      <c r="J81" s="18">
        <f t="shared" si="8"/>
        <v>21</v>
      </c>
      <c r="K81" s="18">
        <f>+L59</f>
        <v>0</v>
      </c>
    </row>
    <row r="83" spans="9:14">
      <c r="K83" s="18" t="s">
        <v>262</v>
      </c>
    </row>
    <row r="84" spans="9:14">
      <c r="J84" s="24" t="s">
        <v>253</v>
      </c>
      <c r="K84" s="24" t="s">
        <v>254</v>
      </c>
      <c r="L84" s="24" t="s">
        <v>255</v>
      </c>
      <c r="M84" s="24" t="s">
        <v>240</v>
      </c>
      <c r="N84" s="24"/>
    </row>
    <row r="85" spans="9:14">
      <c r="I85" s="18">
        <v>2016</v>
      </c>
      <c r="J85" s="18">
        <f t="shared" ref="J85:J91" si="11">+G53</f>
        <v>22.25</v>
      </c>
      <c r="K85" s="18">
        <f>+N53</f>
        <v>18.11</v>
      </c>
      <c r="L85" s="18">
        <f t="shared" ref="L85:L91" si="12">+K85-J85</f>
        <v>-4.1400000000000006</v>
      </c>
      <c r="M85" s="77">
        <f t="shared" ref="M85:M90" si="13">+K85/J85</f>
        <v>0.81393258426966286</v>
      </c>
    </row>
    <row r="86" spans="9:14">
      <c r="I86" s="18">
        <v>2017</v>
      </c>
      <c r="J86" s="18">
        <f t="shared" si="11"/>
        <v>24</v>
      </c>
      <c r="K86" s="18">
        <f>+N54</f>
        <v>19.28</v>
      </c>
      <c r="L86" s="18">
        <f t="shared" si="12"/>
        <v>-4.7199999999999989</v>
      </c>
      <c r="M86" s="77">
        <f t="shared" si="13"/>
        <v>0.80333333333333334</v>
      </c>
    </row>
    <row r="87" spans="9:14">
      <c r="I87" s="18">
        <v>2018</v>
      </c>
      <c r="J87" s="18">
        <f t="shared" si="11"/>
        <v>26</v>
      </c>
      <c r="K87" s="18">
        <f>+N55</f>
        <v>19.29</v>
      </c>
      <c r="L87" s="18">
        <f t="shared" si="12"/>
        <v>-6.7100000000000009</v>
      </c>
      <c r="M87" s="77">
        <f t="shared" si="13"/>
        <v>0.74192307692307691</v>
      </c>
    </row>
    <row r="88" spans="9:14">
      <c r="I88" s="18">
        <v>2019</v>
      </c>
      <c r="J88" s="18">
        <f t="shared" si="11"/>
        <v>28</v>
      </c>
      <c r="K88" s="18">
        <f>+N56</f>
        <v>19.920000000000002</v>
      </c>
      <c r="L88" s="18">
        <f t="shared" si="12"/>
        <v>-8.0799999999999983</v>
      </c>
      <c r="M88" s="77">
        <f t="shared" si="13"/>
        <v>0.71142857142857152</v>
      </c>
    </row>
    <row r="89" spans="9:14">
      <c r="I89" s="18">
        <v>2020</v>
      </c>
      <c r="J89" s="18">
        <f t="shared" si="11"/>
        <v>30</v>
      </c>
      <c r="K89" s="18">
        <f>+N57</f>
        <v>20.09</v>
      </c>
      <c r="L89" s="18">
        <f t="shared" si="12"/>
        <v>-9.91</v>
      </c>
      <c r="M89" s="77">
        <f t="shared" si="13"/>
        <v>0.66966666666666663</v>
      </c>
    </row>
    <row r="90" spans="9:14">
      <c r="I90" s="82">
        <v>2021</v>
      </c>
      <c r="J90" s="82">
        <f t="shared" si="11"/>
        <v>33</v>
      </c>
      <c r="K90" s="86">
        <f>+J90+L70</f>
        <v>20.332775119617224</v>
      </c>
      <c r="L90" s="82">
        <f t="shared" si="12"/>
        <v>-12.667224880382776</v>
      </c>
      <c r="M90" s="83">
        <f t="shared" si="13"/>
        <v>0.61614470059446136</v>
      </c>
    </row>
    <row r="91" spans="9:14">
      <c r="I91" s="18">
        <v>2022</v>
      </c>
      <c r="J91" s="18">
        <f t="shared" si="11"/>
        <v>36</v>
      </c>
      <c r="K91" s="18">
        <f>+N59</f>
        <v>0</v>
      </c>
      <c r="L91" s="18">
        <f t="shared" si="12"/>
        <v>-36</v>
      </c>
    </row>
    <row r="94" spans="9:14">
      <c r="I94" s="82" t="s">
        <v>263</v>
      </c>
    </row>
    <row r="95" spans="9:14">
      <c r="I95" s="18" t="s">
        <v>264</v>
      </c>
    </row>
  </sheetData>
  <mergeCells count="14">
    <mergeCell ref="B13:I13"/>
    <mergeCell ref="Y23:AE30"/>
    <mergeCell ref="AI25:AP26"/>
    <mergeCell ref="R30:X36"/>
    <mergeCell ref="AI31:AP43"/>
    <mergeCell ref="Y32:AF37"/>
    <mergeCell ref="T41:T42"/>
    <mergeCell ref="AI69:AP71"/>
    <mergeCell ref="AI46:AP52"/>
    <mergeCell ref="AE48:AG48"/>
    <mergeCell ref="AG49:AG50"/>
    <mergeCell ref="AI56:AP63"/>
    <mergeCell ref="AF62:AG65"/>
    <mergeCell ref="AI66:AP68"/>
  </mergeCells>
  <hyperlinks>
    <hyperlink ref="AH22" r:id="rId1" xr:uid="{129F2261-DA9C-406B-A283-9786E6227CB2}"/>
    <hyperlink ref="L20" r:id="rId2" xr:uid="{F698DF83-1855-4167-983A-2DDE4CF2F645}"/>
    <hyperlink ref="AA18" r:id="rId3" xr:uid="{8FD164BD-19B1-4692-8A43-D5B324717940}"/>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38D72-CE92-42BB-8E4C-7F4912A120B1}">
  <dimension ref="A1:J27"/>
  <sheetViews>
    <sheetView workbookViewId="0">
      <selection activeCell="AD6" sqref="AD6"/>
    </sheetView>
  </sheetViews>
  <sheetFormatPr defaultColWidth="9.140625" defaultRowHeight="12.75"/>
  <cols>
    <col min="1" max="1" width="17.7109375" style="88" customWidth="1"/>
    <col min="2" max="2" width="31.85546875" style="88" customWidth="1"/>
    <col min="3" max="3" width="8.28515625" style="88" hidden="1" customWidth="1"/>
    <col min="4" max="4" width="9.5703125" style="88" bestFit="1" customWidth="1"/>
    <col min="5" max="6" width="8.28515625" style="88" bestFit="1" customWidth="1"/>
    <col min="7" max="16384" width="9.140625" style="88"/>
  </cols>
  <sheetData>
    <row r="1" spans="1:10">
      <c r="A1" s="87"/>
      <c r="B1" s="87"/>
      <c r="C1" s="87"/>
      <c r="D1" s="87"/>
      <c r="E1" s="87"/>
      <c r="F1" s="87"/>
    </row>
    <row r="2" spans="1:10" ht="21" thickBot="1">
      <c r="A2" s="87"/>
      <c r="B2" s="89" t="s">
        <v>265</v>
      </c>
      <c r="C2" s="90"/>
      <c r="D2" s="90"/>
      <c r="E2" s="90"/>
      <c r="F2" s="90"/>
      <c r="G2" s="87"/>
      <c r="H2" s="88" t="s">
        <v>266</v>
      </c>
    </row>
    <row r="3" spans="1:10" ht="18.75" thickBot="1">
      <c r="A3" s="87"/>
      <c r="B3" s="91"/>
      <c r="C3" s="92">
        <v>2019</v>
      </c>
      <c r="D3" s="93">
        <v>2023</v>
      </c>
      <c r="E3" s="93">
        <v>2024</v>
      </c>
      <c r="F3" s="93">
        <v>2025</v>
      </c>
      <c r="G3" s="87"/>
      <c r="H3" s="94" t="s">
        <v>267</v>
      </c>
      <c r="I3" s="94"/>
      <c r="J3" s="94"/>
    </row>
    <row r="4" spans="1:10" ht="18">
      <c r="A4" s="87"/>
      <c r="B4" s="95" t="s">
        <v>23</v>
      </c>
      <c r="C4" s="96">
        <f>'RVO Forecast'!J14/1000000000</f>
        <v>0.41799999999999998</v>
      </c>
      <c r="D4" s="97">
        <v>0.72</v>
      </c>
      <c r="E4" s="96">
        <v>1.42</v>
      </c>
      <c r="F4" s="96">
        <v>2.13</v>
      </c>
      <c r="G4" s="87"/>
      <c r="H4" s="94"/>
      <c r="I4" s="94"/>
      <c r="J4" s="94"/>
    </row>
    <row r="5" spans="1:10" ht="18">
      <c r="A5" s="87"/>
      <c r="B5" s="95" t="s">
        <v>24</v>
      </c>
      <c r="C5" s="96">
        <f>'RVO Forecast'!J10/1000000000</f>
        <v>2.1</v>
      </c>
      <c r="D5" s="97">
        <v>2.82</v>
      </c>
      <c r="E5" s="96">
        <v>2.89</v>
      </c>
      <c r="F5" s="96">
        <v>2.95</v>
      </c>
      <c r="G5" s="87"/>
      <c r="H5" s="94">
        <v>5.25</v>
      </c>
      <c r="I5" s="98">
        <f>H5/F5-1</f>
        <v>0.77966101694915246</v>
      </c>
      <c r="J5" s="94"/>
    </row>
    <row r="6" spans="1:10" ht="18">
      <c r="A6" s="87"/>
      <c r="B6" s="95" t="s">
        <v>25</v>
      </c>
      <c r="C6" s="96">
        <f>'RVO Forecast'!J18/1000000000</f>
        <v>4.92</v>
      </c>
      <c r="D6" s="97">
        <v>5.82</v>
      </c>
      <c r="E6" s="96">
        <v>6.62</v>
      </c>
      <c r="F6" s="96">
        <v>7.43</v>
      </c>
      <c r="G6" s="87"/>
      <c r="H6" s="99">
        <f>F6*(1+I5)</f>
        <v>13.222881355932202</v>
      </c>
      <c r="I6" s="94"/>
      <c r="J6" s="94"/>
    </row>
    <row r="7" spans="1:10" ht="18">
      <c r="A7" s="87"/>
      <c r="B7" s="95" t="s">
        <v>27</v>
      </c>
      <c r="C7" s="96">
        <f>'RVO Forecast'!J49/1000000000</f>
        <v>15</v>
      </c>
      <c r="D7" s="97">
        <v>15</v>
      </c>
      <c r="E7" s="96">
        <v>15.25</v>
      </c>
      <c r="F7" s="96">
        <v>15.25</v>
      </c>
      <c r="G7" s="87"/>
      <c r="H7" s="94"/>
      <c r="I7" s="94"/>
      <c r="J7" s="94"/>
    </row>
    <row r="8" spans="1:10" ht="18">
      <c r="A8" s="87"/>
      <c r="B8" s="95" t="s">
        <v>26</v>
      </c>
      <c r="C8" s="96">
        <f>'RVO Forecast'!J8/1000000000</f>
        <v>19.920000000000002</v>
      </c>
      <c r="D8" s="97">
        <v>20.82</v>
      </c>
      <c r="E8" s="96">
        <v>21.87</v>
      </c>
      <c r="F8" s="96">
        <v>22.68</v>
      </c>
      <c r="G8" s="87"/>
    </row>
    <row r="9" spans="1:10" ht="18.75" thickBot="1">
      <c r="A9" s="87"/>
      <c r="B9" s="95" t="s">
        <v>29</v>
      </c>
      <c r="C9" s="96" t="s">
        <v>268</v>
      </c>
      <c r="D9" s="100">
        <v>0.25</v>
      </c>
      <c r="E9" s="101" t="s">
        <v>268</v>
      </c>
      <c r="F9" s="101" t="s">
        <v>268</v>
      </c>
      <c r="G9" s="87"/>
    </row>
    <row r="10" spans="1:10" ht="7.5" customHeight="1">
      <c r="A10" s="87"/>
      <c r="B10" s="102"/>
      <c r="C10" s="102"/>
      <c r="D10" s="102"/>
      <c r="E10" s="102"/>
      <c r="F10" s="102"/>
      <c r="G10" s="87"/>
    </row>
    <row r="11" spans="1:10">
      <c r="A11" s="87"/>
      <c r="B11" s="103" t="s">
        <v>269</v>
      </c>
      <c r="C11" s="87"/>
      <c r="D11" s="87"/>
      <c r="E11" s="87"/>
      <c r="F11" s="87"/>
      <c r="G11" s="87"/>
    </row>
    <row r="12" spans="1:10">
      <c r="A12" s="87"/>
      <c r="B12" s="87" t="s">
        <v>270</v>
      </c>
      <c r="C12" s="87"/>
      <c r="D12" s="87"/>
      <c r="E12" s="87"/>
      <c r="F12" s="87"/>
      <c r="G12" s="87"/>
    </row>
    <row r="13" spans="1:10">
      <c r="A13" s="87"/>
      <c r="B13" s="87"/>
      <c r="C13" s="87"/>
      <c r="D13" s="87"/>
      <c r="E13" s="87"/>
      <c r="F13" s="87"/>
      <c r="G13" s="87"/>
    </row>
    <row r="14" spans="1:10">
      <c r="A14" s="87"/>
      <c r="B14" s="87"/>
      <c r="C14" s="87"/>
      <c r="D14" s="87"/>
      <c r="E14" s="87"/>
      <c r="F14" s="87"/>
      <c r="G14" s="87"/>
    </row>
    <row r="15" spans="1:10">
      <c r="A15" s="87"/>
      <c r="B15" s="87"/>
      <c r="C15" s="87"/>
      <c r="D15" s="104"/>
      <c r="E15" s="104"/>
      <c r="F15" s="104"/>
      <c r="G15" s="87"/>
    </row>
    <row r="16" spans="1:10">
      <c r="A16" s="87"/>
      <c r="B16" s="87"/>
      <c r="C16" s="87"/>
      <c r="D16" s="87"/>
      <c r="E16" s="87"/>
      <c r="F16" s="87"/>
      <c r="G16" s="87"/>
    </row>
    <row r="17" spans="1:7">
      <c r="A17" s="87"/>
      <c r="B17" s="87"/>
      <c r="C17" s="87"/>
      <c r="D17" s="87"/>
      <c r="E17" s="87"/>
      <c r="F17" s="87"/>
      <c r="G17" s="87"/>
    </row>
    <row r="26" spans="1:7" ht="13.5" thickBot="1"/>
    <row r="27" spans="1:7" ht="13.5" thickBot="1">
      <c r="G27" s="10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4F948-25AF-4552-9847-7240CB7B2E0B}">
  <dimension ref="A1:AP88"/>
  <sheetViews>
    <sheetView tabSelected="1" zoomScale="145" zoomScaleNormal="145" workbookViewId="0">
      <pane xSplit="1" ySplit="1" topLeftCell="P2" activePane="bottomRight" state="frozen"/>
      <selection activeCell="AD6" sqref="AD6"/>
      <selection pane="topRight" activeCell="AD6" sqref="AD6"/>
      <selection pane="bottomLeft" activeCell="AD6" sqref="AD6"/>
      <selection pane="bottomRight" activeCell="S10" sqref="S10"/>
    </sheetView>
  </sheetViews>
  <sheetFormatPr defaultColWidth="9.140625" defaultRowHeight="11.25"/>
  <cols>
    <col min="1" max="1" width="51.85546875" style="106" bestFit="1" customWidth="1"/>
    <col min="2" max="11" width="12.140625" style="106" customWidth="1"/>
    <col min="12" max="12" width="15.5703125" style="106" bestFit="1" customWidth="1"/>
    <col min="13" max="42" width="12.85546875" style="106" customWidth="1"/>
    <col min="43" max="16384" width="9.140625" style="106"/>
  </cols>
  <sheetData>
    <row r="1" spans="1:42">
      <c r="A1" s="106">
        <f>O3*0.025</f>
        <v>89098112.275000006</v>
      </c>
      <c r="B1" s="106">
        <v>2011</v>
      </c>
      <c r="C1" s="106">
        <v>2012</v>
      </c>
      <c r="D1" s="106">
        <v>2013</v>
      </c>
      <c r="E1" s="106">
        <v>2014</v>
      </c>
      <c r="F1" s="106">
        <v>2015</v>
      </c>
      <c r="G1" s="106">
        <v>2016</v>
      </c>
      <c r="H1" s="106">
        <v>2017</v>
      </c>
      <c r="I1" s="106">
        <v>2018</v>
      </c>
      <c r="J1" s="106">
        <v>2019</v>
      </c>
      <c r="K1" s="106">
        <v>2020</v>
      </c>
      <c r="L1" s="106">
        <v>2021</v>
      </c>
      <c r="M1" s="106">
        <v>2022</v>
      </c>
      <c r="N1" s="106">
        <v>2023</v>
      </c>
      <c r="O1" s="106">
        <v>2024</v>
      </c>
      <c r="P1" s="106">
        <v>2025</v>
      </c>
      <c r="Q1" s="106">
        <v>2026</v>
      </c>
      <c r="R1" s="106">
        <v>2027</v>
      </c>
      <c r="S1" s="106">
        <v>2028</v>
      </c>
      <c r="T1" s="106">
        <v>2029</v>
      </c>
      <c r="U1" s="106">
        <v>2030</v>
      </c>
      <c r="V1" s="106">
        <v>2031</v>
      </c>
      <c r="W1" s="106">
        <v>2032</v>
      </c>
      <c r="X1" s="106">
        <v>2033</v>
      </c>
      <c r="Y1" s="106">
        <v>2034</v>
      </c>
      <c r="Z1" s="106">
        <v>2035</v>
      </c>
      <c r="AA1" s="106">
        <v>2036</v>
      </c>
      <c r="AB1" s="106">
        <v>2037</v>
      </c>
      <c r="AC1" s="106">
        <v>2038</v>
      </c>
      <c r="AD1" s="106">
        <v>2039</v>
      </c>
      <c r="AE1" s="106">
        <v>2040</v>
      </c>
      <c r="AF1" s="106">
        <v>2041</v>
      </c>
      <c r="AG1" s="106">
        <v>2042</v>
      </c>
      <c r="AH1" s="106">
        <v>2043</v>
      </c>
      <c r="AI1" s="106">
        <v>2044</v>
      </c>
      <c r="AJ1" s="106">
        <v>2045</v>
      </c>
      <c r="AK1" s="106">
        <v>2046</v>
      </c>
      <c r="AL1" s="106">
        <v>2047</v>
      </c>
      <c r="AM1" s="106">
        <v>2048</v>
      </c>
      <c r="AN1" s="106">
        <v>2049</v>
      </c>
      <c r="AO1" s="106">
        <v>2050</v>
      </c>
      <c r="AP1" s="106">
        <v>2051</v>
      </c>
    </row>
    <row r="2" spans="1:42">
      <c r="A2" s="106" t="s">
        <v>271</v>
      </c>
      <c r="B2" s="107">
        <f>'[1]D4 Gallon Forecast'!C$65+'[1]D6 Gallon Forecast'!C$61</f>
        <v>1081549902</v>
      </c>
      <c r="C2" s="107">
        <f>'[1]D4 Gallon Forecast'!D$65+'[1]D6 Gallon Forecast'!D$61</f>
        <v>1057176449</v>
      </c>
      <c r="D2" s="107">
        <f>'[1]D4 Gallon Forecast'!E$65+'[1]D6 Gallon Forecast'!E$61</f>
        <v>1571180819</v>
      </c>
      <c r="E2" s="107">
        <f>'[1]D4 Gallon Forecast'!F$65+'[1]D6 Gallon Forecast'!F$61</f>
        <v>1488723198</v>
      </c>
      <c r="F2" s="107">
        <f>'[1]D4 Gallon Forecast'!G$65+'[1]D6 Gallon Forecast'!G$61</f>
        <v>1589937580</v>
      </c>
      <c r="G2" s="107">
        <f>'[1]D4 Gallon Forecast'!H$65+'[1]D6 Gallon Forecast'!H$61</f>
        <v>2307275437</v>
      </c>
      <c r="H2" s="107">
        <f>'[1]D4 Gallon Forecast'!I$65+'[1]D6 Gallon Forecast'!I$61</f>
        <v>2050164384</v>
      </c>
      <c r="I2" s="107">
        <f>'[1]D4 Gallon Forecast'!J$65+'[1]D6 Gallon Forecast'!J$61</f>
        <v>2030594071</v>
      </c>
      <c r="J2" s="107">
        <f>'[1]D4 Gallon Forecast'!K$65+'[1]D6 Gallon Forecast'!K$61</f>
        <v>1898515130</v>
      </c>
      <c r="K2" s="107">
        <f>'[1]D4 Gallon Forecast'!L$65+'[1]D6 Gallon Forecast'!L$61</f>
        <v>2034367312</v>
      </c>
      <c r="L2" s="107">
        <f>'[1]D4 Gallon Forecast'!M$65+'[1]D6 Gallon Forecast'!M$61</f>
        <v>1913078061</v>
      </c>
      <c r="M2" s="107">
        <f>'[1]D4 Gallon Forecast'!N$65+'[1]D6 Gallon Forecast'!N$61</f>
        <v>1860533654</v>
      </c>
      <c r="N2" s="107">
        <f>'[1]D4 Gallon Forecast'!O$65+'[1]D6 Gallon Forecast'!O$61</f>
        <v>2183493984</v>
      </c>
      <c r="O2" s="107">
        <f>'[1]D4 Gallon Forecast'!P$65+'[1]D6 Gallon Forecast'!P$61</f>
        <v>2073990064</v>
      </c>
      <c r="P2" s="159">
        <f>'[2]10 Year RFS Curves (2020)'!J$45*1000000000</f>
        <v>1580916041.0664113</v>
      </c>
      <c r="Q2" s="159">
        <f>'[2]10 Year RFS Curves (2020)'!K$45*1000000000</f>
        <v>1456288920.8928502</v>
      </c>
      <c r="R2" s="159">
        <f>'[2]10 Year RFS Curves (2020)'!L$45*1000000000</f>
        <v>1474103774.6967697</v>
      </c>
      <c r="S2" s="159">
        <f>'[2]10 Year RFS Curves (2020)'!M$45*1000000000</f>
        <v>1190036777.8718348</v>
      </c>
      <c r="T2" s="159">
        <f>'[2]10 Year RFS Curves (2020)'!N$45*1000000000</f>
        <v>1393737235.8532386</v>
      </c>
      <c r="U2" s="159">
        <f>'[2]10 Year RFS Curves (2020)'!O$45*1000000000</f>
        <v>1431556783.5752959</v>
      </c>
      <c r="V2" s="159">
        <f>'[2]10 Year RFS Curves (2020)'!P$45*1000000000</f>
        <v>1436439275.8905659</v>
      </c>
      <c r="W2" s="159">
        <f>'[2]10 Year RFS Curves (2020)'!Q$45*1000000000</f>
        <v>1491482154.7054963</v>
      </c>
      <c r="X2" s="159">
        <f>'[2]10 Year RFS Curves (2020)'!R$45*1000000000</f>
        <v>1036720165.8333905</v>
      </c>
      <c r="Y2" s="159">
        <f>'[2]10 Year RFS Curves (2020)'!S$45*1000000000</f>
        <v>1334914012.2352912</v>
      </c>
      <c r="Z2" s="159">
        <f>'[2]10 Year RFS Curves (2020)'!T$45*1000000000</f>
        <v>1303299733.6258769</v>
      </c>
      <c r="AA2" s="159">
        <f>'[2]10 Year RFS Curves (2020)'!U$45*1000000000</f>
        <v>1019101541.6860563</v>
      </c>
      <c r="AB2" s="159">
        <f>'[2]10 Year RFS Curves (2020)'!V$45*1000000000</f>
        <v>782883171.54872751</v>
      </c>
      <c r="AC2" s="159">
        <f>'[2]10 Year RFS Curves (2020)'!W$45*1000000000</f>
        <v>759857614.63568103</v>
      </c>
      <c r="AD2" s="159">
        <f>'[2]10 Year RFS Curves (2020)'!X$45*1000000000</f>
        <v>603153080.77925432</v>
      </c>
      <c r="AE2" s="159">
        <f>'[2]10 Year RFS Curves (2020)'!Y$45*1000000000</f>
        <v>304703747.64333695</v>
      </c>
      <c r="AF2" s="159">
        <f>'[2]10 Year RFS Curves (2020)'!Z$45*1000000000</f>
        <v>350257617.20065325</v>
      </c>
      <c r="AG2" s="159">
        <f>'[2]10 Year RFS Curves (2020)'!AA$45*1000000000</f>
        <v>341897906.60752356</v>
      </c>
      <c r="AH2" s="159">
        <f>'[2]10 Year RFS Curves (2020)'!AB$45*1000000000</f>
        <v>259135439.24485949</v>
      </c>
      <c r="AI2" s="159">
        <f>'[2]10 Year RFS Curves (2020)'!AC$45*1000000000</f>
        <v>265111474.19368631</v>
      </c>
      <c r="AJ2" s="159">
        <f>'[2]10 Year RFS Curves (2020)'!AD$45*1000000000</f>
        <v>269021994.76006389</v>
      </c>
      <c r="AK2" s="159">
        <f>'[2]10 Year RFS Curves (2020)'!AE$45*1000000000</f>
        <v>268545674.20251298</v>
      </c>
      <c r="AL2" s="159">
        <f>'[2]10 Year RFS Curves (2020)'!AF$45*1000000000</f>
        <v>269672505.08195561</v>
      </c>
      <c r="AM2" s="159">
        <f>'[2]10 Year RFS Curves (2020)'!AG$45*1000000000</f>
        <v>277261905.49302393</v>
      </c>
      <c r="AN2" s="159">
        <f>'[2]10 Year RFS Curves (2020)'!AH$45*1000000000</f>
        <v>285212630.1327824</v>
      </c>
      <c r="AO2" s="159">
        <f>'[2]10 Year RFS Curves (2020)'!AI$45*1000000000</f>
        <v>295095522.76939642</v>
      </c>
      <c r="AP2" s="159">
        <f>'[2]10 Year RFS Curves (2020)'!AJ$45*1000000000</f>
        <v>314554374.88029981</v>
      </c>
    </row>
    <row r="3" spans="1:42">
      <c r="A3" s="106" t="s">
        <v>272</v>
      </c>
      <c r="B3" s="107">
        <f>'[1]D4 Gallon Forecast'!C$129+'[1]D5 Gallon Forecast'!C$116+'[1]D6 Gallon Forecast'!C$205</f>
        <v>62041290</v>
      </c>
      <c r="C3" s="107">
        <f>'[1]D4 Gallon Forecast'!D$129+'[1]D5 Gallon Forecast'!D$116+'[1]D6 Gallon Forecast'!D$205</f>
        <v>102674024</v>
      </c>
      <c r="D3" s="107">
        <f>'[1]D4 Gallon Forecast'!E$129+'[1]D5 Gallon Forecast'!E$116+'[1]D6 Gallon Forecast'!E$205</f>
        <v>416685400</v>
      </c>
      <c r="E3" s="107">
        <f>'[1]D4 Gallon Forecast'!F$129+'[1]D5 Gallon Forecast'!F$116+'[1]D6 Gallon Forecast'!F$205</f>
        <v>487892696</v>
      </c>
      <c r="F3" s="107">
        <f>'[1]D4 Gallon Forecast'!G$129+'[1]D5 Gallon Forecast'!G$116+'[1]D6 Gallon Forecast'!G$205</f>
        <v>513144574</v>
      </c>
      <c r="G3" s="107">
        <f>'[1]D4 Gallon Forecast'!H$129+'[1]D5 Gallon Forecast'!H$116+'[1]D6 Gallon Forecast'!H$205</f>
        <v>591173471</v>
      </c>
      <c r="H3" s="107">
        <f>'[1]D4 Gallon Forecast'!I$129+'[1]D5 Gallon Forecast'!I$116+'[1]D6 Gallon Forecast'!I$205</f>
        <v>602723820</v>
      </c>
      <c r="I3" s="107">
        <f>'[1]D4 Gallon Forecast'!J$129+'[1]D5 Gallon Forecast'!J$116+'[1]D6 Gallon Forecast'!J$205</f>
        <v>615331084</v>
      </c>
      <c r="J3" s="107">
        <f>'[1]D4 Gallon Forecast'!K$129+'[1]D5 Gallon Forecast'!K$116+'[1]D6 Gallon Forecast'!K$205</f>
        <v>912510286</v>
      </c>
      <c r="K3" s="107">
        <f>'[1]D4 Gallon Forecast'!L$129+'[1]D5 Gallon Forecast'!L$116+'[1]D6 Gallon Forecast'!L$205</f>
        <v>968988239</v>
      </c>
      <c r="L3" s="107">
        <f>'[1]D4 Gallon Forecast'!M$129+'[1]D5 Gallon Forecast'!M$116+'[1]D6 Gallon Forecast'!M$205</f>
        <v>1316441940</v>
      </c>
      <c r="M3" s="107">
        <f>'[1]D4 Gallon Forecast'!N$129+'[1]D5 Gallon Forecast'!N$116+'[1]D6 Gallon Forecast'!N$205</f>
        <v>1901759154</v>
      </c>
      <c r="N3" s="107">
        <f>'[1]D4 Gallon Forecast'!O$129+'[1]D5 Gallon Forecast'!O$116+'[1]D6 Gallon Forecast'!O$205</f>
        <v>2908548335</v>
      </c>
      <c r="O3" s="107">
        <f>'[1]D4 Gallon Forecast'!P$129+'[1]D5 Gallon Forecast'!P$116+'[1]D6 Gallon Forecast'!P$205</f>
        <v>3563924491</v>
      </c>
      <c r="P3" s="159">
        <f>'[2]10 Year RFS Curves (2020)'!J$46*1000000000</f>
        <v>2789596566.3052382</v>
      </c>
      <c r="Q3" s="159">
        <f>'[2]10 Year RFS Curves (2020)'!K$46*1000000000</f>
        <v>2714344722.465703</v>
      </c>
      <c r="R3" s="159">
        <f>'[2]10 Year RFS Curves (2020)'!L$46*1000000000</f>
        <v>2970460800.8380613</v>
      </c>
      <c r="S3" s="159">
        <f>'[2]10 Year RFS Curves (2020)'!M$46*1000000000</f>
        <v>3016494762.3133674</v>
      </c>
      <c r="T3" s="159">
        <f>'[2]10 Year RFS Curves (2020)'!N$46*1000000000</f>
        <v>3031918575.8463244</v>
      </c>
      <c r="U3" s="159">
        <f>'[2]10 Year RFS Curves (2020)'!O$46*1000000000</f>
        <v>3179622220.951643</v>
      </c>
      <c r="V3" s="159">
        <f>'[2]10 Year RFS Curves (2020)'!P$46*1000000000</f>
        <v>3457826635.3126302</v>
      </c>
      <c r="W3" s="159">
        <f>'[2]10 Year RFS Curves (2020)'!Q$46*1000000000</f>
        <v>4110596223.0101733</v>
      </c>
      <c r="X3" s="159">
        <f>'[2]10 Year RFS Curves (2020)'!R$46*1000000000</f>
        <v>4086196471.2601681</v>
      </c>
      <c r="Y3" s="159">
        <f>'[2]10 Year RFS Curves (2020)'!S$46*1000000000</f>
        <v>3963489767.4394655</v>
      </c>
      <c r="Z3" s="159">
        <f>'[2]10 Year RFS Curves (2020)'!T$46*1000000000</f>
        <v>4200392253.0247688</v>
      </c>
      <c r="AA3" s="159">
        <f>'[2]10 Year RFS Curves (2020)'!U$46*1000000000</f>
        <v>4554509667.6966705</v>
      </c>
      <c r="AB3" s="159">
        <f>'[2]10 Year RFS Curves (2020)'!V$46*1000000000</f>
        <v>5189255079.9016514</v>
      </c>
      <c r="AC3" s="159">
        <f>'[2]10 Year RFS Curves (2020)'!W$46*1000000000</f>
        <v>5722051329.6101761</v>
      </c>
      <c r="AD3" s="159">
        <f>'[2]10 Year RFS Curves (2020)'!X$46*1000000000</f>
        <v>5722310277.1676397</v>
      </c>
      <c r="AE3" s="159">
        <f>'[2]10 Year RFS Curves (2020)'!Y$46*1000000000</f>
        <v>5462534477.0382652</v>
      </c>
      <c r="AF3" s="159">
        <f>'[2]10 Year RFS Curves (2020)'!Z$46*1000000000</f>
        <v>5739568124.3398066</v>
      </c>
      <c r="AG3" s="159">
        <f>'[2]10 Year RFS Curves (2020)'!AA$46*1000000000</f>
        <v>6030334130.0087395</v>
      </c>
      <c r="AH3" s="159">
        <f>'[2]10 Year RFS Curves (2020)'!AB$46*1000000000</f>
        <v>6511065158.6509972</v>
      </c>
      <c r="AI3" s="159">
        <f>'[2]10 Year RFS Curves (2020)'!AC$46*1000000000</f>
        <v>6606260767.6126308</v>
      </c>
      <c r="AJ3" s="159">
        <f>'[2]10 Year RFS Curves (2020)'!AD$46*1000000000</f>
        <v>6518031148.6420641</v>
      </c>
      <c r="AK3" s="159">
        <f>'[2]10 Year RFS Curves (2020)'!AE$46*1000000000</f>
        <v>6160248787.5248022</v>
      </c>
      <c r="AL3" s="159">
        <f>'[2]10 Year RFS Curves (2020)'!AF$46*1000000000</f>
        <v>5982655097.8000813</v>
      </c>
      <c r="AM3" s="159">
        <f>'[2]10 Year RFS Curves (2020)'!AG$46*1000000000</f>
        <v>6211594345.3546257</v>
      </c>
      <c r="AN3" s="159">
        <f>'[2]10 Year RFS Curves (2020)'!AH$46*1000000000</f>
        <v>6435791990.6141872</v>
      </c>
      <c r="AO3" s="159">
        <f>'[2]10 Year RFS Curves (2020)'!AI$46*1000000000</f>
        <v>6725263301.8047171</v>
      </c>
      <c r="AP3" s="159">
        <f>'[2]10 Year RFS Curves (2020)'!AJ$46*1000000000</f>
        <v>7235816556.0640306</v>
      </c>
    </row>
    <row r="4" spans="1:42">
      <c r="A4" s="106" t="s">
        <v>273</v>
      </c>
      <c r="B4" s="107">
        <f>'[1]D5 Gallon Forecast'!C$9</f>
        <v>4536038</v>
      </c>
      <c r="C4" s="107">
        <f>'[1]D5 Gallon Forecast'!D$9</f>
        <v>10038332</v>
      </c>
      <c r="D4" s="107">
        <f>'[1]D5 Gallon Forecast'!E$9</f>
        <v>41266830</v>
      </c>
      <c r="E4" s="107">
        <f>'[1]D5 Gallon Forecast'!F$9</f>
        <v>8604718</v>
      </c>
      <c r="F4" s="107">
        <f>'[1]D5 Gallon Forecast'!G$9</f>
        <v>4979775</v>
      </c>
      <c r="G4" s="107">
        <f>'[1]D5 Gallon Forecast'!H$9</f>
        <v>4666016</v>
      </c>
      <c r="H4" s="107">
        <f>'[1]D5 Gallon Forecast'!I$9</f>
        <v>5147237</v>
      </c>
      <c r="I4" s="107">
        <f>'[1]D5 Gallon Forecast'!J$9</f>
        <v>23607885</v>
      </c>
      <c r="J4" s="107">
        <f>'[1]D5 Gallon Forecast'!K$9</f>
        <v>34293809</v>
      </c>
      <c r="K4" s="107">
        <f>'[1]D5 Gallon Forecast'!L$9</f>
        <v>50596671</v>
      </c>
      <c r="L4" s="107">
        <f>'[1]D5 Gallon Forecast'!M$9</f>
        <v>62444807</v>
      </c>
      <c r="M4" s="107">
        <f>'[1]D5 Gallon Forecast'!N$9</f>
        <v>75967064</v>
      </c>
      <c r="N4" s="107">
        <f>'[1]D5 Gallon Forecast'!O$9</f>
        <v>72161104</v>
      </c>
      <c r="O4" s="107">
        <f>'[1]D5 Gallon Forecast'!P$9</f>
        <v>67136623</v>
      </c>
      <c r="P4" s="159">
        <f>'[2]10 Year RFS Curves (2020)'!J$47*1000000000</f>
        <v>61713905.573394053</v>
      </c>
      <c r="Q4" s="159">
        <f>'[2]10 Year RFS Curves (2020)'!K$47*1000000000</f>
        <v>74644479.867806837</v>
      </c>
      <c r="R4" s="159">
        <f>'[2]10 Year RFS Curves (2020)'!L$47*1000000000</f>
        <v>90174702.882584006</v>
      </c>
      <c r="S4" s="159">
        <f>'[2]10 Year RFS Curves (2020)'!M$47*1000000000</f>
        <v>94265461.32229273</v>
      </c>
      <c r="T4" s="159">
        <f>'[2]10 Year RFS Curves (2020)'!N$47*1000000000</f>
        <v>101063952.52821082</v>
      </c>
      <c r="U4" s="159">
        <f>'[2]10 Year RFS Curves (2020)'!O$47*1000000000</f>
        <v>108107155.51235586</v>
      </c>
      <c r="V4" s="159">
        <f>'[2]10 Year RFS Curves (2020)'!P$47*1000000000</f>
        <v>112379365.64766049</v>
      </c>
      <c r="W4" s="159">
        <f>'[2]10 Year RFS Curves (2020)'!Q$47*1000000000</f>
        <v>127428482.91331537</v>
      </c>
      <c r="X4" s="159">
        <f>'[2]10 Year RFS Curves (2020)'!R$47*1000000000</f>
        <v>130758287.08032538</v>
      </c>
      <c r="Y4" s="159">
        <f>'[2]10 Year RFS Curves (2020)'!S$47*1000000000</f>
        <v>137035550.46998152</v>
      </c>
      <c r="Z4" s="159">
        <f>'[2]10 Year RFS Curves (2020)'!T$47*1000000000</f>
        <v>145226327.89713299</v>
      </c>
      <c r="AA4" s="159">
        <f>'[2]10 Year RFS Curves (2020)'!U$47*1000000000</f>
        <v>142022344.47656283</v>
      </c>
      <c r="AB4" s="159">
        <f>'[2]10 Year RFS Curves (2020)'!V$47*1000000000</f>
        <v>153559589.09913054</v>
      </c>
      <c r="AC4" s="159">
        <f>'[2]10 Year RFS Curves (2020)'!W$47*1000000000</f>
        <v>169326008.73336238</v>
      </c>
      <c r="AD4" s="159">
        <f>'[2]10 Year RFS Curves (2020)'!X$47*1000000000</f>
        <v>184963564.51450959</v>
      </c>
      <c r="AE4" s="159">
        <f>'[2]10 Year RFS Curves (2020)'!Y$47*1000000000</f>
        <v>184843338.36442617</v>
      </c>
      <c r="AF4" s="159">
        <f>'[2]10 Year RFS Curves (2020)'!Z$47*1000000000</f>
        <v>185521393.91805434</v>
      </c>
      <c r="AG4" s="159">
        <f>'[2]10 Year RFS Curves (2020)'!AA$47*1000000000</f>
        <v>194919891.07098955</v>
      </c>
      <c r="AH4" s="159">
        <f>'[2]10 Year RFS Curves (2020)'!AB$47*1000000000</f>
        <v>210458671.79477972</v>
      </c>
      <c r="AI4" s="159">
        <f>'[2]10 Year RFS Curves (2020)'!AC$47*1000000000</f>
        <v>215714637.30980021</v>
      </c>
      <c r="AJ4" s="159">
        <f>'[2]10 Year RFS Curves (2020)'!AD$47*1000000000</f>
        <v>215302101.90128431</v>
      </c>
      <c r="AK4" s="159">
        <f>'[2]10 Year RFS Curves (2020)'!AE$47*1000000000</f>
        <v>214329643.56146899</v>
      </c>
      <c r="AL4" s="159">
        <f>'[2]10 Year RFS Curves (2020)'!AF$47*1000000000</f>
        <v>210656869.64084795</v>
      </c>
      <c r="AM4" s="159">
        <f>'[2]10 Year RFS Curves (2020)'!AG$47*1000000000</f>
        <v>218718110.75192347</v>
      </c>
      <c r="AN4" s="159">
        <f>'[2]10 Year RFS Curves (2020)'!AH$47*1000000000</f>
        <v>226612394.03571084</v>
      </c>
      <c r="AO4" s="159">
        <f>'[2]10 Year RFS Curves (2020)'!AI$47*1000000000</f>
        <v>228643183.76592827</v>
      </c>
      <c r="AP4" s="159">
        <f>'[2]10 Year RFS Curves (2020)'!AJ$47*1000000000</f>
        <v>254782273.10084617</v>
      </c>
    </row>
    <row r="5" spans="1:42">
      <c r="A5" s="106" t="s">
        <v>274</v>
      </c>
      <c r="B5" s="107">
        <f>SUM(B2:B4)</f>
        <v>1148127230</v>
      </c>
      <c r="C5" s="107">
        <f t="shared" ref="C5:AO5" si="0">SUM(C2:C4)</f>
        <v>1169888805</v>
      </c>
      <c r="D5" s="107">
        <f t="shared" si="0"/>
        <v>2029133049</v>
      </c>
      <c r="E5" s="107">
        <f t="shared" si="0"/>
        <v>1985220612</v>
      </c>
      <c r="F5" s="107">
        <f t="shared" si="0"/>
        <v>2108061929</v>
      </c>
      <c r="G5" s="107">
        <f t="shared" si="0"/>
        <v>2903114924</v>
      </c>
      <c r="H5" s="107">
        <f t="shared" si="0"/>
        <v>2658035441</v>
      </c>
      <c r="I5" s="107">
        <f t="shared" si="0"/>
        <v>2669533040</v>
      </c>
      <c r="J5" s="107">
        <f t="shared" si="0"/>
        <v>2845319225</v>
      </c>
      <c r="K5" s="107">
        <f t="shared" si="0"/>
        <v>3053952222</v>
      </c>
      <c r="L5" s="107">
        <f>SUM(L2:L4)</f>
        <v>3291964808</v>
      </c>
      <c r="M5" s="107">
        <f>SUM(M2:M4)</f>
        <v>3838259872</v>
      </c>
      <c r="N5" s="107">
        <f>SUM(N2:N4)</f>
        <v>5164203423</v>
      </c>
      <c r="O5" s="107">
        <f>SUM(O2:O4)</f>
        <v>5705051178</v>
      </c>
      <c r="P5" s="159">
        <f t="shared" si="0"/>
        <v>4432226512.9450436</v>
      </c>
      <c r="Q5" s="159">
        <f t="shared" si="0"/>
        <v>4245278123.2263598</v>
      </c>
      <c r="R5" s="159">
        <f t="shared" si="0"/>
        <v>4534739278.4174147</v>
      </c>
      <c r="S5" s="159">
        <f t="shared" si="0"/>
        <v>4300797001.5074949</v>
      </c>
      <c r="T5" s="159">
        <f t="shared" si="0"/>
        <v>4526719764.2277737</v>
      </c>
      <c r="U5" s="159">
        <f t="shared" si="0"/>
        <v>4719286160.0392952</v>
      </c>
      <c r="V5" s="159">
        <f t="shared" si="0"/>
        <v>5006645276.8508558</v>
      </c>
      <c r="W5" s="159">
        <f t="shared" si="0"/>
        <v>5729506860.6289854</v>
      </c>
      <c r="X5" s="159">
        <f t="shared" si="0"/>
        <v>5253674924.1738834</v>
      </c>
      <c r="Y5" s="159">
        <f t="shared" si="0"/>
        <v>5435439330.1447382</v>
      </c>
      <c r="Z5" s="159">
        <f t="shared" si="0"/>
        <v>5648918314.5477791</v>
      </c>
      <c r="AA5" s="159">
        <f t="shared" si="0"/>
        <v>5715633553.8592892</v>
      </c>
      <c r="AB5" s="159">
        <f t="shared" si="0"/>
        <v>6125697840.549509</v>
      </c>
      <c r="AC5" s="159">
        <f t="shared" si="0"/>
        <v>6651234952.9792194</v>
      </c>
      <c r="AD5" s="159">
        <f t="shared" si="0"/>
        <v>6510426922.4614029</v>
      </c>
      <c r="AE5" s="159">
        <f t="shared" si="0"/>
        <v>5952081563.0460291</v>
      </c>
      <c r="AF5" s="159">
        <f t="shared" si="0"/>
        <v>6275347135.4585142</v>
      </c>
      <c r="AG5" s="159">
        <f t="shared" si="0"/>
        <v>6567151927.687253</v>
      </c>
      <c r="AH5" s="159">
        <f t="shared" si="0"/>
        <v>6980659269.6906366</v>
      </c>
      <c r="AI5" s="159">
        <f t="shared" si="0"/>
        <v>7087086879.1161175</v>
      </c>
      <c r="AJ5" s="159">
        <f t="shared" si="0"/>
        <v>7002355245.3034124</v>
      </c>
      <c r="AK5" s="159">
        <f t="shared" si="0"/>
        <v>6643124105.288784</v>
      </c>
      <c r="AL5" s="159">
        <f t="shared" si="0"/>
        <v>6462984472.5228853</v>
      </c>
      <c r="AM5" s="159">
        <f t="shared" si="0"/>
        <v>6707574361.5995731</v>
      </c>
      <c r="AN5" s="159">
        <f t="shared" si="0"/>
        <v>6947617014.7826805</v>
      </c>
      <c r="AO5" s="159">
        <f t="shared" si="0"/>
        <v>7249002008.3400421</v>
      </c>
      <c r="AP5" s="159">
        <f>SUM(AP2:AP4)</f>
        <v>7805153204.0451765</v>
      </c>
    </row>
    <row r="6" spans="1:42">
      <c r="A6" s="106" t="s">
        <v>275</v>
      </c>
      <c r="B6" s="108">
        <f t="shared" ref="B6:K6" si="1">((B2*1.5)+(B3*1.7))/(B2+B3)</f>
        <v>1.5108502567060695</v>
      </c>
      <c r="C6" s="108">
        <f t="shared" si="1"/>
        <v>1.5177047001126669</v>
      </c>
      <c r="D6" s="108">
        <f t="shared" si="1"/>
        <v>1.5419228815316972</v>
      </c>
      <c r="E6" s="108">
        <f t="shared" si="1"/>
        <v>1.5493664649243177</v>
      </c>
      <c r="F6" s="108">
        <f t="shared" si="1"/>
        <v>1.5487992894641813</v>
      </c>
      <c r="G6" s="108">
        <f t="shared" si="1"/>
        <v>1.5407924024031132</v>
      </c>
      <c r="H6" s="108">
        <f t="shared" si="1"/>
        <v>1.5454390666814544</v>
      </c>
      <c r="I6" s="108">
        <f t="shared" si="1"/>
        <v>1.5465116016480822</v>
      </c>
      <c r="J6" s="108">
        <f t="shared" si="1"/>
        <v>1.5649236595874307</v>
      </c>
      <c r="K6" s="108">
        <f t="shared" si="1"/>
        <v>1.5645270413406343</v>
      </c>
      <c r="L6" s="108">
        <f>((L2*1.5)+(L3*1.7))/(L2+L3)</f>
        <v>1.5815255480438191</v>
      </c>
      <c r="M6" s="108">
        <f>((M2*1.5)+(M3*1.7))/(M2+M3)</f>
        <v>1.6010957546927855</v>
      </c>
      <c r="N6" s="108">
        <f>((N2*1.5)+(N3*1.7))/(N2+N3)</f>
        <v>1.6142389694660353</v>
      </c>
      <c r="O6" s="109">
        <f t="shared" ref="O6:AO6" si="2">((O2*1.5)+(O3*1.7))/(O2+O3)</f>
        <v>1.626427048733448</v>
      </c>
      <c r="P6" s="160">
        <f t="shared" si="2"/>
        <v>1.627655349242104</v>
      </c>
      <c r="Q6" s="160">
        <f t="shared" si="2"/>
        <v>1.6301646202748166</v>
      </c>
      <c r="R6" s="160">
        <f t="shared" si="2"/>
        <v>1.6336671230828328</v>
      </c>
      <c r="S6" s="160">
        <f t="shared" si="2"/>
        <v>1.6434195718489992</v>
      </c>
      <c r="T6" s="160">
        <f t="shared" si="2"/>
        <v>1.6370155613019526</v>
      </c>
      <c r="U6" s="160">
        <f t="shared" si="2"/>
        <v>1.6379092946871117</v>
      </c>
      <c r="V6" s="160">
        <f t="shared" si="2"/>
        <v>1.6413011347584328</v>
      </c>
      <c r="W6" s="160">
        <f t="shared" si="2"/>
        <v>1.6467525423907521</v>
      </c>
      <c r="X6" s="160">
        <f t="shared" si="2"/>
        <v>1.6595261746667203</v>
      </c>
      <c r="Y6" s="160">
        <f t="shared" si="2"/>
        <v>1.6496107104046629</v>
      </c>
      <c r="Z6" s="160">
        <f t="shared" si="2"/>
        <v>1.6526390743963482</v>
      </c>
      <c r="AA6" s="160">
        <f t="shared" si="2"/>
        <v>1.6634311937664228</v>
      </c>
      <c r="AB6" s="160">
        <f t="shared" si="2"/>
        <v>1.6737821484169897</v>
      </c>
      <c r="AC6" s="160">
        <f t="shared" si="2"/>
        <v>1.6765545112968541</v>
      </c>
      <c r="AD6" s="160">
        <f t="shared" si="2"/>
        <v>1.6809293629052018</v>
      </c>
      <c r="AE6" s="160">
        <f t="shared" si="2"/>
        <v>1.6894332872764186</v>
      </c>
      <c r="AF6" s="160">
        <f t="shared" si="2"/>
        <v>1.6884969576448978</v>
      </c>
      <c r="AG6" s="160">
        <f t="shared" si="2"/>
        <v>1.6892691319260533</v>
      </c>
      <c r="AH6" s="160">
        <f t="shared" si="2"/>
        <v>1.692344822417067</v>
      </c>
      <c r="AI6" s="160">
        <f t="shared" si="2"/>
        <v>1.6922835944593217</v>
      </c>
      <c r="AJ6" s="160">
        <f t="shared" si="2"/>
        <v>1.6920724948198886</v>
      </c>
      <c r="AK6" s="160">
        <f t="shared" si="2"/>
        <v>1.6916455355416558</v>
      </c>
      <c r="AL6" s="160">
        <f t="shared" si="2"/>
        <v>1.6913736924163203</v>
      </c>
      <c r="AM6" s="160">
        <f t="shared" si="2"/>
        <v>1.6914542133536459</v>
      </c>
      <c r="AN6" s="160">
        <f t="shared" si="2"/>
        <v>1.691512797677527</v>
      </c>
      <c r="AO6" s="160">
        <f t="shared" si="2"/>
        <v>1.6915931498619001</v>
      </c>
      <c r="AP6" s="160">
        <f>((AP2*1.5)+(AP3*1.7))/(AP2+AP3)</f>
        <v>1.6916678431362588</v>
      </c>
    </row>
    <row r="7" spans="1:42">
      <c r="B7" s="108"/>
      <c r="C7" s="108"/>
      <c r="D7" s="107"/>
      <c r="E7" s="107"/>
      <c r="F7" s="107"/>
      <c r="G7" s="107"/>
      <c r="H7" s="107"/>
      <c r="I7" s="107"/>
      <c r="J7" s="107"/>
      <c r="K7" s="107"/>
      <c r="L7" s="107"/>
      <c r="M7" s="107"/>
      <c r="N7" s="107"/>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row>
    <row r="8" spans="1:42">
      <c r="A8" s="106" t="s">
        <v>276</v>
      </c>
      <c r="B8" s="107">
        <v>13950000000</v>
      </c>
      <c r="C8" s="107">
        <v>15200000000</v>
      </c>
      <c r="D8" s="107">
        <v>16550000000</v>
      </c>
      <c r="E8" s="107">
        <v>16280000000</v>
      </c>
      <c r="F8" s="107">
        <v>16930000000</v>
      </c>
      <c r="G8" s="107">
        <v>18110000000</v>
      </c>
      <c r="H8" s="107">
        <v>19280000000</v>
      </c>
      <c r="I8" s="107">
        <f>'[2]10 Year RFS Curves (2020)'!C$18*1000000000</f>
        <v>19290000000</v>
      </c>
      <c r="J8" s="107">
        <f>'[2]10 Year RFS Curves (2020)'!D$18*1000000000</f>
        <v>19920000000</v>
      </c>
      <c r="K8" s="107">
        <f>'[2]10 Year RFS Curves (2020)'!E$18*1000000000</f>
        <v>17129999999.999998</v>
      </c>
      <c r="L8" s="107">
        <f>'[2]10 Year RFS Curves (2020)'!F$18*1000000000</f>
        <v>18840000000</v>
      </c>
      <c r="M8" s="107">
        <f>'[2]10 Year RFS Curves (2020)'!G$18*1000000000</f>
        <v>20630000000</v>
      </c>
      <c r="N8" s="107">
        <f>'[2]10 Year RFS Curves (2020)'!H$18*1000000000</f>
        <v>20940000000</v>
      </c>
      <c r="O8" s="107">
        <f>'[2]10 Year RFS Curves (2020)'!I$18*1000000000</f>
        <v>21540000000</v>
      </c>
      <c r="P8" s="161">
        <f>'[2]10 Year RFS Curves (2020)'!J$18*1000000000</f>
        <v>22330000000</v>
      </c>
      <c r="Q8" s="159">
        <f>'[2]10 Year RFS Curves (2020)'!K$18*1000000000</f>
        <v>24020000000</v>
      </c>
      <c r="R8" s="159">
        <f>'[2]10 Year RFS Curves (2020)'!L$18*1000000000</f>
        <v>24460000000</v>
      </c>
      <c r="S8" s="159">
        <f>'[2]10 Year RFS Curves (2020)'!M$18*1000000000</f>
        <v>25250000000</v>
      </c>
      <c r="T8" s="159">
        <f>'[2]10 Year RFS Curves (2020)'!N$18*1000000000</f>
        <v>26500000000</v>
      </c>
      <c r="U8" s="159">
        <f>'[2]10 Year RFS Curves (2020)'!O$18*1000000000</f>
        <v>27600000000</v>
      </c>
      <c r="V8" s="159">
        <f>'[2]10 Year RFS Curves (2020)'!P$18*1000000000</f>
        <v>28700000000</v>
      </c>
      <c r="W8" s="159">
        <f>'[2]10 Year RFS Curves (2020)'!Q$18*1000000000</f>
        <v>29800000000</v>
      </c>
      <c r="X8" s="159">
        <f>'[2]10 Year RFS Curves (2020)'!R$18*1000000000</f>
        <v>30900000000</v>
      </c>
      <c r="Y8" s="159">
        <f>'[2]10 Year RFS Curves (2020)'!S$18*1000000000</f>
        <v>32000000000</v>
      </c>
      <c r="Z8" s="159">
        <f>'[2]10 Year RFS Curves (2020)'!T$18*1000000000</f>
        <v>33100000000</v>
      </c>
      <c r="AA8" s="159">
        <f>'[2]10 Year RFS Curves (2020)'!U$18*1000000000</f>
        <v>34200000000.000004</v>
      </c>
      <c r="AB8" s="159">
        <f>'[2]10 Year RFS Curves (2020)'!V$18*1000000000</f>
        <v>35300000000</v>
      </c>
      <c r="AC8" s="159">
        <f>'[2]10 Year RFS Curves (2020)'!W$18*1000000000</f>
        <v>36400000000</v>
      </c>
      <c r="AD8" s="159">
        <f>'[2]10 Year RFS Curves (2020)'!X$18*1000000000</f>
        <v>37500000000</v>
      </c>
      <c r="AE8" s="159">
        <f>'[2]10 Year RFS Curves (2020)'!Y$18*1000000000</f>
        <v>38600000000</v>
      </c>
      <c r="AF8" s="159">
        <f>'[2]10 Year RFS Curves (2020)'!Z$18*1000000000</f>
        <v>39700000000</v>
      </c>
      <c r="AG8" s="159">
        <f>'[2]10 Year RFS Curves (2020)'!AA$18*1000000000</f>
        <v>40700000000</v>
      </c>
      <c r="AH8" s="159">
        <f>'[2]10 Year RFS Curves (2020)'!AB$18*1000000000</f>
        <v>41700000000</v>
      </c>
      <c r="AI8" s="159">
        <f>'[2]10 Year RFS Curves (2020)'!AC$18*1000000000</f>
        <v>42700000000</v>
      </c>
      <c r="AJ8" s="159">
        <f>'[2]10 Year RFS Curves (2020)'!AD$18*1000000000</f>
        <v>43700000000</v>
      </c>
      <c r="AK8" s="159">
        <f>'[2]10 Year RFS Curves (2020)'!AE$18*1000000000</f>
        <v>44700000000</v>
      </c>
      <c r="AL8" s="159">
        <f>'[2]10 Year RFS Curves (2020)'!AF$18*1000000000</f>
        <v>45700000000</v>
      </c>
      <c r="AM8" s="159">
        <f>'[2]10 Year RFS Curves (2020)'!AG$18*1000000000</f>
        <v>46700000000</v>
      </c>
      <c r="AN8" s="159">
        <f>'[2]10 Year RFS Curves (2020)'!AH$18*1000000000</f>
        <v>47700000000</v>
      </c>
      <c r="AO8" s="159">
        <f>'[2]10 Year RFS Curves (2020)'!AI$18*1000000000</f>
        <v>48700000000</v>
      </c>
      <c r="AP8" s="159">
        <f>'[2]10 Year RFS Curves (2020)'!AJ$18*1000000000</f>
        <v>49700000000</v>
      </c>
    </row>
    <row r="9" spans="1:42">
      <c r="B9" s="108"/>
      <c r="C9" s="108"/>
      <c r="D9" s="108"/>
      <c r="E9" s="108"/>
      <c r="F9" s="108"/>
      <c r="G9" s="108"/>
      <c r="H9" s="108"/>
      <c r="I9" s="108"/>
      <c r="J9" s="108"/>
      <c r="K9" s="109"/>
      <c r="L9" s="107"/>
      <c r="M9" s="107"/>
      <c r="N9" s="107"/>
      <c r="O9" s="107"/>
      <c r="P9" s="161"/>
      <c r="Q9" s="161"/>
      <c r="R9" s="161"/>
      <c r="S9" s="161"/>
      <c r="T9" s="161"/>
      <c r="U9" s="161"/>
      <c r="V9" s="161"/>
      <c r="W9" s="161"/>
      <c r="X9" s="161"/>
      <c r="Y9" s="161"/>
      <c r="Z9" s="161"/>
      <c r="AA9" s="161"/>
      <c r="AB9" s="161"/>
      <c r="AC9" s="161"/>
      <c r="AD9" s="161"/>
      <c r="AE9" s="161"/>
      <c r="AF9" s="161"/>
      <c r="AG9" s="161"/>
      <c r="AH9" s="161"/>
      <c r="AI9" s="161"/>
      <c r="AJ9" s="161"/>
      <c r="AK9" s="161"/>
      <c r="AL9" s="161"/>
      <c r="AM9" s="161"/>
      <c r="AN9" s="161"/>
      <c r="AO9" s="161"/>
      <c r="AP9" s="161"/>
    </row>
    <row r="10" spans="1:42">
      <c r="A10" s="106" t="s">
        <v>277</v>
      </c>
      <c r="B10" s="107">
        <v>800000000</v>
      </c>
      <c r="C10" s="107">
        <v>1000000000</v>
      </c>
      <c r="D10" s="107">
        <v>1280000000</v>
      </c>
      <c r="E10" s="107">
        <v>1630000000</v>
      </c>
      <c r="F10" s="107">
        <v>1730000000</v>
      </c>
      <c r="G10" s="107">
        <v>1900000000</v>
      </c>
      <c r="H10" s="107">
        <v>2000000000</v>
      </c>
      <c r="I10" s="107">
        <v>2100000000</v>
      </c>
      <c r="J10" s="107">
        <f>'[2]10 Year RFS Curves (2020)'!D$13*1000000000</f>
        <v>2100000000</v>
      </c>
      <c r="K10" s="107">
        <f>'[2]10 Year RFS Curves (2020)'!E$13*1000000000</f>
        <v>2430000000</v>
      </c>
      <c r="L10" s="107">
        <f>'[2]10 Year RFS Curves (2020)'!F$13*1000000000</f>
        <v>2430000000</v>
      </c>
      <c r="M10" s="107">
        <f>'[2]10 Year RFS Curves (2020)'!G$13*1000000000</f>
        <v>2760000000</v>
      </c>
      <c r="N10" s="107">
        <f>'[2]10 Year RFS Curves (2020)'!H$13*1000000000</f>
        <v>2820000000</v>
      </c>
      <c r="O10" s="107">
        <f>'[2]10 Year RFS Curves (2020)'!I$13*1000000000</f>
        <v>3040000000</v>
      </c>
      <c r="P10" s="161">
        <f>'[2]10 Year RFS Curves (2020)'!J$13*1000000000</f>
        <v>3500000000</v>
      </c>
      <c r="Q10" s="159">
        <f>'[2]10 Year RFS Curves (2020)'!K$13*1000000000</f>
        <v>7120000000</v>
      </c>
      <c r="R10" s="159">
        <f>'[2]10 Year RFS Curves (2020)'!L$13*1000000000</f>
        <v>7500000000</v>
      </c>
      <c r="S10" s="159">
        <f>'[2]10 Year RFS Curves (2020)'!M$13*1000000000</f>
        <v>7750000000</v>
      </c>
      <c r="T10" s="159">
        <f>'[2]10 Year RFS Curves (2020)'!N$13*1000000000</f>
        <v>8000000000</v>
      </c>
      <c r="U10" s="159">
        <f>'[2]10 Year RFS Curves (2020)'!O$13*1000000000</f>
        <v>8250000000</v>
      </c>
      <c r="V10" s="159">
        <f>'[2]10 Year RFS Curves (2020)'!P$13*1000000000</f>
        <v>8500000000</v>
      </c>
      <c r="W10" s="159">
        <f>'[2]10 Year RFS Curves (2020)'!Q$13*1000000000</f>
        <v>8750000000</v>
      </c>
      <c r="X10" s="159">
        <f>'[2]10 Year RFS Curves (2020)'!R$13*1000000000</f>
        <v>9000000000</v>
      </c>
      <c r="Y10" s="159">
        <f>'[2]10 Year RFS Curves (2020)'!S$13*1000000000</f>
        <v>9100000000</v>
      </c>
      <c r="Z10" s="159">
        <f>'[2]10 Year RFS Curves (2020)'!T$13*1000000000</f>
        <v>9200000000</v>
      </c>
      <c r="AA10" s="159">
        <f>'[2]10 Year RFS Curves (2020)'!U$13*1000000000</f>
        <v>9300000000</v>
      </c>
      <c r="AB10" s="159">
        <f>'[2]10 Year RFS Curves (2020)'!V$13*1000000000</f>
        <v>9400000000</v>
      </c>
      <c r="AC10" s="159">
        <f>'[2]10 Year RFS Curves (2020)'!W$13*1000000000</f>
        <v>9500000000</v>
      </c>
      <c r="AD10" s="159">
        <f>'[2]10 Year RFS Curves (2020)'!X$13*1000000000</f>
        <v>7800000000</v>
      </c>
      <c r="AE10" s="159">
        <f>'[2]10 Year RFS Curves (2020)'!Y$13*1000000000</f>
        <v>8150000000</v>
      </c>
      <c r="AF10" s="159">
        <f>'[2]10 Year RFS Curves (2020)'!Z$13*1000000000</f>
        <v>8500000000</v>
      </c>
      <c r="AG10" s="159">
        <f>'[2]10 Year RFS Curves (2020)'!AA$13*1000000000</f>
        <v>8900000000</v>
      </c>
      <c r="AH10" s="159">
        <f>'[2]10 Year RFS Curves (2020)'!AB$13*1000000000</f>
        <v>9300000000</v>
      </c>
      <c r="AI10" s="159">
        <f>'[2]10 Year RFS Curves (2020)'!AC$13*1000000000</f>
        <v>9700000000</v>
      </c>
      <c r="AJ10" s="159">
        <f>'[2]10 Year RFS Curves (2020)'!AD$13*1000000000</f>
        <v>10100000000</v>
      </c>
      <c r="AK10" s="159">
        <f>'[2]10 Year RFS Curves (2020)'!AE$13*1000000000</f>
        <v>10500000000</v>
      </c>
      <c r="AL10" s="159">
        <f>'[2]10 Year RFS Curves (2020)'!AF$13*1000000000</f>
        <v>10900000000</v>
      </c>
      <c r="AM10" s="159">
        <f>'[2]10 Year RFS Curves (2020)'!AG$13*1000000000</f>
        <v>11400000000</v>
      </c>
      <c r="AN10" s="159">
        <f>'[2]10 Year RFS Curves (2020)'!AH$13*1000000000</f>
        <v>11900000000</v>
      </c>
      <c r="AO10" s="159">
        <f>'[2]10 Year RFS Curves (2020)'!AI$13*1000000000</f>
        <v>12400000000</v>
      </c>
      <c r="AP10" s="159">
        <f>'[2]10 Year RFS Curves (2020)'!AJ$13*1000000000</f>
        <v>12900000000</v>
      </c>
    </row>
    <row r="11" spans="1:42">
      <c r="A11" s="106" t="s">
        <v>278</v>
      </c>
      <c r="B11" s="107"/>
      <c r="C11" s="107"/>
      <c r="D11" s="107"/>
      <c r="E11" s="107">
        <f>'Small Refinery Exemptions'!E42</f>
        <v>22999321.700926796</v>
      </c>
      <c r="F11" s="107">
        <f>'Small Refinery Exemptions'!F42</f>
        <v>33497302.971663751</v>
      </c>
      <c r="G11" s="107">
        <f>'Small Refinery Exemptions'!G42</f>
        <v>47231150.598640032</v>
      </c>
      <c r="H11" s="107">
        <f>'Small Refinery Exemptions'!H42</f>
        <v>127719363.81999886</v>
      </c>
      <c r="I11" s="107">
        <f>'Small Refinery Exemptions'!I42</f>
        <v>293360395.10102928</v>
      </c>
      <c r="J11" s="107">
        <f>'Small Refinery Exemptions'!J42</f>
        <v>303393614.48808241</v>
      </c>
      <c r="K11" s="107">
        <f>'Small Refinery Exemptions'!K42</f>
        <v>230089999.99999997</v>
      </c>
      <c r="L11" s="107">
        <f>'Small Refinery Exemptions'!L42</f>
        <v>156390123.0524098</v>
      </c>
      <c r="M11" s="107">
        <f>'Small Refinery Exemptions'!M42</f>
        <v>184241400.24491274</v>
      </c>
      <c r="N11" s="107">
        <f>'Small Refinery Exemptions'!N42</f>
        <v>160413783.6626702</v>
      </c>
      <c r="O11" s="107">
        <f>'Small Refinery Exemptions'!O42</f>
        <v>155483497.53896853</v>
      </c>
      <c r="P11" s="161">
        <f>'Small Refinery Exemptions'!P42</f>
        <v>177957141.96421894</v>
      </c>
      <c r="Q11" s="159">
        <f>'Small Refinery Exemptions'!Q42</f>
        <v>227985684.76834151</v>
      </c>
      <c r="R11" s="159">
        <f>'Small Refinery Exemptions'!R42</f>
        <v>440815329.81087649</v>
      </c>
      <c r="S11" s="159">
        <f>'Small Refinery Exemptions'!S42</f>
        <v>181967554.41185084</v>
      </c>
      <c r="T11" s="159">
        <f>'Small Refinery Exemptions'!T42</f>
        <v>149027361.65788093</v>
      </c>
      <c r="U11" s="159">
        <f>'Small Refinery Exemptions'!U42</f>
        <v>156169295.41387025</v>
      </c>
      <c r="V11" s="159">
        <f>'Small Refinery Exemptions'!V42</f>
        <v>156469191.92765194</v>
      </c>
      <c r="W11" s="159">
        <f>'Small Refinery Exemptions'!W42</f>
        <v>136145547.85357255</v>
      </c>
      <c r="X11" s="159">
        <f>'Small Refinery Exemptions'!X42</f>
        <v>140266242.6286239</v>
      </c>
      <c r="Y11" s="159">
        <f>'Small Refinery Exemptions'!Y42</f>
        <v>127871246.02989638</v>
      </c>
      <c r="Z11" s="159">
        <f>'Small Refinery Exemptions'!Z42</f>
        <v>62905109.292141117</v>
      </c>
      <c r="AA11" s="159">
        <f>'Small Refinery Exemptions'!AA42</f>
        <v>91174119.399409145</v>
      </c>
      <c r="AB11" s="159">
        <f>'Small Refinery Exemptions'!AB42</f>
        <v>110079813.3203263</v>
      </c>
      <c r="AC11" s="159">
        <f>'Small Refinery Exemptions'!AC42</f>
        <v>130943736.00063698</v>
      </c>
      <c r="AD11" s="159">
        <f>'Small Refinery Exemptions'!AD42</f>
        <v>128963628.83969693</v>
      </c>
      <c r="AE11" s="159">
        <f>'Small Refinery Exemptions'!AE42</f>
        <v>132604242.87529585</v>
      </c>
      <c r="AF11" s="159">
        <f>'Small Refinery Exemptions'!AF42</f>
        <v>114678570.88253838</v>
      </c>
      <c r="AG11" s="159">
        <f>'Small Refinery Exemptions'!AG42</f>
        <v>93373620.593896702</v>
      </c>
      <c r="AH11" s="159">
        <f>'Small Refinery Exemptions'!AH42</f>
        <v>93416321.745054975</v>
      </c>
      <c r="AI11" s="159">
        <f>'Small Refinery Exemptions'!AI42</f>
        <v>99574162.883684814</v>
      </c>
      <c r="AJ11" s="159">
        <f>'Small Refinery Exemptions'!AJ42</f>
        <v>107332185.3635392</v>
      </c>
      <c r="AK11" s="159">
        <f>'Small Refinery Exemptions'!AK42</f>
        <v>106653597.36713229</v>
      </c>
      <c r="AL11" s="159">
        <f>'Small Refinery Exemptions'!AL42</f>
        <v>103079851.97276004</v>
      </c>
      <c r="AM11" s="159">
        <f>'Small Refinery Exemptions'!AM42</f>
        <v>102841645.86139871</v>
      </c>
      <c r="AN11" s="159">
        <f>'Small Refinery Exemptions'!AN42</f>
        <v>111712623.05717072</v>
      </c>
      <c r="AO11" s="159">
        <f>'Small Refinery Exemptions'!AO42</f>
        <v>117036325.2839113</v>
      </c>
      <c r="AP11" s="159">
        <f>'Small Refinery Exemptions'!AP42</f>
        <v>122361970.59719324</v>
      </c>
    </row>
    <row r="12" spans="1:42">
      <c r="A12" s="106" t="s">
        <v>279</v>
      </c>
      <c r="B12" s="107">
        <f>B10-B11</f>
        <v>800000000</v>
      </c>
      <c r="C12" s="107">
        <f t="shared" ref="C12:AC12" si="3">C10-C11</f>
        <v>1000000000</v>
      </c>
      <c r="D12" s="107">
        <f t="shared" si="3"/>
        <v>1280000000</v>
      </c>
      <c r="E12" s="107">
        <f t="shared" si="3"/>
        <v>1607000678.2990732</v>
      </c>
      <c r="F12" s="107">
        <f t="shared" si="3"/>
        <v>1696502697.0283363</v>
      </c>
      <c r="G12" s="107">
        <f t="shared" si="3"/>
        <v>1852768849.40136</v>
      </c>
      <c r="H12" s="107">
        <f t="shared" si="3"/>
        <v>1872280636.1800013</v>
      </c>
      <c r="I12" s="107">
        <f t="shared" si="3"/>
        <v>1806639604.8989706</v>
      </c>
      <c r="J12" s="107">
        <f t="shared" si="3"/>
        <v>1796606385.5119176</v>
      </c>
      <c r="K12" s="107">
        <f t="shared" si="3"/>
        <v>2199910000</v>
      </c>
      <c r="L12" s="107">
        <f t="shared" si="3"/>
        <v>2273609876.9475904</v>
      </c>
      <c r="M12" s="107">
        <f t="shared" si="3"/>
        <v>2575758599.7550874</v>
      </c>
      <c r="N12" s="107">
        <f t="shared" si="3"/>
        <v>2659586216.3373299</v>
      </c>
      <c r="O12" s="107">
        <f t="shared" si="3"/>
        <v>2884516502.4610314</v>
      </c>
      <c r="P12" s="161">
        <f t="shared" si="3"/>
        <v>3322042858.0357809</v>
      </c>
      <c r="Q12" s="159">
        <f t="shared" si="3"/>
        <v>6892014315.2316589</v>
      </c>
      <c r="R12" s="159">
        <f t="shared" si="3"/>
        <v>7059184670.1891232</v>
      </c>
      <c r="S12" s="159">
        <f t="shared" si="3"/>
        <v>7568032445.5881491</v>
      </c>
      <c r="T12" s="159">
        <f t="shared" si="3"/>
        <v>7850972638.3421192</v>
      </c>
      <c r="U12" s="159">
        <f t="shared" si="3"/>
        <v>8093830704.5861301</v>
      </c>
      <c r="V12" s="159">
        <f t="shared" si="3"/>
        <v>8343530808.0723476</v>
      </c>
      <c r="W12" s="159">
        <f t="shared" si="3"/>
        <v>8613854452.1464272</v>
      </c>
      <c r="X12" s="159">
        <f t="shared" si="3"/>
        <v>8859733757.371376</v>
      </c>
      <c r="Y12" s="159">
        <f t="shared" si="3"/>
        <v>8972128753.9701042</v>
      </c>
      <c r="Z12" s="159">
        <f t="shared" si="3"/>
        <v>9137094890.707859</v>
      </c>
      <c r="AA12" s="159">
        <f t="shared" si="3"/>
        <v>9208825880.6005917</v>
      </c>
      <c r="AB12" s="159">
        <f t="shared" si="3"/>
        <v>9289920186.6796741</v>
      </c>
      <c r="AC12" s="159">
        <f t="shared" si="3"/>
        <v>9369056263.9993629</v>
      </c>
      <c r="AD12" s="159">
        <f>AD10-AD11</f>
        <v>7671036371.1603031</v>
      </c>
      <c r="AE12" s="159">
        <f>AE10-AE11</f>
        <v>8017395757.1247044</v>
      </c>
      <c r="AF12" s="159">
        <f>AF10-AF11</f>
        <v>8385321429.1174612</v>
      </c>
      <c r="AG12" s="159">
        <f t="shared" ref="AG12:AO12" si="4">AG10-AG11</f>
        <v>8806626379.4061031</v>
      </c>
      <c r="AH12" s="159">
        <f t="shared" si="4"/>
        <v>9206583678.2549458</v>
      </c>
      <c r="AI12" s="159">
        <f t="shared" si="4"/>
        <v>9600425837.1163158</v>
      </c>
      <c r="AJ12" s="159">
        <f t="shared" si="4"/>
        <v>9992667814.6364613</v>
      </c>
      <c r="AK12" s="159">
        <f t="shared" si="4"/>
        <v>10393346402.632868</v>
      </c>
      <c r="AL12" s="159">
        <f t="shared" si="4"/>
        <v>10796920148.027241</v>
      </c>
      <c r="AM12" s="159">
        <f t="shared" si="4"/>
        <v>11297158354.138601</v>
      </c>
      <c r="AN12" s="159">
        <f t="shared" si="4"/>
        <v>11788287376.942829</v>
      </c>
      <c r="AO12" s="159">
        <f t="shared" si="4"/>
        <v>12282963674.716089</v>
      </c>
      <c r="AP12" s="159">
        <f>AP10-AP11</f>
        <v>12777638029.402807</v>
      </c>
    </row>
    <row r="13" spans="1:42">
      <c r="B13" s="107"/>
      <c r="C13" s="107"/>
      <c r="D13" s="107"/>
      <c r="E13" s="107"/>
      <c r="F13" s="107"/>
      <c r="G13" s="107"/>
      <c r="H13" s="107"/>
      <c r="I13" s="107"/>
      <c r="J13" s="107"/>
      <c r="K13" s="107"/>
      <c r="L13" s="107"/>
      <c r="N13" s="107"/>
      <c r="O13" s="107"/>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row>
    <row r="14" spans="1:42">
      <c r="A14" s="106" t="s">
        <v>280</v>
      </c>
      <c r="B14" s="107">
        <v>0</v>
      </c>
      <c r="C14" s="107">
        <v>0</v>
      </c>
      <c r="D14" s="107">
        <v>800000</v>
      </c>
      <c r="E14" s="107">
        <v>33000000</v>
      </c>
      <c r="F14" s="107">
        <v>123000000</v>
      </c>
      <c r="G14" s="107">
        <v>230000000</v>
      </c>
      <c r="H14" s="107">
        <v>311000000</v>
      </c>
      <c r="I14" s="107">
        <v>288000000</v>
      </c>
      <c r="J14" s="107">
        <f>'[2]10 Year RFS Curves (2020)'!D$17*1000000000</f>
        <v>418000000</v>
      </c>
      <c r="K14" s="107">
        <f>'[2]10 Year RFS Curves (2020)'!E$17*1000000000</f>
        <v>510000000</v>
      </c>
      <c r="L14" s="107">
        <f>'[2]10 Year RFS Curves (2020)'!F$17*1000000000</f>
        <v>560000000</v>
      </c>
      <c r="M14" s="107">
        <f>'[2]10 Year RFS Curves (2020)'!G$17*1000000000</f>
        <v>630000000</v>
      </c>
      <c r="N14" s="107">
        <f>'[2]10 Year RFS Curves (2020)'!H$17*1000000000</f>
        <v>840000000</v>
      </c>
      <c r="O14" s="107">
        <f>'[2]10 Year RFS Curves (2020)'!I$17*1000000000</f>
        <v>1090000000</v>
      </c>
      <c r="P14" s="161">
        <f>'[2]10 Year RFS Curves (2020)'!J$17*1000000000</f>
        <v>1380000000</v>
      </c>
      <c r="Q14" s="159">
        <f>'[2]10 Year RFS Curves (2020)'!K$17*1000000000</f>
        <v>1300000000</v>
      </c>
      <c r="R14" s="159">
        <f>'[2]10 Year RFS Curves (2020)'!L$17*1000000000</f>
        <v>1360000000</v>
      </c>
      <c r="S14" s="159">
        <f>'[2]10 Year RFS Curves (2020)'!M$17*1000000000</f>
        <v>1400000000</v>
      </c>
      <c r="T14" s="159">
        <f>'[2]10 Year RFS Curves (2020)'!N$17*1000000000</f>
        <v>3250000000</v>
      </c>
      <c r="U14" s="159">
        <f>'[2]10 Year RFS Curves (2020)'!O$17*1000000000</f>
        <v>3500000000</v>
      </c>
      <c r="V14" s="159">
        <f>'[2]10 Year RFS Curves (2020)'!P$17*1000000000</f>
        <v>3750000000</v>
      </c>
      <c r="W14" s="159">
        <f>'[2]10 Year RFS Curves (2020)'!Q$17*1000000000</f>
        <v>4000000000</v>
      </c>
      <c r="X14" s="159">
        <f>'[2]10 Year RFS Curves (2020)'!R$17*1000000000</f>
        <v>4250000000</v>
      </c>
      <c r="Y14" s="159">
        <f>'[2]10 Year RFS Curves (2020)'!S$17*1000000000</f>
        <v>4500000000</v>
      </c>
      <c r="Z14" s="159">
        <f>'[2]10 Year RFS Curves (2020)'!T$17*1000000000</f>
        <v>4750000000</v>
      </c>
      <c r="AA14" s="159">
        <f>'[2]10 Year RFS Curves (2020)'!U$17*1000000000</f>
        <v>5000000000</v>
      </c>
      <c r="AB14" s="159">
        <f>'[2]10 Year RFS Curves (2020)'!V$17*1000000000</f>
        <v>5250000000</v>
      </c>
      <c r="AC14" s="159">
        <f>'[2]10 Year RFS Curves (2020)'!W$17*1000000000</f>
        <v>5500000000</v>
      </c>
      <c r="AD14" s="159">
        <f>'[2]10 Year RFS Curves (2020)'!X$17*1000000000</f>
        <v>5750000000</v>
      </c>
      <c r="AE14" s="159">
        <f>'[2]10 Year RFS Curves (2020)'!Y$17*1000000000</f>
        <v>6000000000</v>
      </c>
      <c r="AF14" s="159">
        <f>'[2]10 Year RFS Curves (2020)'!Z$17*1000000000</f>
        <v>6250000000</v>
      </c>
      <c r="AG14" s="159">
        <f>'[2]10 Year RFS Curves (2020)'!AA$17*1000000000</f>
        <v>7250000000</v>
      </c>
      <c r="AH14" s="159">
        <f>'[2]10 Year RFS Curves (2020)'!AB$17*1000000000</f>
        <v>8250000000</v>
      </c>
      <c r="AI14" s="159">
        <f>'[2]10 Year RFS Curves (2020)'!AC$17*1000000000</f>
        <v>9250000000</v>
      </c>
      <c r="AJ14" s="159">
        <f>'[2]10 Year RFS Curves (2020)'!AD$17*1000000000</f>
        <v>10250000000</v>
      </c>
      <c r="AK14" s="159">
        <f>'[2]10 Year RFS Curves (2020)'!AE$17*1000000000</f>
        <v>11250000000</v>
      </c>
      <c r="AL14" s="159">
        <f>'[2]10 Year RFS Curves (2020)'!AF$17*1000000000</f>
        <v>12250000000</v>
      </c>
      <c r="AM14" s="159">
        <f>'[2]10 Year RFS Curves (2020)'!AG$17*1000000000</f>
        <v>13250000000</v>
      </c>
      <c r="AN14" s="159">
        <f>'[2]10 Year RFS Curves (2020)'!AH$17*1000000000</f>
        <v>14250000000</v>
      </c>
      <c r="AO14" s="159">
        <f>'[2]10 Year RFS Curves (2020)'!AI$17*1000000000</f>
        <v>15250000000</v>
      </c>
      <c r="AP14" s="159">
        <f>'[2]10 Year RFS Curves (2020)'!AJ$17*1000000000</f>
        <v>16250000000</v>
      </c>
    </row>
    <row r="15" spans="1:42">
      <c r="A15" s="106" t="s">
        <v>278</v>
      </c>
      <c r="B15" s="107"/>
      <c r="C15" s="107"/>
      <c r="D15" s="107"/>
      <c r="E15" s="107">
        <f>'Small Refinery Exemptions'!E41</f>
        <v>79200</v>
      </c>
      <c r="F15" s="107">
        <f>'Small Refinery Exemptions'!F41</f>
        <v>437000</v>
      </c>
      <c r="G15" s="107">
        <f>'Small Refinery Exemptions'!G41</f>
        <v>2118300</v>
      </c>
      <c r="H15" s="107">
        <f>'Small Refinery Exemptions'!H41</f>
        <v>10009600</v>
      </c>
      <c r="I15" s="107">
        <f>'Small Refinery Exemptions'!I41</f>
        <v>29496500</v>
      </c>
      <c r="J15" s="107">
        <f>'Small Refinery Exemptions'!J41</f>
        <v>27589700</v>
      </c>
      <c r="K15" s="107">
        <f>'Small Refinery Exemptions'!K41</f>
        <v>30590000</v>
      </c>
      <c r="L15" s="107">
        <f>'Small Refinery Exemptions'!L41</f>
        <v>20706000</v>
      </c>
      <c r="M15" s="107">
        <f>'Small Refinery Exemptions'!M41</f>
        <v>26697000</v>
      </c>
      <c r="N15" s="107">
        <f>'Small Refinery Exemptions'!N41</f>
        <v>22575000</v>
      </c>
      <c r="O15" s="107">
        <f>'Small Refinery Exemptions'!O41</f>
        <v>26879999.999999996</v>
      </c>
      <c r="P15" s="161">
        <f>'Small Refinery Exemptions'!P41</f>
        <v>36666000</v>
      </c>
      <c r="Q15" s="159">
        <f>'Small Refinery Exemptions'!Q41</f>
        <v>54027000</v>
      </c>
      <c r="R15" s="159">
        <f>'Small Refinery Exemptions'!R41</f>
        <v>55932598.195403561</v>
      </c>
      <c r="S15" s="159">
        <f>'Small Refinery Exemptions'!S41</f>
        <v>63843549.691256531</v>
      </c>
      <c r="T15" s="159">
        <f>'Small Refinery Exemptions'!T41</f>
        <v>53502964.941357009</v>
      </c>
      <c r="U15" s="159">
        <f>'Small Refinery Exemptions'!U41</f>
        <v>130574661.19770542</v>
      </c>
      <c r="V15" s="159">
        <f>'Small Refinery Exemptions'!V41</f>
        <v>140806771.91384411</v>
      </c>
      <c r="W15" s="159">
        <f>'Small Refinery Exemptions'!W41</f>
        <v>130993247.35174832</v>
      </c>
      <c r="X15" s="159">
        <f>'Small Refinery Exemptions'!X41</f>
        <v>143474590.72308084</v>
      </c>
      <c r="Y15" s="159">
        <f>'Small Refinery Exemptions'!Y41</f>
        <v>137897712.9496876</v>
      </c>
      <c r="Z15" s="159">
        <f>'Small Refinery Exemptions'!Z41</f>
        <v>72258122.813767388</v>
      </c>
      <c r="AA15" s="159">
        <f>'Small Refinery Exemptions'!AA41</f>
        <v>110343881.41656618</v>
      </c>
      <c r="AB15" s="159">
        <f>'Small Refinery Exemptions'!AB41</f>
        <v>139324076.91000766</v>
      </c>
      <c r="AC15" s="159">
        <f>'Small Refinery Exemptions'!AC41</f>
        <v>172938387.84500712</v>
      </c>
      <c r="AD15" s="159">
        <f>'Small Refinery Exemptions'!AD41</f>
        <v>178136198.52862728</v>
      </c>
      <c r="AE15" s="159">
        <f>'Small Refinery Exemptions'!AE41</f>
        <v>190989678.66491288</v>
      </c>
      <c r="AF15" s="159">
        <f>'Small Refinery Exemptions'!AF41</f>
        <v>171483062.31210494</v>
      </c>
      <c r="AG15" s="159">
        <f>'Small Refinery Exemptions'!AG41</f>
        <v>145521704.89166576</v>
      </c>
      <c r="AH15" s="159">
        <f>'Small Refinery Exemptions'!AH41</f>
        <v>168798854.22119918</v>
      </c>
      <c r="AI15" s="159">
        <f>'Small Refinery Exemptions'!AI41</f>
        <v>204365226.52672735</v>
      </c>
      <c r="AJ15" s="159">
        <f>'Small Refinery Exemptions'!AJ41</f>
        <v>246992715.62570792</v>
      </c>
      <c r="AK15" s="159">
        <f>'Small Refinery Exemptions'!AK41</f>
        <v>271993306.54718846</v>
      </c>
      <c r="AL15" s="159">
        <f>'Small Refinery Exemptions'!AL41</f>
        <v>288594703.71040231</v>
      </c>
      <c r="AM15" s="159">
        <f>'Small Refinery Exemptions'!AM41</f>
        <v>313567902.37714201</v>
      </c>
      <c r="AN15" s="159">
        <f>'Small Refinery Exemptions'!AN41</f>
        <v>368399815.40282804</v>
      </c>
      <c r="AO15" s="159">
        <f>'Small Refinery Exemptions'!AO41</f>
        <v>415066679.97807741</v>
      </c>
      <c r="AP15" s="159">
        <f>'Small Refinery Exemptions'!AP41</f>
        <v>464381182.39175713</v>
      </c>
    </row>
    <row r="16" spans="1:42">
      <c r="A16" s="106" t="s">
        <v>281</v>
      </c>
      <c r="B16" s="107">
        <f>B14-B15</f>
        <v>0</v>
      </c>
      <c r="C16" s="107">
        <f t="shared" ref="C16:AC16" si="5">C14-C15</f>
        <v>0</v>
      </c>
      <c r="D16" s="107">
        <f t="shared" si="5"/>
        <v>800000</v>
      </c>
      <c r="E16" s="107">
        <f t="shared" si="5"/>
        <v>32920800</v>
      </c>
      <c r="F16" s="107">
        <f t="shared" si="5"/>
        <v>122563000</v>
      </c>
      <c r="G16" s="107">
        <f t="shared" si="5"/>
        <v>227881700</v>
      </c>
      <c r="H16" s="107">
        <f t="shared" si="5"/>
        <v>300990400</v>
      </c>
      <c r="I16" s="107">
        <f t="shared" si="5"/>
        <v>258503500</v>
      </c>
      <c r="J16" s="107">
        <f t="shared" si="5"/>
        <v>390410300</v>
      </c>
      <c r="K16" s="107">
        <f t="shared" si="5"/>
        <v>479410000</v>
      </c>
      <c r="L16" s="107">
        <f t="shared" si="5"/>
        <v>539294000</v>
      </c>
      <c r="M16" s="107">
        <f t="shared" si="5"/>
        <v>603303000</v>
      </c>
      <c r="N16" s="107">
        <f t="shared" si="5"/>
        <v>817425000</v>
      </c>
      <c r="O16" s="107">
        <f t="shared" si="5"/>
        <v>1063120000</v>
      </c>
      <c r="P16" s="161">
        <f t="shared" si="5"/>
        <v>1343334000</v>
      </c>
      <c r="Q16" s="159">
        <f t="shared" si="5"/>
        <v>1245973000</v>
      </c>
      <c r="R16" s="159">
        <f t="shared" si="5"/>
        <v>1304067401.8045964</v>
      </c>
      <c r="S16" s="159">
        <f t="shared" si="5"/>
        <v>1336156450.3087435</v>
      </c>
      <c r="T16" s="159">
        <f t="shared" si="5"/>
        <v>3196497035.0586429</v>
      </c>
      <c r="U16" s="159">
        <f t="shared" si="5"/>
        <v>3369425338.8022947</v>
      </c>
      <c r="V16" s="159">
        <f t="shared" si="5"/>
        <v>3609193228.0861559</v>
      </c>
      <c r="W16" s="159">
        <f t="shared" si="5"/>
        <v>3869006752.6482515</v>
      </c>
      <c r="X16" s="159">
        <f t="shared" si="5"/>
        <v>4106525409.2769194</v>
      </c>
      <c r="Y16" s="159">
        <f t="shared" si="5"/>
        <v>4362102287.050312</v>
      </c>
      <c r="Z16" s="159">
        <f t="shared" si="5"/>
        <v>4677741877.1862326</v>
      </c>
      <c r="AA16" s="159">
        <f t="shared" si="5"/>
        <v>4889656118.5834341</v>
      </c>
      <c r="AB16" s="159">
        <f t="shared" si="5"/>
        <v>5110675923.0899925</v>
      </c>
      <c r="AC16" s="159">
        <f t="shared" si="5"/>
        <v>5327061612.1549931</v>
      </c>
      <c r="AD16" s="159">
        <f>AD14-AD15</f>
        <v>5571863801.4713726</v>
      </c>
      <c r="AE16" s="159">
        <f>AE14-AE15</f>
        <v>5809010321.3350868</v>
      </c>
      <c r="AF16" s="159">
        <f>AF14-AF15</f>
        <v>6078516937.6878948</v>
      </c>
      <c r="AG16" s="159">
        <f t="shared" ref="AG16:AO16" si="6">AG14-AG15</f>
        <v>7104478295.1083345</v>
      </c>
      <c r="AH16" s="159">
        <f t="shared" si="6"/>
        <v>8081201145.778801</v>
      </c>
      <c r="AI16" s="159">
        <f t="shared" si="6"/>
        <v>9045634773.4732723</v>
      </c>
      <c r="AJ16" s="159">
        <f t="shared" si="6"/>
        <v>10003007284.374292</v>
      </c>
      <c r="AK16" s="159">
        <f t="shared" si="6"/>
        <v>10978006693.452812</v>
      </c>
      <c r="AL16" s="159">
        <f t="shared" si="6"/>
        <v>11961405296.289598</v>
      </c>
      <c r="AM16" s="159">
        <f t="shared" si="6"/>
        <v>12936432097.622858</v>
      </c>
      <c r="AN16" s="159">
        <f t="shared" si="6"/>
        <v>13881600184.597172</v>
      </c>
      <c r="AO16" s="159">
        <f t="shared" si="6"/>
        <v>14834933320.021923</v>
      </c>
      <c r="AP16" s="159">
        <f>AP14-AP15</f>
        <v>15785618817.608242</v>
      </c>
    </row>
    <row r="17" spans="1:42">
      <c r="B17" s="107"/>
      <c r="C17" s="107"/>
      <c r="D17" s="107"/>
      <c r="E17" s="107"/>
      <c r="F17" s="107"/>
      <c r="G17" s="107"/>
      <c r="H17" s="107"/>
      <c r="I17" s="107"/>
      <c r="J17" s="107"/>
      <c r="K17" s="107"/>
      <c r="L17" s="107"/>
      <c r="M17" s="107"/>
      <c r="N17" s="107"/>
      <c r="O17" s="107"/>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row>
    <row r="18" spans="1:42">
      <c r="A18" s="106" t="s">
        <v>282</v>
      </c>
      <c r="B18" s="107">
        <v>1350000000</v>
      </c>
      <c r="C18" s="107">
        <v>2000000000</v>
      </c>
      <c r="D18" s="107">
        <v>2670000000</v>
      </c>
      <c r="E18" s="107">
        <v>2670000000</v>
      </c>
      <c r="F18" s="107">
        <v>2880000000</v>
      </c>
      <c r="G18" s="107">
        <v>3610000000</v>
      </c>
      <c r="H18" s="107">
        <v>4280000000</v>
      </c>
      <c r="I18" s="107">
        <v>4290000000</v>
      </c>
      <c r="J18" s="107">
        <f>SUM('[2]10 Year RFS Curves (2020)'!D$13+'[2]10 Year RFS Curves (2020)'!D$15+'[2]10 Year RFS Curves (2020)'!D$17)*1000000000</f>
        <v>4920000000</v>
      </c>
      <c r="K18" s="107">
        <f>SUM('[2]10 Year RFS Curves (2020)'!E$13+'[2]10 Year RFS Curves (2020)'!E$15+'[2]10 Year RFS Curves (2020)'!E$17)*1000000000</f>
        <v>4630000000</v>
      </c>
      <c r="L18" s="107">
        <f>SUM('[2]10 Year RFS Curves (2020)'!F$13+'[2]10 Year RFS Curves (2020)'!F$15+'[2]10 Year RFS Curves (2020)'!F$17)*1000000000</f>
        <v>5050000000.000001</v>
      </c>
      <c r="M18" s="107">
        <f>SUM('[2]10 Year RFS Curves (2020)'!G$13+'[2]10 Year RFS Curves (2020)'!G$15+'[2]10 Year RFS Curves (2020)'!G$17)*1000000000</f>
        <v>5630000000</v>
      </c>
      <c r="N18" s="107">
        <f>SUM('[2]10 Year RFS Curves (2020)'!H$13+'[2]10 Year RFS Curves (2020)'!H$15+'[2]10 Year RFS Curves (2020)'!H$17)*1000000000</f>
        <v>5940000000</v>
      </c>
      <c r="O18" s="107">
        <f>SUM('[2]10 Year RFS Curves (2020)'!I$13+'[2]10 Year RFS Curves (2020)'!I$15+'[2]10 Year RFS Curves (2020)'!I$17)*1000000000</f>
        <v>6540000000</v>
      </c>
      <c r="P18" s="161">
        <f>SUM('[2]10 Year RFS Curves (2020)'!J$13+'[2]10 Year RFS Curves (2020)'!J$15+'[2]10 Year RFS Curves (2020)'!J$17)*1000000000</f>
        <v>7330000000</v>
      </c>
      <c r="Q18" s="159">
        <f>SUM('[2]10 Year RFS Curves (2020)'!K$13+'[2]10 Year RFS Curves (2020)'!K$15+'[2]10 Year RFS Curves (2020)'!K$17)*1000000000</f>
        <v>9020000000</v>
      </c>
      <c r="R18" s="159">
        <f>SUM('[2]10 Year RFS Curves (2020)'!L$13+'[2]10 Year RFS Curves (2020)'!L$15+'[2]10 Year RFS Curves (2020)'!L$17)*1000000000</f>
        <v>9460000000</v>
      </c>
      <c r="S18" s="159">
        <f>SUM('[2]10 Year RFS Curves (2020)'!M$13+'[2]10 Year RFS Curves (2020)'!M$15+'[2]10 Year RFS Curves (2020)'!M$17)*1000000000</f>
        <v>10250000000</v>
      </c>
      <c r="T18" s="159">
        <f>SUM('[2]10 Year RFS Curves (2020)'!N$13+'[2]10 Year RFS Curves (2020)'!N$15+'[2]10 Year RFS Curves (2020)'!N$17)*1000000000</f>
        <v>11500000000</v>
      </c>
      <c r="U18" s="159">
        <f>SUM('[2]10 Year RFS Curves (2020)'!O$13+'[2]10 Year RFS Curves (2020)'!O$15+'[2]10 Year RFS Curves (2020)'!O$17)*1000000000</f>
        <v>12600000000</v>
      </c>
      <c r="V18" s="159">
        <f>SUM('[2]10 Year RFS Curves (2020)'!P$13+'[2]10 Year RFS Curves (2020)'!P$15+'[2]10 Year RFS Curves (2020)'!P$17)*1000000000</f>
        <v>13700000000</v>
      </c>
      <c r="W18" s="159">
        <f>SUM('[2]10 Year RFS Curves (2020)'!Q$13+'[2]10 Year RFS Curves (2020)'!Q$15+'[2]10 Year RFS Curves (2020)'!Q$17)*1000000000</f>
        <v>14800000000</v>
      </c>
      <c r="X18" s="159">
        <f>SUM('[2]10 Year RFS Curves (2020)'!R$13+'[2]10 Year RFS Curves (2020)'!R$15+'[2]10 Year RFS Curves (2020)'!R$17)*1000000000</f>
        <v>15900000000</v>
      </c>
      <c r="Y18" s="159">
        <f>SUM('[2]10 Year RFS Curves (2020)'!S$13+'[2]10 Year RFS Curves (2020)'!S$15+'[2]10 Year RFS Curves (2020)'!S$17)*1000000000</f>
        <v>17000000000</v>
      </c>
      <c r="Z18" s="159">
        <f>SUM('[2]10 Year RFS Curves (2020)'!T$13+'[2]10 Year RFS Curves (2020)'!T$15+'[2]10 Year RFS Curves (2020)'!T$17)*1000000000</f>
        <v>18100000000</v>
      </c>
      <c r="AA18" s="159">
        <f>SUM('[2]10 Year RFS Curves (2020)'!U$13+'[2]10 Year RFS Curves (2020)'!U$15+'[2]10 Year RFS Curves (2020)'!U$17)*1000000000</f>
        <v>19200000000</v>
      </c>
      <c r="AB18" s="159">
        <f>SUM('[2]10 Year RFS Curves (2020)'!V$13+'[2]10 Year RFS Curves (2020)'!V$15+'[2]10 Year RFS Curves (2020)'!V$17)*1000000000</f>
        <v>20300000000</v>
      </c>
      <c r="AC18" s="159">
        <f>SUM('[2]10 Year RFS Curves (2020)'!W$13+'[2]10 Year RFS Curves (2020)'!W$15+'[2]10 Year RFS Curves (2020)'!W$17)*1000000000</f>
        <v>21400000000</v>
      </c>
      <c r="AD18" s="159">
        <f>SUM('[2]10 Year RFS Curves (2020)'!X$13+'[2]10 Year RFS Curves (2020)'!X$15+'[2]10 Year RFS Curves (2020)'!X$17)*1000000000</f>
        <v>22500000000</v>
      </c>
      <c r="AE18" s="159">
        <f>SUM('[2]10 Year RFS Curves (2020)'!Y$13+'[2]10 Year RFS Curves (2020)'!Y$15+'[2]10 Year RFS Curves (2020)'!Y$17)*1000000000</f>
        <v>23600000000</v>
      </c>
      <c r="AF18" s="159">
        <f>SUM('[2]10 Year RFS Curves (2020)'!Z$13+'[2]10 Year RFS Curves (2020)'!Z$15+'[2]10 Year RFS Curves (2020)'!Z$17)*1000000000</f>
        <v>24700000000</v>
      </c>
      <c r="AG18" s="159">
        <f>SUM('[2]10 Year RFS Curves (2020)'!AA$13+'[2]10 Year RFS Curves (2020)'!AA$15+'[2]10 Year RFS Curves (2020)'!AA$17)*1000000000</f>
        <v>25700000000</v>
      </c>
      <c r="AH18" s="159">
        <f>SUM('[2]10 Year RFS Curves (2020)'!AB$13+'[2]10 Year RFS Curves (2020)'!AB$15+'[2]10 Year RFS Curves (2020)'!AB$17)*1000000000</f>
        <v>26700000000</v>
      </c>
      <c r="AI18" s="159">
        <f>SUM('[2]10 Year RFS Curves (2020)'!AC$13+'[2]10 Year RFS Curves (2020)'!AC$15+'[2]10 Year RFS Curves (2020)'!AC$17)*1000000000</f>
        <v>27700000000</v>
      </c>
      <c r="AJ18" s="159">
        <f>SUM('[2]10 Year RFS Curves (2020)'!AD$13+'[2]10 Year RFS Curves (2020)'!AD$15+'[2]10 Year RFS Curves (2020)'!AD$17)*1000000000</f>
        <v>28700000000</v>
      </c>
      <c r="AK18" s="159">
        <f>SUM('[2]10 Year RFS Curves (2020)'!AE$13+'[2]10 Year RFS Curves (2020)'!AE$15+'[2]10 Year RFS Curves (2020)'!AE$17)*1000000000</f>
        <v>29700000000</v>
      </c>
      <c r="AL18" s="159">
        <f>SUM('[2]10 Year RFS Curves (2020)'!AF$13+'[2]10 Year RFS Curves (2020)'!AF$15+'[2]10 Year RFS Curves (2020)'!AF$17)*1000000000</f>
        <v>30700000000</v>
      </c>
      <c r="AM18" s="159">
        <f>SUM('[2]10 Year RFS Curves (2020)'!AG$13+'[2]10 Year RFS Curves (2020)'!AG$15+'[2]10 Year RFS Curves (2020)'!AG$17)*1000000000</f>
        <v>31700000000</v>
      </c>
      <c r="AN18" s="159">
        <f>SUM('[2]10 Year RFS Curves (2020)'!AH$13+'[2]10 Year RFS Curves (2020)'!AH$15+'[2]10 Year RFS Curves (2020)'!AH$17)*1000000000</f>
        <v>32700000000.000004</v>
      </c>
      <c r="AO18" s="159">
        <f>SUM('[2]10 Year RFS Curves (2020)'!AI$13+'[2]10 Year RFS Curves (2020)'!AI$15+'[2]10 Year RFS Curves (2020)'!AI$17)*1000000000</f>
        <v>33700000000.000004</v>
      </c>
      <c r="AP18" s="159">
        <f>SUM('[2]10 Year RFS Curves (2020)'!AJ$13+'[2]10 Year RFS Curves (2020)'!AJ$15+'[2]10 Year RFS Curves (2020)'!AJ$17)*1000000000</f>
        <v>34700000000</v>
      </c>
    </row>
    <row r="19" spans="1:42">
      <c r="A19" s="106" t="s">
        <v>283</v>
      </c>
      <c r="B19" s="107"/>
      <c r="C19" s="107"/>
      <c r="D19" s="107"/>
      <c r="E19" s="107">
        <f>'Small Refinery Exemptions'!E43</f>
        <v>32076000</v>
      </c>
      <c r="F19" s="107">
        <f>'Small Refinery Exemptions'!F43</f>
        <v>34730000</v>
      </c>
      <c r="G19" s="107">
        <f>'Small Refinery Exemptions'!G43</f>
        <v>49734000</v>
      </c>
      <c r="H19" s="107">
        <f>'Small Refinery Exemptions'!H43</f>
        <v>157182000</v>
      </c>
      <c r="I19" s="107">
        <f>'Small Refinery Exemptions'!I43</f>
        <v>405790000</v>
      </c>
      <c r="J19" s="107">
        <f>'Small Refinery Exemptions'!J43</f>
        <v>625452594.03133059</v>
      </c>
      <c r="K19" s="107">
        <f>'Small Refinery Exemptions'!K43</f>
        <v>360430000</v>
      </c>
      <c r="L19" s="107">
        <f>'Small Refinery Exemptions'!L43</f>
        <v>209202000</v>
      </c>
      <c r="M19" s="107">
        <f>'Small Refinery Exemptions'!M43</f>
        <v>242700000</v>
      </c>
      <c r="N19" s="107">
        <f>'Small Refinery Exemptions'!N43</f>
        <v>203820000.00000003</v>
      </c>
      <c r="O19" s="107">
        <f>'Small Refinery Exemptions'!O43</f>
        <v>189840000</v>
      </c>
      <c r="P19" s="161">
        <f>'Small Refinery Exemptions'!P43</f>
        <v>220578000.00000003</v>
      </c>
      <c r="Q19" s="159">
        <f>'Small Refinery Exemptions'!Q43</f>
        <v>287477000</v>
      </c>
      <c r="R19" s="159">
        <f>'Small Refinery Exemptions'!R43</f>
        <v>382730453.13177198</v>
      </c>
      <c r="S19" s="159">
        <f>'Small Refinery Exemptions'!S43</f>
        <v>437666934.79881424</v>
      </c>
      <c r="T19" s="159">
        <f>'Small Refinery Exemptions'!T43</f>
        <v>385624764.80072123</v>
      </c>
      <c r="U19" s="159">
        <f>'Small Refinery Exemptions'!U43</f>
        <v>454479383.38852006</v>
      </c>
      <c r="V19" s="159">
        <f>'Small Refinery Exemptions'!V43</f>
        <v>498100677.94670874</v>
      </c>
      <c r="W19" s="159">
        <f>'Small Refinery Exemptions'!W43</f>
        <v>469842025.0680443</v>
      </c>
      <c r="X19" s="159">
        <f>'Small Refinery Exemptions'!X43</f>
        <v>520797741.10223126</v>
      </c>
      <c r="Y19" s="159">
        <f>'Small Refinery Exemptions'!Y43</f>
        <v>505802364.50947416</v>
      </c>
      <c r="Z19" s="159">
        <f>'Small Refinery Exemptions'!Z43</f>
        <v>267483973.33703175</v>
      </c>
      <c r="AA19" s="159">
        <f>'Small Refinery Exemptions'!AA43</f>
        <v>411809452.42099059</v>
      </c>
      <c r="AB19" s="159">
        <f>'Small Refinery Exemptions'!AB43</f>
        <v>523761017.45748311</v>
      </c>
      <c r="AC19" s="159">
        <f>'Small Refinery Exemptions'!AC43</f>
        <v>654390409.09800112</v>
      </c>
      <c r="AD19" s="159">
        <f>'Small Refinery Exemptions'!AD43</f>
        <v>678050830.53932703</v>
      </c>
      <c r="AE19" s="159">
        <f>'Small Refinery Exemptions'!AE43</f>
        <v>730883959.71083331</v>
      </c>
      <c r="AF19" s="159">
        <f>'Small Refinery Exemptions'!AF43</f>
        <v>659452210.39127648</v>
      </c>
      <c r="AG19" s="159">
        <f>'Small Refinery Exemptions'!AG43</f>
        <v>562127030.28621948</v>
      </c>
      <c r="AH19" s="159">
        <f>'Small Refinery Exemptions'!AH43</f>
        <v>584754213.3384186</v>
      </c>
      <c r="AI19" s="159">
        <f>'Small Refinery Exemptions'!AI43</f>
        <v>646242291.42034912</v>
      </c>
      <c r="AJ19" s="159">
        <f>'Small Refinery Exemptions'!AJ43</f>
        <v>722569081.63583732</v>
      </c>
      <c r="AK19" s="159">
        <f>'Small Refinery Exemptions'!AK43</f>
        <v>743881046.82488763</v>
      </c>
      <c r="AL19" s="159">
        <f>'Small Refinery Exemptions'!AL43</f>
        <v>744069359.42998803</v>
      </c>
      <c r="AM19" s="159">
        <f>'Small Refinery Exemptions'!AM43</f>
        <v>767348387.84390545</v>
      </c>
      <c r="AN19" s="159">
        <f>'Small Refinery Exemptions'!AN43</f>
        <v>860523045.19529152</v>
      </c>
      <c r="AO19" s="159">
        <f>'Small Refinery Exemptions'!AO43</f>
        <v>929811121.33557558</v>
      </c>
      <c r="AP19" s="159">
        <f>'Small Refinery Exemptions'!AP43</f>
        <v>1001672905.5007542</v>
      </c>
    </row>
    <row r="20" spans="1:42">
      <c r="A20" s="106" t="s">
        <v>284</v>
      </c>
      <c r="B20" s="107">
        <f>B18-B19</f>
        <v>1350000000</v>
      </c>
      <c r="C20" s="107">
        <f t="shared" ref="C20:J20" si="7">C18-C19</f>
        <v>2000000000</v>
      </c>
      <c r="D20" s="107">
        <f t="shared" si="7"/>
        <v>2670000000</v>
      </c>
      <c r="E20" s="107">
        <f t="shared" si="7"/>
        <v>2637924000</v>
      </c>
      <c r="F20" s="107">
        <f t="shared" si="7"/>
        <v>2845270000</v>
      </c>
      <c r="G20" s="107">
        <f t="shared" si="7"/>
        <v>3560266000</v>
      </c>
      <c r="H20" s="107">
        <f t="shared" si="7"/>
        <v>4122818000</v>
      </c>
      <c r="I20" s="107">
        <f t="shared" si="7"/>
        <v>3884210000</v>
      </c>
      <c r="J20" s="107">
        <f t="shared" si="7"/>
        <v>4294547405.9686694</v>
      </c>
      <c r="K20" s="107">
        <f>K18-K19</f>
        <v>4269570000</v>
      </c>
      <c r="L20" s="107">
        <f>L18-L19</f>
        <v>4840798000.000001</v>
      </c>
      <c r="M20" s="107">
        <f>M18-M19</f>
        <v>5387300000</v>
      </c>
      <c r="N20" s="107">
        <f t="shared" ref="N20:AO20" si="8">N18-N19</f>
        <v>5736180000</v>
      </c>
      <c r="O20" s="107">
        <f t="shared" si="8"/>
        <v>6350160000</v>
      </c>
      <c r="P20" s="161">
        <f t="shared" si="8"/>
        <v>7109422000</v>
      </c>
      <c r="Q20" s="159">
        <f t="shared" si="8"/>
        <v>8732523000</v>
      </c>
      <c r="R20" s="159">
        <f t="shared" si="8"/>
        <v>9077269546.8682289</v>
      </c>
      <c r="S20" s="159">
        <f t="shared" si="8"/>
        <v>9812333065.2011852</v>
      </c>
      <c r="T20" s="159">
        <f t="shared" si="8"/>
        <v>11114375235.199278</v>
      </c>
      <c r="U20" s="159">
        <f t="shared" si="8"/>
        <v>12145520616.611481</v>
      </c>
      <c r="V20" s="159">
        <f t="shared" si="8"/>
        <v>13201899322.053291</v>
      </c>
      <c r="W20" s="159">
        <f t="shared" si="8"/>
        <v>14330157974.931955</v>
      </c>
      <c r="X20" s="159">
        <f t="shared" si="8"/>
        <v>15379202258.897768</v>
      </c>
      <c r="Y20" s="159">
        <f t="shared" si="8"/>
        <v>16494197635.490526</v>
      </c>
      <c r="Z20" s="159">
        <f t="shared" si="8"/>
        <v>17832516026.662968</v>
      </c>
      <c r="AA20" s="159">
        <f t="shared" si="8"/>
        <v>18788190547.57901</v>
      </c>
      <c r="AB20" s="159">
        <f t="shared" si="8"/>
        <v>19776238982.542519</v>
      </c>
      <c r="AC20" s="159">
        <f t="shared" si="8"/>
        <v>20745609590.902</v>
      </c>
      <c r="AD20" s="159">
        <f t="shared" si="8"/>
        <v>21821949169.460674</v>
      </c>
      <c r="AE20" s="159">
        <f t="shared" si="8"/>
        <v>22869116040.289165</v>
      </c>
      <c r="AF20" s="159">
        <f t="shared" si="8"/>
        <v>24040547789.608723</v>
      </c>
      <c r="AG20" s="159">
        <f t="shared" si="8"/>
        <v>25137872969.713779</v>
      </c>
      <c r="AH20" s="159">
        <f t="shared" si="8"/>
        <v>26115245786.661583</v>
      </c>
      <c r="AI20" s="159">
        <f t="shared" si="8"/>
        <v>27053757708.579651</v>
      </c>
      <c r="AJ20" s="159">
        <f t="shared" si="8"/>
        <v>27977430918.364162</v>
      </c>
      <c r="AK20" s="159">
        <f t="shared" si="8"/>
        <v>28956118953.175114</v>
      </c>
      <c r="AL20" s="159">
        <f t="shared" si="8"/>
        <v>29955930640.570011</v>
      </c>
      <c r="AM20" s="159">
        <f t="shared" si="8"/>
        <v>30932651612.156094</v>
      </c>
      <c r="AN20" s="159">
        <f t="shared" si="8"/>
        <v>31839476954.80471</v>
      </c>
      <c r="AO20" s="159">
        <f t="shared" si="8"/>
        <v>32770188878.664429</v>
      </c>
      <c r="AP20" s="159">
        <f>AP18-AP19</f>
        <v>33698327094.499245</v>
      </c>
    </row>
    <row r="21" spans="1:42">
      <c r="B21" s="107"/>
      <c r="C21" s="107"/>
      <c r="D21" s="107"/>
      <c r="E21" s="107"/>
      <c r="F21" s="107"/>
      <c r="G21" s="107"/>
      <c r="H21" s="107"/>
      <c r="I21" s="107"/>
      <c r="J21" s="107"/>
      <c r="K21" s="107"/>
      <c r="L21" s="107"/>
      <c r="M21" s="107"/>
      <c r="N21" s="107"/>
      <c r="O21" s="107"/>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row>
    <row r="22" spans="1:42">
      <c r="A22" s="106" t="s">
        <v>285</v>
      </c>
      <c r="B22" s="107">
        <f t="shared" ref="B22:J22" si="9">B18-B14-(B10*B6)</f>
        <v>141319794.63514447</v>
      </c>
      <c r="C22" s="107">
        <f t="shared" si="9"/>
        <v>482295299.88733315</v>
      </c>
      <c r="D22" s="107">
        <f t="shared" si="9"/>
        <v>695538711.63942766</v>
      </c>
      <c r="E22" s="107">
        <f t="shared" si="9"/>
        <v>111532662.17336226</v>
      </c>
      <c r="F22" s="107">
        <f t="shared" si="9"/>
        <v>77577229.226966381</v>
      </c>
      <c r="G22" s="107">
        <f t="shared" si="9"/>
        <v>452494435.43408489</v>
      </c>
      <c r="H22" s="107">
        <f t="shared" si="9"/>
        <v>878121866.63709116</v>
      </c>
      <c r="I22" s="107">
        <f t="shared" si="9"/>
        <v>754325636.53902721</v>
      </c>
      <c r="J22" s="107">
        <f t="shared" si="9"/>
        <v>1215660314.8663955</v>
      </c>
      <c r="K22" s="107">
        <f>'[2]10 Year RFS Curves (2020)'!E$15*1000000000</f>
        <v>1690000000</v>
      </c>
      <c r="L22" s="107">
        <f>'[2]10 Year RFS Curves (2020)'!F$15*1000000000</f>
        <v>2060000000</v>
      </c>
      <c r="M22" s="107">
        <f>'[2]10 Year RFS Curves (2020)'!G$15*1000000000</f>
        <v>2240000000</v>
      </c>
      <c r="N22" s="107">
        <f>'[2]10 Year RFS Curves (2020)'!H$15*1000000000</f>
        <v>2280000000.0000005</v>
      </c>
      <c r="O22" s="107">
        <f>'[2]10 Year RFS Curves (2020)'!I$15*1000000000</f>
        <v>2410000000</v>
      </c>
      <c r="P22" s="161">
        <f>'[2]10 Year RFS Curves (2020)'!J$15*1000000000</f>
        <v>2450000000</v>
      </c>
      <c r="Q22" s="159">
        <f>'[2]10 Year RFS Curves (2020)'!K$15*1000000000</f>
        <v>599999999.99999964</v>
      </c>
      <c r="R22" s="159">
        <f>'[2]10 Year RFS Curves (2020)'!L$15*1000000000</f>
        <v>600000000.00000143</v>
      </c>
      <c r="S22" s="159">
        <f>'[2]10 Year RFS Curves (2020)'!M$15*1000000000</f>
        <v>1099999999.9999998</v>
      </c>
      <c r="T22" s="159">
        <f>'[2]10 Year RFS Curves (2020)'!N$15*1000000000</f>
        <v>250000000</v>
      </c>
      <c r="U22" s="159">
        <f>'[2]10 Year RFS Curves (2020)'!O$15*1000000000</f>
        <v>849999999.99999964</v>
      </c>
      <c r="V22" s="159">
        <f>'[2]10 Year RFS Curves (2020)'!P$15*1000000000</f>
        <v>1449999999.9999993</v>
      </c>
      <c r="W22" s="159">
        <f>'[2]10 Year RFS Curves (2020)'!Q$15*1000000000</f>
        <v>2050000000.0000007</v>
      </c>
      <c r="X22" s="159">
        <f>'[2]10 Year RFS Curves (2020)'!R$15*1000000000</f>
        <v>2650000000.0000005</v>
      </c>
      <c r="Y22" s="159">
        <f>'[2]10 Year RFS Curves (2020)'!S$15*1000000000</f>
        <v>3400000000.0000005</v>
      </c>
      <c r="Z22" s="159">
        <f>'[2]10 Year RFS Curves (2020)'!T$15*1000000000</f>
        <v>4150000000.0000019</v>
      </c>
      <c r="AA22" s="159">
        <f>'[2]10 Year RFS Curves (2020)'!U$15*1000000000</f>
        <v>4899999999.999999</v>
      </c>
      <c r="AB22" s="159">
        <f>'[2]10 Year RFS Curves (2020)'!V$15*1000000000</f>
        <v>5650000000</v>
      </c>
      <c r="AC22" s="159">
        <f>'[2]10 Year RFS Curves (2020)'!W$15*1000000000</f>
        <v>6399999999.999999</v>
      </c>
      <c r="AD22" s="159">
        <f>'[2]10 Year RFS Curves (2020)'!X$15*1000000000</f>
        <v>8950000000</v>
      </c>
      <c r="AE22" s="159">
        <f>'[2]10 Year RFS Curves (2020)'!Y$15*1000000000</f>
        <v>9450000000.0000019</v>
      </c>
      <c r="AF22" s="159">
        <f>'[2]10 Year RFS Curves (2020)'!Z$15*1000000000</f>
        <v>9950000000</v>
      </c>
      <c r="AG22" s="159">
        <f>'[2]10 Year RFS Curves (2020)'!AA$15*1000000000</f>
        <v>9549999999.9999981</v>
      </c>
      <c r="AH22" s="159">
        <f>'[2]10 Year RFS Curves (2020)'!AB$15*1000000000</f>
        <v>9149999999.9999981</v>
      </c>
      <c r="AI22" s="159">
        <f>'[2]10 Year RFS Curves (2020)'!AC$15*1000000000</f>
        <v>8750000000</v>
      </c>
      <c r="AJ22" s="159">
        <f>'[2]10 Year RFS Curves (2020)'!AD$15*1000000000</f>
        <v>8350000000</v>
      </c>
      <c r="AK22" s="159">
        <f>'[2]10 Year RFS Curves (2020)'!AE$15*1000000000</f>
        <v>7949999999.999999</v>
      </c>
      <c r="AL22" s="159">
        <f>'[2]10 Year RFS Curves (2020)'!AF$15*1000000000</f>
        <v>7549999999.999999</v>
      </c>
      <c r="AM22" s="159">
        <f>'[2]10 Year RFS Curves (2020)'!AG$15*1000000000</f>
        <v>7049999999.999999</v>
      </c>
      <c r="AN22" s="159">
        <f>'[2]10 Year RFS Curves (2020)'!AH$15*1000000000</f>
        <v>6550000000.0000029</v>
      </c>
      <c r="AO22" s="159">
        <f>'[2]10 Year RFS Curves (2020)'!AI$15*1000000000</f>
        <v>6050000000.0000029</v>
      </c>
      <c r="AP22" s="159">
        <f>'[2]10 Year RFS Curves (2020)'!AJ$15*1000000000</f>
        <v>5550000000.0000029</v>
      </c>
    </row>
    <row r="23" spans="1:42">
      <c r="A23" s="106" t="s">
        <v>286</v>
      </c>
      <c r="B23" s="107">
        <f t="shared" ref="B23:J23" si="10">B22-(B19+B15+(B11*B6))</f>
        <v>141319794.63514447</v>
      </c>
      <c r="C23" s="107">
        <f t="shared" si="10"/>
        <v>482295299.88733315</v>
      </c>
      <c r="D23" s="107">
        <f t="shared" si="10"/>
        <v>695538711.63942766</v>
      </c>
      <c r="E23" s="107">
        <f t="shared" si="10"/>
        <v>43743084.413940161</v>
      </c>
      <c r="F23" s="107">
        <f t="shared" si="10"/>
        <v>-9470369.8145128489</v>
      </c>
      <c r="G23" s="107">
        <f t="shared" si="10"/>
        <v>327868737.43494308</v>
      </c>
      <c r="H23" s="107">
        <f t="shared" si="10"/>
        <v>513547772.21796298</v>
      </c>
      <c r="I23" s="107">
        <f>I22-(I19+I15+(I11*I6))</f>
        <v>-134646117.94877982</v>
      </c>
      <c r="J23" s="107">
        <f t="shared" si="10"/>
        <v>87830175.354916811</v>
      </c>
      <c r="K23" s="107">
        <f>K22-(K19+K15+(K11*K6))</f>
        <v>938997973.05793357</v>
      </c>
      <c r="L23" s="107">
        <f>L22-(L19+L15+(L11*L6))</f>
        <v>1582757024.9308972</v>
      </c>
      <c r="M23" s="107">
        <f t="shared" ref="M23:AO23" si="11">M22-(M19+M15+(M11*M6))</f>
        <v>1675614876.2292159</v>
      </c>
      <c r="N23" s="107">
        <f t="shared" si="11"/>
        <v>1794658819.172224</v>
      </c>
      <c r="O23" s="107">
        <f t="shared" si="11"/>
        <v>1940397433.9709411</v>
      </c>
      <c r="P23" s="161">
        <f>P22-(P19+P15+(P11*P6))</f>
        <v>1903103105.9461026</v>
      </c>
      <c r="Q23" s="159">
        <f t="shared" si="11"/>
        <v>-113158197.23847783</v>
      </c>
      <c r="R23" s="159">
        <f t="shared" si="11"/>
        <v>-558808562.99011874</v>
      </c>
      <c r="S23" s="159">
        <f t="shared" si="11"/>
        <v>299440475.14799571</v>
      </c>
      <c r="T23" s="159">
        <f t="shared" si="11"/>
        <v>-433087839.83580327</v>
      </c>
      <c r="U23" s="159">
        <f t="shared" si="11"/>
        <v>9154814.9106587172</v>
      </c>
      <c r="V23" s="159">
        <f t="shared" si="11"/>
        <v>554279487.87385631</v>
      </c>
      <c r="W23" s="159">
        <f t="shared" si="11"/>
        <v>1224966700.5171556</v>
      </c>
      <c r="X23" s="159">
        <f t="shared" si="11"/>
        <v>1752952167.1103339</v>
      </c>
      <c r="Y23" s="159">
        <f t="shared" si="11"/>
        <v>2545362145.5371318</v>
      </c>
      <c r="Z23" s="159">
        <f t="shared" si="11"/>
        <v>3706298462.2538376</v>
      </c>
      <c r="AA23" s="159">
        <f t="shared" si="11"/>
        <v>4226184791.8892808</v>
      </c>
      <c r="AB23" s="159">
        <f t="shared" si="11"/>
        <v>4802665279.1958723</v>
      </c>
      <c r="AC23" s="159">
        <f t="shared" si="11"/>
        <v>5353136891.7390585</v>
      </c>
      <c r="AD23" s="159">
        <f t="shared" si="11"/>
        <v>7877034220.4685907</v>
      </c>
      <c r="AE23" s="159">
        <f t="shared" si="11"/>
        <v>8304100339.6766434</v>
      </c>
      <c r="AF23" s="159">
        <f t="shared" si="11"/>
        <v>8925430309.2543869</v>
      </c>
      <c r="AG23" s="159">
        <f t="shared" si="11"/>
        <v>8684618089.8166676</v>
      </c>
      <c r="AH23" s="159">
        <f t="shared" si="11"/>
        <v>8238354304.0058899</v>
      </c>
      <c r="AI23" s="159">
        <f t="shared" si="11"/>
        <v>7730884759.7728434</v>
      </c>
      <c r="AJ23" s="159">
        <f t="shared" si="11"/>
        <v>7198824364.0759001</v>
      </c>
      <c r="AK23" s="159">
        <f t="shared" si="11"/>
        <v>6753705564.7923565</v>
      </c>
      <c r="AL23" s="159">
        <f t="shared" si="11"/>
        <v>6342989387.0147133</v>
      </c>
      <c r="AM23" s="159">
        <f t="shared" si="11"/>
        <v>5795131774.5784655</v>
      </c>
      <c r="AN23" s="159">
        <f t="shared" si="11"/>
        <v>5132113807.8385534</v>
      </c>
      <c r="AO23" s="159">
        <f t="shared" si="11"/>
        <v>4507144352.5510769</v>
      </c>
      <c r="AP23" s="159">
        <f>AP22-(AP19+AP15+(AP11*AP6))</f>
        <v>3876950101.2254353</v>
      </c>
    </row>
    <row r="24" spans="1:42">
      <c r="K24" s="107"/>
      <c r="L24" s="107"/>
      <c r="M24" s="107"/>
      <c r="N24" s="107"/>
      <c r="O24" s="107"/>
      <c r="P24" s="161"/>
      <c r="Q24" s="161"/>
      <c r="R24" s="161"/>
      <c r="S24" s="161"/>
      <c r="T24" s="161"/>
      <c r="U24" s="161"/>
      <c r="V24" s="161"/>
      <c r="W24" s="161"/>
      <c r="X24" s="161"/>
      <c r="Y24" s="161"/>
      <c r="Z24" s="161"/>
      <c r="AA24" s="161"/>
      <c r="AB24" s="161"/>
      <c r="AC24" s="161"/>
      <c r="AD24" s="161"/>
      <c r="AE24" s="161"/>
      <c r="AF24" s="161"/>
      <c r="AG24" s="161"/>
      <c r="AH24" s="161"/>
      <c r="AI24" s="161"/>
      <c r="AJ24" s="161"/>
      <c r="AK24" s="161"/>
      <c r="AL24" s="161"/>
      <c r="AM24" s="161"/>
      <c r="AN24" s="161"/>
      <c r="AO24" s="161"/>
      <c r="AP24" s="161"/>
    </row>
    <row r="25" spans="1:42">
      <c r="A25" s="106" t="s">
        <v>287</v>
      </c>
      <c r="B25" s="107">
        <f>'[1]D5 Gallon Forecast'!C$28</f>
        <v>215755059</v>
      </c>
      <c r="C25" s="107">
        <f>'[1]D5 Gallon Forecast'!D$28</f>
        <v>618671889</v>
      </c>
      <c r="D25" s="107">
        <f>'[1]D5 Gallon Forecast'!E$28</f>
        <v>527775069</v>
      </c>
      <c r="E25" s="107">
        <f>'[1]D5 Gallon Forecast'!F$28</f>
        <v>131427352</v>
      </c>
      <c r="F25" s="107">
        <f>'[1]D5 Gallon Forecast'!G$28</f>
        <v>135291787</v>
      </c>
      <c r="G25" s="107">
        <f>'[1]D5 Gallon Forecast'!H$28</f>
        <v>85201935</v>
      </c>
      <c r="H25" s="107">
        <f>'[1]D5 Gallon Forecast'!I$28</f>
        <v>128800020</v>
      </c>
      <c r="I25" s="107">
        <f>'[1]D5 Gallon Forecast'!J$28</f>
        <v>150976112</v>
      </c>
      <c r="J25" s="107">
        <f>'[1]D5 Gallon Forecast'!K$28</f>
        <v>284667030</v>
      </c>
      <c r="K25" s="107">
        <f>'[1]D5 Gallon Forecast'!L$28</f>
        <v>287574491</v>
      </c>
      <c r="L25" s="107">
        <f>'[1]D5 Gallon Forecast'!M$28</f>
        <v>178038588</v>
      </c>
      <c r="M25" s="107">
        <f>'[1]D5 Gallon Forecast'!N$28</f>
        <v>256398192</v>
      </c>
      <c r="N25" s="107">
        <f>'[1]D5 Gallon Forecast'!O$28</f>
        <v>184397469</v>
      </c>
      <c r="O25" s="107">
        <f>'[1]D5 Gallon Forecast'!P$28</f>
        <v>164671255</v>
      </c>
      <c r="P25" s="159">
        <f>'[1]D5 Gallon Forecast'!$BB$28</f>
        <v>187865954</v>
      </c>
      <c r="Q25" s="159">
        <f>'[1]D5 Gallon Forecast'!$BD$28</f>
        <v>213000000</v>
      </c>
      <c r="R25" s="159">
        <f>'[1]D5 Gallon Forecast'!$BF$28</f>
        <v>234750000</v>
      </c>
      <c r="S25" s="159">
        <f>'[1]D5 Gallon Forecast'!$BH$28</f>
        <v>246750000</v>
      </c>
      <c r="T25" s="159">
        <f>'[1]D5 Gallon Forecast'!$BJ$28</f>
        <v>260000000</v>
      </c>
      <c r="U25" s="159">
        <f>'[1]D5 Gallon Forecast'!$BL$28</f>
        <v>280000000</v>
      </c>
      <c r="V25" s="159">
        <f>'[1]D5 Gallon Forecast'!$BN$28</f>
        <v>300000000</v>
      </c>
      <c r="W25" s="159">
        <f>'[1]D5 Gallon Forecast'!BP$28</f>
        <v>310000000</v>
      </c>
      <c r="X25" s="159">
        <f>'[1]D5 Gallon Forecast'!BR$28</f>
        <v>325000000</v>
      </c>
      <c r="Y25" s="159">
        <f>'[1]D5 Gallon Forecast'!BT$28</f>
        <v>340000000</v>
      </c>
      <c r="Z25" s="159">
        <f>'[1]D5 Gallon Forecast'!BV$28</f>
        <v>360500000</v>
      </c>
      <c r="AA25" s="159">
        <f>'[1]D5 Gallon Forecast'!BX$28</f>
        <v>380000000</v>
      </c>
      <c r="AB25" s="159">
        <f>'[1]D5 Gallon Forecast'!BZ$28</f>
        <v>400000000</v>
      </c>
      <c r="AC25" s="159">
        <f>'[1]D5 Gallon Forecast'!CB$28</f>
        <v>425000000</v>
      </c>
      <c r="AD25" s="159">
        <f>'[1]D5 Gallon Forecast'!CD$28</f>
        <v>450000000</v>
      </c>
      <c r="AE25" s="159">
        <f>'[1]D5 Gallon Forecast'!CF$28</f>
        <v>475000000</v>
      </c>
      <c r="AF25" s="159">
        <f>'[1]D5 Gallon Forecast'!CH$28</f>
        <v>495000000</v>
      </c>
      <c r="AG25" s="159">
        <f>'[1]D5 Gallon Forecast'!CJ$28</f>
        <v>525000000</v>
      </c>
      <c r="AH25" s="159">
        <f>'[1]D5 Gallon Forecast'!CL$28</f>
        <v>550000000</v>
      </c>
      <c r="AI25" s="159">
        <f>'[1]D5 Gallon Forecast'!CN$28</f>
        <v>575000000</v>
      </c>
      <c r="AJ25" s="159">
        <f>'[1]D5 Gallon Forecast'!CP$28</f>
        <v>600000000</v>
      </c>
      <c r="AK25" s="159">
        <f>'[1]D5 Gallon Forecast'!CR$28</f>
        <v>650000000</v>
      </c>
      <c r="AL25" s="159">
        <f>'[1]D5 Gallon Forecast'!CT$28</f>
        <v>700000000</v>
      </c>
      <c r="AM25" s="159">
        <f>'[1]D5 Gallon Forecast'!CV$28</f>
        <v>800000000</v>
      </c>
      <c r="AN25" s="159">
        <f>'[1]D5 Gallon Forecast'!CX$28</f>
        <v>900000000</v>
      </c>
      <c r="AO25" s="159">
        <f>'[1]D5 Gallon Forecast'!CZ$28</f>
        <v>1000000000</v>
      </c>
      <c r="AP25" s="159">
        <f>'[1]D5 Gallon Forecast'!DA$28</f>
        <v>-771793777</v>
      </c>
    </row>
    <row r="26" spans="1:42">
      <c r="A26" s="106" t="s">
        <v>288</v>
      </c>
      <c r="B26" s="107">
        <f>'[1]D6 Gallon Forecast'!C$141+'[1]D5 Gallon Forecast'!C$100</f>
        <v>175630079</v>
      </c>
      <c r="C26" s="107">
        <f>'[1]D6 Gallon Forecast'!D$141+'[1]D5 Gallon Forecast'!D$100</f>
        <v>575793102</v>
      </c>
      <c r="D26" s="107">
        <f>'[1]D6 Gallon Forecast'!E$141+'[1]D5 Gallon Forecast'!E$100</f>
        <v>435313268</v>
      </c>
      <c r="E26" s="107">
        <f>'[1]D6 Gallon Forecast'!F$141+'[1]D5 Gallon Forecast'!F$100</f>
        <v>65662085</v>
      </c>
      <c r="F26" s="107">
        <f>'[1]D6 Gallon Forecast'!G$141+'[1]D5 Gallon Forecast'!G$100</f>
        <v>95962295</v>
      </c>
      <c r="G26" s="107">
        <f>'[1]D6 Gallon Forecast'!H$141+'[1]D5 Gallon Forecast'!H$100</f>
        <v>46143019</v>
      </c>
      <c r="H26" s="107">
        <f>'[1]D6 Gallon Forecast'!I$141+'[1]D5 Gallon Forecast'!I$100</f>
        <v>86237058</v>
      </c>
      <c r="I26" s="107">
        <f>'[1]D6 Gallon Forecast'!J$141+'[1]D5 Gallon Forecast'!J$100</f>
        <v>90407091</v>
      </c>
      <c r="J26" s="107">
        <f>'[1]D6 Gallon Forecast'!K$141+'[1]D5 Gallon Forecast'!K$100</f>
        <v>209086399</v>
      </c>
      <c r="K26" s="107">
        <f>'[1]D6 Gallon Forecast'!L$141+'[1]D5 Gallon Forecast'!L$100</f>
        <v>197184319</v>
      </c>
      <c r="L26" s="107">
        <f>'[1]D6 Gallon Forecast'!M$141+'[1]D5 Gallon Forecast'!M$100</f>
        <v>72941870</v>
      </c>
      <c r="M26" s="107">
        <f>'[1]D6 Gallon Forecast'!N$141+'[1]D5 Gallon Forecast'!N$100</f>
        <v>94649732</v>
      </c>
      <c r="N26" s="107">
        <f>'[1]D6 Gallon Forecast'!O$141+'[1]D5 Gallon Forecast'!O$100</f>
        <v>33688757</v>
      </c>
      <c r="O26" s="107">
        <f>'[1]D6 Gallon Forecast'!P$141+'[1]D5 Gallon Forecast'!P$100</f>
        <v>14445998</v>
      </c>
      <c r="P26" s="159">
        <f>'[1]D6 Gallon Forecast'!Q$141+'[1]D5 Gallon Forecast'!Q$100</f>
        <v>14250000</v>
      </c>
      <c r="Q26" s="159">
        <f>'[1]D6 Gallon Forecast'!R$141+'[1]D5 Gallon Forecast'!R$100</f>
        <v>12500000</v>
      </c>
      <c r="R26" s="159">
        <f>'[1]D6 Gallon Forecast'!S$141+'[1]D5 Gallon Forecast'!S$100</f>
        <v>12500000</v>
      </c>
      <c r="S26" s="159">
        <f>'[1]D6 Gallon Forecast'!T$141+'[1]D5 Gallon Forecast'!T$100</f>
        <v>12500000</v>
      </c>
      <c r="T26" s="159">
        <f>'[1]D6 Gallon Forecast'!U$141+'[1]D5 Gallon Forecast'!U$100</f>
        <v>12500000</v>
      </c>
      <c r="U26" s="159">
        <f>'[1]D6 Gallon Forecast'!V$141+'[1]D5 Gallon Forecast'!V$100</f>
        <v>12500000</v>
      </c>
      <c r="V26" s="159">
        <f>'[1]D6 Gallon Forecast'!W$141+'[1]D5 Gallon Forecast'!W$100</f>
        <v>12500000</v>
      </c>
      <c r="W26" s="159">
        <f>'[1]D6 Gallon Forecast'!X$141+'[1]D5 Gallon Forecast'!X$100</f>
        <v>12500000</v>
      </c>
      <c r="X26" s="159">
        <f>'[1]D6 Gallon Forecast'!Y$141+'[1]D5 Gallon Forecast'!Y$100</f>
        <v>12500000</v>
      </c>
      <c r="Y26" s="159">
        <f>'[1]D6 Gallon Forecast'!Z$141+'[1]D5 Gallon Forecast'!Z$100</f>
        <v>12500000</v>
      </c>
      <c r="Z26" s="159">
        <f>'[1]D6 Gallon Forecast'!AA$141+'[1]D5 Gallon Forecast'!AA$100</f>
        <v>12500000</v>
      </c>
      <c r="AA26" s="159">
        <f>'[1]D6 Gallon Forecast'!AB$141+'[1]D5 Gallon Forecast'!AB$100</f>
        <v>12500000</v>
      </c>
      <c r="AB26" s="159">
        <f>'[1]D6 Gallon Forecast'!AC$141+'[1]D5 Gallon Forecast'!AC$100</f>
        <v>12500000</v>
      </c>
      <c r="AC26" s="159">
        <f>'[1]D6 Gallon Forecast'!AD$141+'[1]D5 Gallon Forecast'!AD$100</f>
        <v>12500000</v>
      </c>
      <c r="AD26" s="159">
        <f>'[1]D6 Gallon Forecast'!AE$141+'[1]D5 Gallon Forecast'!AE$100</f>
        <v>12500000</v>
      </c>
      <c r="AE26" s="159">
        <f>'[1]D6 Gallon Forecast'!AF$141+'[1]D5 Gallon Forecast'!AF$100</f>
        <v>12500000</v>
      </c>
      <c r="AF26" s="159">
        <f>'[1]D6 Gallon Forecast'!AG$141+'[1]D5 Gallon Forecast'!AG$100</f>
        <v>12500000</v>
      </c>
      <c r="AG26" s="159">
        <f>'[1]D6 Gallon Forecast'!AH$141+'[1]D5 Gallon Forecast'!AH$100</f>
        <v>12500001</v>
      </c>
      <c r="AH26" s="159">
        <f>'[1]D6 Gallon Forecast'!AI$141+'[1]D5 Gallon Forecast'!AI$100</f>
        <v>12500002</v>
      </c>
      <c r="AI26" s="159">
        <f>'[1]D6 Gallon Forecast'!AJ$141+'[1]D5 Gallon Forecast'!AJ$100</f>
        <v>12500003</v>
      </c>
      <c r="AJ26" s="159">
        <f>'[1]D6 Gallon Forecast'!AK$141+'[1]D5 Gallon Forecast'!AK$100</f>
        <v>12500004</v>
      </c>
      <c r="AK26" s="159">
        <f>'[1]D6 Gallon Forecast'!AL$141+'[1]D5 Gallon Forecast'!AL$100</f>
        <v>12500005</v>
      </c>
      <c r="AL26" s="159">
        <f>'[1]D6 Gallon Forecast'!AM$141+'[1]D5 Gallon Forecast'!AM$100</f>
        <v>12500006</v>
      </c>
      <c r="AM26" s="159">
        <f>'[1]D6 Gallon Forecast'!AN$141+'[1]D5 Gallon Forecast'!AN$100</f>
        <v>12500007</v>
      </c>
      <c r="AN26" s="159">
        <f>'[1]D6 Gallon Forecast'!AO$141+'[1]D5 Gallon Forecast'!AO$100</f>
        <v>12500008</v>
      </c>
      <c r="AO26" s="159">
        <f>'[1]D6 Gallon Forecast'!AP$141+'[1]D5 Gallon Forecast'!AP$100</f>
        <v>12500009</v>
      </c>
      <c r="AP26" s="159">
        <f>'[1]D6 Gallon Forecast'!AQ$141+'[1]D5 Gallon Forecast'!AQ$100</f>
        <v>12500010</v>
      </c>
    </row>
    <row r="27" spans="1:42">
      <c r="A27" s="106" t="s">
        <v>289</v>
      </c>
      <c r="B27" s="107">
        <f>IF(B23&lt;SUM(B25:B26),0,B23-B25-B26)</f>
        <v>0</v>
      </c>
      <c r="C27" s="107">
        <f t="shared" ref="C27:K27" si="12">IF(C23&lt;SUM(C25:C26),0,C23-C25-C26)</f>
        <v>0</v>
      </c>
      <c r="D27" s="107">
        <f t="shared" si="12"/>
        <v>0</v>
      </c>
      <c r="E27" s="107">
        <f t="shared" si="12"/>
        <v>0</v>
      </c>
      <c r="F27" s="107">
        <f t="shared" si="12"/>
        <v>0</v>
      </c>
      <c r="G27" s="107">
        <f t="shared" si="12"/>
        <v>196523783.43494308</v>
      </c>
      <c r="H27" s="107">
        <f t="shared" si="12"/>
        <v>298510694.21796298</v>
      </c>
      <c r="I27" s="107">
        <f t="shared" si="12"/>
        <v>0</v>
      </c>
      <c r="J27" s="107">
        <f>IF(J23&lt;SUM(J25:J26),0,J23-J25-J26)</f>
        <v>0</v>
      </c>
      <c r="K27" s="107">
        <f t="shared" si="12"/>
        <v>454239163.05793357</v>
      </c>
      <c r="L27" s="107">
        <f>IF(L23&lt;SUM(L25:L26),0,L23-L25-L26)</f>
        <v>1331776566.9308972</v>
      </c>
      <c r="M27" s="107">
        <f>IF(M23&lt;SUM(M25:M26),0,M23-M25-M26)</f>
        <v>1324566952.2292159</v>
      </c>
      <c r="N27" s="107">
        <f>IF(N23&lt;SUM(N25:N26),0,N23-N25-N26)</f>
        <v>1576572593.172224</v>
      </c>
      <c r="O27" s="107">
        <f>IF(O23&lt;SUM(O25:O26),0,O23-O25-O26)</f>
        <v>1761280180.9709411</v>
      </c>
      <c r="P27" s="159">
        <f>IF(P23&lt;SUM(P25:P26),0,P23-P25-P26)</f>
        <v>1700987151.9461026</v>
      </c>
      <c r="Q27" s="159">
        <f t="shared" ref="Q27:Z27" si="13">IF(Q23&lt;SUM(Q25:Q26),0,Q23-Q25-Q26)</f>
        <v>0</v>
      </c>
      <c r="R27" s="159">
        <f t="shared" si="13"/>
        <v>0</v>
      </c>
      <c r="S27" s="159">
        <f t="shared" si="13"/>
        <v>40190475.14799571</v>
      </c>
      <c r="T27" s="159">
        <f t="shared" si="13"/>
        <v>0</v>
      </c>
      <c r="U27" s="159">
        <f t="shared" si="13"/>
        <v>0</v>
      </c>
      <c r="V27" s="159">
        <f t="shared" si="13"/>
        <v>241779487.87385631</v>
      </c>
      <c r="W27" s="159">
        <f t="shared" si="13"/>
        <v>902466700.51715565</v>
      </c>
      <c r="X27" s="159">
        <f t="shared" si="13"/>
        <v>1415452167.1103339</v>
      </c>
      <c r="Y27" s="159">
        <f t="shared" si="13"/>
        <v>2192862145.5371318</v>
      </c>
      <c r="Z27" s="159">
        <f t="shared" si="13"/>
        <v>3333298462.2538376</v>
      </c>
      <c r="AA27" s="159">
        <f>IF(AA23&lt;SUM(AA25:AA26),0,AA23-AA25-AA26)</f>
        <v>3833684791.8892808</v>
      </c>
      <c r="AB27" s="159">
        <f>IF(AB23&lt;SUM(AB25:AB26),0,AB23-AB25-AB26)</f>
        <v>4390165279.1958723</v>
      </c>
      <c r="AC27" s="159">
        <f>IF(AC23&lt;SUM(AC25:AC26),0,AC23-AC25-AC26)</f>
        <v>4915636891.7390585</v>
      </c>
      <c r="AD27" s="159">
        <f>IF(AD23&lt;SUM(AD25:AD26),0,AD23-AD25-AD26)</f>
        <v>7414534220.4685907</v>
      </c>
      <c r="AE27" s="159">
        <f>IF(AE23&lt;SUM(AE25:AE26),0,AE23-AE25-AE26)</f>
        <v>7816600339.6766434</v>
      </c>
      <c r="AF27" s="159">
        <f t="shared" ref="AF27:AO27" si="14">IF(AF23&lt;SUM(AF25:AF26),0,AF23-AF25-AF26)</f>
        <v>8417930309.2543869</v>
      </c>
      <c r="AG27" s="159">
        <f t="shared" si="14"/>
        <v>8147118088.8166676</v>
      </c>
      <c r="AH27" s="159">
        <f t="shared" si="14"/>
        <v>7675854302.0058899</v>
      </c>
      <c r="AI27" s="159">
        <f t="shared" si="14"/>
        <v>7143384756.7728434</v>
      </c>
      <c r="AJ27" s="159">
        <f t="shared" si="14"/>
        <v>6586324360.0759001</v>
      </c>
      <c r="AK27" s="159">
        <f t="shared" si="14"/>
        <v>6091205559.7923565</v>
      </c>
      <c r="AL27" s="159">
        <f t="shared" si="14"/>
        <v>5630489381.0147133</v>
      </c>
      <c r="AM27" s="159">
        <f t="shared" si="14"/>
        <v>4982631767.5784655</v>
      </c>
      <c r="AN27" s="159">
        <f t="shared" si="14"/>
        <v>4219613799.8385534</v>
      </c>
      <c r="AO27" s="159">
        <f t="shared" si="14"/>
        <v>3494644343.5510769</v>
      </c>
      <c r="AP27" s="159">
        <f>IF(AP23&lt;SUM(AP25:AP26),0,AP23-AP25-AP26)</f>
        <v>4636243868.2254353</v>
      </c>
    </row>
    <row r="28" spans="1:42">
      <c r="A28" s="106" t="s">
        <v>290</v>
      </c>
      <c r="B28" s="107">
        <f t="shared" ref="B28:Z28" si="15">B27/B6</f>
        <v>0</v>
      </c>
      <c r="C28" s="107">
        <f t="shared" si="15"/>
        <v>0</v>
      </c>
      <c r="D28" s="107">
        <f t="shared" si="15"/>
        <v>0</v>
      </c>
      <c r="E28" s="107">
        <f t="shared" si="15"/>
        <v>0</v>
      </c>
      <c r="F28" s="107">
        <f t="shared" si="15"/>
        <v>0</v>
      </c>
      <c r="G28" s="107">
        <f t="shared" si="15"/>
        <v>127547217.34636845</v>
      </c>
      <c r="H28" s="107">
        <f t="shared" si="15"/>
        <v>193155913.19880354</v>
      </c>
      <c r="I28" s="107">
        <f t="shared" si="15"/>
        <v>0</v>
      </c>
      <c r="J28" s="107">
        <f t="shared" si="15"/>
        <v>0</v>
      </c>
      <c r="K28" s="107">
        <f t="shared" si="15"/>
        <v>290336409.05861151</v>
      </c>
      <c r="L28" s="107">
        <f t="shared" si="15"/>
        <v>842083498.79530239</v>
      </c>
      <c r="M28" s="107">
        <f t="shared" si="15"/>
        <v>827287779.85134971</v>
      </c>
      <c r="N28" s="107">
        <f t="shared" si="15"/>
        <v>976666170.8667146</v>
      </c>
      <c r="O28" s="107">
        <f t="shared" si="15"/>
        <v>1082913729.4184253</v>
      </c>
      <c r="P28" s="159">
        <f t="shared" si="15"/>
        <v>1045053642.7986088</v>
      </c>
      <c r="Q28" s="159">
        <f t="shared" si="15"/>
        <v>0</v>
      </c>
      <c r="R28" s="159">
        <f t="shared" si="15"/>
        <v>0</v>
      </c>
      <c r="S28" s="159">
        <f t="shared" si="15"/>
        <v>24455395.223739307</v>
      </c>
      <c r="T28" s="159">
        <f t="shared" si="15"/>
        <v>0</v>
      </c>
      <c r="U28" s="159">
        <f t="shared" si="15"/>
        <v>0</v>
      </c>
      <c r="V28" s="159">
        <f t="shared" si="15"/>
        <v>147309645.22816923</v>
      </c>
      <c r="W28" s="159">
        <f t="shared" si="15"/>
        <v>548028120.3677125</v>
      </c>
      <c r="X28" s="159">
        <f t="shared" si="15"/>
        <v>852925484.826774</v>
      </c>
      <c r="Y28" s="159">
        <f t="shared" si="15"/>
        <v>1329320991.7382295</v>
      </c>
      <c r="Z28" s="159">
        <f t="shared" si="15"/>
        <v>2016954889.8457313</v>
      </c>
      <c r="AA28" s="159">
        <f>AA27/AA6</f>
        <v>2304684922.4997778</v>
      </c>
      <c r="AB28" s="159">
        <f>AB27/AB6</f>
        <v>2622901243.9569583</v>
      </c>
      <c r="AC28" s="159">
        <f>AC27/AC6</f>
        <v>2931987512.8525934</v>
      </c>
      <c r="AD28" s="159">
        <f>AD27/AD6</f>
        <v>4410973110.5260868</v>
      </c>
      <c r="AE28" s="159">
        <f>AE27/AE6</f>
        <v>4626758806.367547</v>
      </c>
      <c r="AF28" s="159">
        <f t="shared" ref="AF28:AO28" si="16">AF27/AF6</f>
        <v>4985457789.036025</v>
      </c>
      <c r="AG28" s="159">
        <f t="shared" si="16"/>
        <v>4822865661.1558228</v>
      </c>
      <c r="AH28" s="159">
        <f t="shared" si="16"/>
        <v>4535632573.4154825</v>
      </c>
      <c r="AI28" s="159">
        <f t="shared" si="16"/>
        <v>4221151100.3007317</v>
      </c>
      <c r="AJ28" s="159">
        <f t="shared" si="16"/>
        <v>3892459915.4228177</v>
      </c>
      <c r="AK28" s="159">
        <f t="shared" si="16"/>
        <v>3600757624.3459215</v>
      </c>
      <c r="AL28" s="159">
        <f t="shared" si="16"/>
        <v>3328944636.1028099</v>
      </c>
      <c r="AM28" s="159">
        <f t="shared" si="16"/>
        <v>2945768042.8129373</v>
      </c>
      <c r="AN28" s="159">
        <f t="shared" si="16"/>
        <v>2494579884.7233953</v>
      </c>
      <c r="AO28" s="159">
        <f t="shared" si="16"/>
        <v>2065889391.8058109</v>
      </c>
      <c r="AP28" s="159">
        <f>AP27/AP6</f>
        <v>2740634863.419816</v>
      </c>
    </row>
    <row r="29" spans="1:42">
      <c r="A29" s="110"/>
      <c r="B29" s="110"/>
      <c r="C29" s="110"/>
      <c r="D29" s="110"/>
      <c r="E29" s="110"/>
      <c r="F29" s="110"/>
      <c r="G29" s="110"/>
      <c r="H29" s="110"/>
      <c r="I29" s="110"/>
      <c r="J29" s="110"/>
      <c r="K29" s="110"/>
      <c r="L29" s="110"/>
      <c r="M29" s="111"/>
      <c r="N29" s="111"/>
      <c r="O29" s="111"/>
      <c r="P29" s="162"/>
      <c r="Q29" s="162"/>
      <c r="R29" s="162"/>
      <c r="S29" s="162"/>
      <c r="T29" s="162"/>
      <c r="U29" s="162"/>
      <c r="V29" s="162"/>
      <c r="W29" s="162"/>
      <c r="X29" s="162"/>
      <c r="Y29" s="162"/>
      <c r="Z29" s="162"/>
      <c r="AA29" s="162"/>
      <c r="AB29" s="162"/>
      <c r="AC29" s="162"/>
      <c r="AD29" s="162"/>
      <c r="AE29" s="162"/>
      <c r="AF29" s="162"/>
      <c r="AG29" s="162"/>
      <c r="AH29" s="162"/>
      <c r="AI29" s="162"/>
      <c r="AJ29" s="162"/>
      <c r="AK29" s="162"/>
      <c r="AL29" s="162"/>
      <c r="AM29" s="162"/>
      <c r="AN29" s="162"/>
      <c r="AO29" s="162"/>
      <c r="AP29" s="162"/>
    </row>
    <row r="30" spans="1:42">
      <c r="A30" s="106" t="s">
        <v>291</v>
      </c>
      <c r="K30" s="107">
        <f>K$18-K$14-(K$10*K$6)</f>
        <v>318199289.54225874</v>
      </c>
      <c r="L30" s="107">
        <f>L$18-L$14-(L$10*L$6)</f>
        <v>646892918.25352049</v>
      </c>
      <c r="M30" s="107">
        <f>M$18-M$14-(M$10*M$6)</f>
        <v>580975717.04791164</v>
      </c>
      <c r="N30" s="107">
        <f>N$18-N$14-(N$10*N$6)</f>
        <v>547846106.1057806</v>
      </c>
      <c r="O30" s="107">
        <f>O$18-O$14-(O$10*O$6)</f>
        <v>505661771.85031796</v>
      </c>
      <c r="P30" s="159">
        <f t="shared" ref="P30:AP30" si="17">P$18-P$14-(P$10*P$6)</f>
        <v>253206277.65263653</v>
      </c>
      <c r="Q30" s="159">
        <f t="shared" si="17"/>
        <v>-3886772096.3566933</v>
      </c>
      <c r="R30" s="159">
        <f t="shared" si="17"/>
        <v>-4152503423.1212463</v>
      </c>
      <c r="S30" s="159">
        <f>S$18-S$14-(S$10*S$6)</f>
        <v>-3886501681.8297443</v>
      </c>
      <c r="T30" s="159">
        <f t="shared" si="17"/>
        <v>-4846124490.4156208</v>
      </c>
      <c r="U30" s="159">
        <f t="shared" si="17"/>
        <v>-4412751681.1686707</v>
      </c>
      <c r="V30" s="159">
        <f t="shared" si="17"/>
        <v>-4001059645.4466782</v>
      </c>
      <c r="W30" s="159">
        <f t="shared" si="17"/>
        <v>-3609084745.9190807</v>
      </c>
      <c r="X30" s="159">
        <f t="shared" si="17"/>
        <v>-3285735572.0004826</v>
      </c>
      <c r="Y30" s="159">
        <f t="shared" si="17"/>
        <v>-2511457464.6824322</v>
      </c>
      <c r="Z30" s="159">
        <f t="shared" si="17"/>
        <v>-1854279484.4464035</v>
      </c>
      <c r="AA30" s="159">
        <f>AA$18-AA$14-(AA$10*AA$6)</f>
        <v>-1269910102.0277328</v>
      </c>
      <c r="AB30" s="159">
        <f t="shared" si="17"/>
        <v>-683552195.11970329</v>
      </c>
      <c r="AC30" s="159">
        <f t="shared" si="17"/>
        <v>-27267857.320114136</v>
      </c>
      <c r="AD30" s="159">
        <f t="shared" si="17"/>
        <v>3638750969.339426</v>
      </c>
      <c r="AE30" s="159">
        <f t="shared" si="17"/>
        <v>3831118708.6971874</v>
      </c>
      <c r="AF30" s="159">
        <f t="shared" si="17"/>
        <v>4097775860.0183678</v>
      </c>
      <c r="AG30" s="159">
        <f t="shared" si="17"/>
        <v>3415504725.8581257</v>
      </c>
      <c r="AH30" s="159">
        <f t="shared" si="17"/>
        <v>2711193151.5212765</v>
      </c>
      <c r="AI30" s="159">
        <f t="shared" si="17"/>
        <v>2034849133.7445793</v>
      </c>
      <c r="AJ30" s="159">
        <f t="shared" si="17"/>
        <v>1360067802.3191242</v>
      </c>
      <c r="AK30" s="159">
        <f t="shared" si="17"/>
        <v>687721876.81261444</v>
      </c>
      <c r="AL30" s="159">
        <f t="shared" si="17"/>
        <v>14026752.662109375</v>
      </c>
      <c r="AM30" s="159">
        <f t="shared" si="17"/>
        <v>-832578032.23156357</v>
      </c>
      <c r="AN30" s="159">
        <f>AN$18-AN$14-(AN$10*AN$6)</f>
        <v>-1679002292.3625679</v>
      </c>
      <c r="AO30" s="159">
        <f t="shared" si="17"/>
        <v>-2525755058.2875595</v>
      </c>
      <c r="AP30" s="159">
        <f t="shared" si="17"/>
        <v>-3372515176.4577408</v>
      </c>
    </row>
    <row r="31" spans="1:42">
      <c r="A31" s="106" t="s">
        <v>292</v>
      </c>
      <c r="K31" s="107">
        <f>'[1]D6 Gallon Forecast'!L$7</f>
        <v>12845194670</v>
      </c>
      <c r="L31" s="107">
        <f>'[1]D6 Gallon Forecast'!M$7</f>
        <v>14110176420</v>
      </c>
      <c r="M31" s="107">
        <f>'[1]D6 Gallon Forecast'!N$7</f>
        <v>14409400981</v>
      </c>
      <c r="N31" s="107">
        <f>'[1]D6 Gallon Forecast'!O$7</f>
        <v>14666291777</v>
      </c>
      <c r="O31" s="107">
        <f>'[1]D6 Gallon Forecast'!P$7</f>
        <v>14853081800</v>
      </c>
      <c r="P31" s="159">
        <f>'[1]D6 Gallon Forecast'!Q$7</f>
        <v>14581438774.088144</v>
      </c>
      <c r="Q31" s="159">
        <f>'[1]D6 Gallon Forecast'!R$7</f>
        <v>14655293890.620512</v>
      </c>
      <c r="R31" s="159">
        <f>'[1]D6 Gallon Forecast'!S$7</f>
        <v>14687014784.203905</v>
      </c>
      <c r="S31" s="159">
        <f>'[1]D6 Gallon Forecast'!T$7</f>
        <v>14833602876.012686</v>
      </c>
      <c r="T31" s="159">
        <f>'[1]D6 Gallon Forecast'!U$7</f>
        <v>14945196786.482641</v>
      </c>
      <c r="U31" s="159">
        <f>'[1]D6 Gallon Forecast'!V$7</f>
        <v>15043549140.126476</v>
      </c>
      <c r="V31" s="159">
        <f>'[1]D6 Gallon Forecast'!W$7</f>
        <v>15203856925.802042</v>
      </c>
      <c r="W31" s="159">
        <f t="shared" ref="W31:AC31" si="18">W22-W30</f>
        <v>5659084745.9190817</v>
      </c>
      <c r="X31" s="159">
        <f t="shared" si="18"/>
        <v>5935735572.0004826</v>
      </c>
      <c r="Y31" s="159">
        <f t="shared" si="18"/>
        <v>5911457464.6824322</v>
      </c>
      <c r="Z31" s="159">
        <f t="shared" si="18"/>
        <v>6004279484.4464054</v>
      </c>
      <c r="AA31" s="159">
        <f t="shared" si="18"/>
        <v>6169910102.0277319</v>
      </c>
      <c r="AB31" s="159">
        <f t="shared" si="18"/>
        <v>6333552195.1197033</v>
      </c>
      <c r="AC31" s="159">
        <f t="shared" si="18"/>
        <v>6427267857.3201132</v>
      </c>
      <c r="AD31" s="159">
        <f>AD22-AD30</f>
        <v>5311249030.660574</v>
      </c>
      <c r="AE31" s="159">
        <f>AE22-AE30</f>
        <v>5618881291.3028145</v>
      </c>
      <c r="AF31" s="159">
        <f>AF22-AF30</f>
        <v>5852224139.9816322</v>
      </c>
      <c r="AG31" s="159">
        <f t="shared" ref="AG31:AO31" si="19">AG22-AG30</f>
        <v>6134495274.1418724</v>
      </c>
      <c r="AH31" s="159">
        <f t="shared" si="19"/>
        <v>6438806848.4787216</v>
      </c>
      <c r="AI31" s="159">
        <f t="shared" si="19"/>
        <v>6715150866.2554207</v>
      </c>
      <c r="AJ31" s="159">
        <f t="shared" si="19"/>
        <v>6989932197.6808758</v>
      </c>
      <c r="AK31" s="159">
        <f t="shared" si="19"/>
        <v>7262278123.1873846</v>
      </c>
      <c r="AL31" s="159">
        <f t="shared" si="19"/>
        <v>7535973247.3378897</v>
      </c>
      <c r="AM31" s="159">
        <f t="shared" si="19"/>
        <v>7882578032.2315626</v>
      </c>
      <c r="AN31" s="159">
        <f t="shared" si="19"/>
        <v>8229002292.3625708</v>
      </c>
      <c r="AO31" s="159">
        <f t="shared" si="19"/>
        <v>8575755058.2875624</v>
      </c>
      <c r="AP31" s="159">
        <f>AP22-AP30</f>
        <v>8922515176.4577446</v>
      </c>
    </row>
    <row r="32" spans="1:42">
      <c r="A32" s="106" t="s">
        <v>293</v>
      </c>
      <c r="K32" s="107">
        <f>'[2]10 Year RFS Curves (2020)'!E$16*1000000000+250000000</f>
        <v>12750000000</v>
      </c>
      <c r="L32" s="107">
        <f>'[2]10 Year RFS Curves (2020)'!F$16*1000000000+250000000</f>
        <v>14040000000</v>
      </c>
      <c r="M32" s="107">
        <f>'[2]10 Year RFS Curves (2020)'!G$16*1000000000+250000000</f>
        <v>15249999999.999998</v>
      </c>
      <c r="N32" s="107">
        <f>'[2]10 Year RFS Curves (2020)'!H$16*1000000000+250000000</f>
        <v>15500000000</v>
      </c>
      <c r="O32" s="107">
        <f>'[2]10 Year RFS Curves (2020)'!I$16*1000000000+250000000</f>
        <v>15250000000</v>
      </c>
      <c r="P32" s="159">
        <f>'[2]10 Year RFS Curves (2020)'!J$16*1000000000</f>
        <v>15000000000</v>
      </c>
      <c r="Q32" s="159">
        <f>'[2]10 Year RFS Curves (2020)'!K$16*1000000000</f>
        <v>14999999999.999996</v>
      </c>
      <c r="R32" s="159">
        <f>'[2]10 Year RFS Curves (2020)'!L$16*1000000000</f>
        <v>15000000000</v>
      </c>
      <c r="S32" s="159">
        <f>'[2]10 Year RFS Curves (2020)'!M$16*1000000000</f>
        <v>14999999999.999998</v>
      </c>
      <c r="T32" s="159">
        <f>'[2]10 Year RFS Curves (2020)'!N$16*1000000000</f>
        <v>15000000000</v>
      </c>
      <c r="U32" s="159">
        <f>'[2]10 Year RFS Curves (2020)'!O$16*1000000000</f>
        <v>15000000000</v>
      </c>
      <c r="V32" s="159">
        <f>'[2]10 Year RFS Curves (2020)'!P$16*1000000000</f>
        <v>15000000000</v>
      </c>
      <c r="W32" s="159">
        <f t="shared" ref="W32:AP32" si="20">W$20-W$16-(W$12*W$6)</f>
        <v>-3723735496.5723248</v>
      </c>
      <c r="X32" s="159">
        <f t="shared" si="20"/>
        <v>-3430283221.315279</v>
      </c>
      <c r="Y32" s="159">
        <f t="shared" si="20"/>
        <v>-2668424339.238512</v>
      </c>
      <c r="Z32" s="159">
        <f t="shared" si="20"/>
        <v>-1945545893.3743038</v>
      </c>
      <c r="AA32" s="159">
        <f t="shared" si="20"/>
        <v>-1419713798.758997</v>
      </c>
      <c r="AB32" s="159">
        <f t="shared" si="20"/>
        <v>-883739509.23054123</v>
      </c>
      <c r="AC32" s="159">
        <f>AC$20-AC$16-(AC$12*AC$6)</f>
        <v>-289185567.25517464</v>
      </c>
      <c r="AD32" s="159">
        <f t="shared" si="20"/>
        <v>3355615087.7921829</v>
      </c>
      <c r="AE32" s="159">
        <f>AE$20-AE$16-(AE$12*AE$6)</f>
        <v>3515250449.5988789</v>
      </c>
      <c r="AF32" s="159">
        <f t="shared" si="20"/>
        <v>3803441129.9814301</v>
      </c>
      <c r="AG32" s="159">
        <f t="shared" si="20"/>
        <v>3156632575.469017</v>
      </c>
      <c r="AH32" s="159">
        <f t="shared" si="20"/>
        <v>2453330420.8385487</v>
      </c>
      <c r="AI32" s="159">
        <f t="shared" si="20"/>
        <v>1761479791.1310349</v>
      </c>
      <c r="AJ32" s="159">
        <f t="shared" si="20"/>
        <v>1066105274.9715462</v>
      </c>
      <c r="AK32" s="159">
        <f t="shared" si="20"/>
        <v>396254218.3704834</v>
      </c>
      <c r="AL32" s="159">
        <f t="shared" si="20"/>
        <v>-267101353.21258545</v>
      </c>
      <c r="AM32" s="159">
        <f t="shared" si="20"/>
        <v>-1112406582.4978447</v>
      </c>
      <c r="AN32" s="159">
        <f t="shared" si="20"/>
        <v>-1982162190.5917015</v>
      </c>
      <c r="AO32" s="159">
        <f t="shared" si="20"/>
        <v>-2842521653.5097847</v>
      </c>
      <c r="AP32" s="159">
        <f t="shared" si="20"/>
        <v>-3702811088.6846809</v>
      </c>
    </row>
    <row r="33" spans="1:42">
      <c r="A33" s="106" t="s">
        <v>294</v>
      </c>
      <c r="K33" s="107">
        <f t="shared" ref="K33:V33" si="21">K32-K31</f>
        <v>-95194670</v>
      </c>
      <c r="L33" s="107">
        <f t="shared" si="21"/>
        <v>-70176420</v>
      </c>
      <c r="M33" s="107">
        <f t="shared" si="21"/>
        <v>840599018.99999809</v>
      </c>
      <c r="N33" s="107">
        <f t="shared" si="21"/>
        <v>833708223</v>
      </c>
      <c r="O33" s="107">
        <f t="shared" si="21"/>
        <v>396918200</v>
      </c>
      <c r="P33" s="159">
        <f t="shared" si="21"/>
        <v>418561225.9118557</v>
      </c>
      <c r="Q33" s="159">
        <f t="shared" si="21"/>
        <v>344706109.37948418</v>
      </c>
      <c r="R33" s="159">
        <f t="shared" si="21"/>
        <v>312985215.79609489</v>
      </c>
      <c r="S33" s="159">
        <f t="shared" si="21"/>
        <v>166397123.98731232</v>
      </c>
      <c r="T33" s="159">
        <f t="shared" si="21"/>
        <v>54803213.51735878</v>
      </c>
      <c r="U33" s="159">
        <f t="shared" si="21"/>
        <v>-43549140.126476288</v>
      </c>
      <c r="V33" s="159">
        <f t="shared" si="21"/>
        <v>-203856925.80204201</v>
      </c>
      <c r="W33" s="159">
        <f t="shared" ref="W33:AC33" si="22">W23-W32</f>
        <v>4948702197.0894804</v>
      </c>
      <c r="X33" s="159">
        <f t="shared" si="22"/>
        <v>5183235388.4256134</v>
      </c>
      <c r="Y33" s="159">
        <f t="shared" si="22"/>
        <v>5213786484.7756443</v>
      </c>
      <c r="Z33" s="159">
        <f t="shared" si="22"/>
        <v>5651844355.6281414</v>
      </c>
      <c r="AA33" s="159">
        <f t="shared" si="22"/>
        <v>5645898590.6482773</v>
      </c>
      <c r="AB33" s="159">
        <f t="shared" si="22"/>
        <v>5686404788.4264135</v>
      </c>
      <c r="AC33" s="159">
        <f t="shared" si="22"/>
        <v>5642322458.9942331</v>
      </c>
      <c r="AD33" s="159">
        <f>AD23-AD32</f>
        <v>4521419132.6764078</v>
      </c>
      <c r="AE33" s="159">
        <f>AE23-AE32</f>
        <v>4788849890.0777645</v>
      </c>
      <c r="AF33" s="159">
        <f>AF23-AF32</f>
        <v>5121989179.2729568</v>
      </c>
      <c r="AG33" s="159">
        <f t="shared" ref="AG33:AO33" si="23">AG23-AG32</f>
        <v>5527985514.3476505</v>
      </c>
      <c r="AH33" s="159">
        <f t="shared" si="23"/>
        <v>5785023883.1673412</v>
      </c>
      <c r="AI33" s="159">
        <f t="shared" si="23"/>
        <v>5969404968.6418085</v>
      </c>
      <c r="AJ33" s="159">
        <f t="shared" si="23"/>
        <v>6132719089.1043539</v>
      </c>
      <c r="AK33" s="159">
        <f t="shared" si="23"/>
        <v>6357451346.4218731</v>
      </c>
      <c r="AL33" s="159">
        <f t="shared" si="23"/>
        <v>6610090740.2272987</v>
      </c>
      <c r="AM33" s="159">
        <f t="shared" si="23"/>
        <v>6907538357.0763102</v>
      </c>
      <c r="AN33" s="159">
        <f t="shared" si="23"/>
        <v>7114275998.4302549</v>
      </c>
      <c r="AO33" s="159">
        <f t="shared" si="23"/>
        <v>7349666006.0608616</v>
      </c>
      <c r="AP33" s="159">
        <f>AP23-AP32</f>
        <v>7579761189.9101162</v>
      </c>
    </row>
    <row r="34" spans="1:42">
      <c r="A34" s="106" t="s">
        <v>295</v>
      </c>
      <c r="K34" s="107">
        <f t="shared" ref="K34:Z34" si="24">K33/K6</f>
        <v>-60845653.340979159</v>
      </c>
      <c r="L34" s="107">
        <f t="shared" si="24"/>
        <v>-44372612.308919609</v>
      </c>
      <c r="M34" s="107">
        <f t="shared" si="24"/>
        <v>525014832.20863968</v>
      </c>
      <c r="N34" s="107">
        <f t="shared" si="24"/>
        <v>516471376.77253419</v>
      </c>
      <c r="O34" s="107">
        <f t="shared" si="24"/>
        <v>244043039.19385329</v>
      </c>
      <c r="P34" s="159">
        <f t="shared" si="24"/>
        <v>257155930.52715561</v>
      </c>
      <c r="Q34" s="159">
        <f t="shared" si="24"/>
        <v>211454785.05193722</v>
      </c>
      <c r="R34" s="159">
        <f t="shared" si="24"/>
        <v>191584449.10458386</v>
      </c>
      <c r="S34" s="159">
        <f t="shared" si="24"/>
        <v>101250542.97613125</v>
      </c>
      <c r="T34" s="159">
        <f t="shared" si="24"/>
        <v>33477515.310711306</v>
      </c>
      <c r="U34" s="159">
        <f t="shared" si="24"/>
        <v>-26588248.975530382</v>
      </c>
      <c r="V34" s="159">
        <f t="shared" si="24"/>
        <v>-124204462.84041943</v>
      </c>
      <c r="W34" s="159">
        <f t="shared" si="24"/>
        <v>3005128013.8939176</v>
      </c>
      <c r="X34" s="159">
        <f t="shared" si="24"/>
        <v>3123322468.5151792</v>
      </c>
      <c r="Y34" s="159">
        <f t="shared" si="24"/>
        <v>3160616290.7954569</v>
      </c>
      <c r="Z34" s="159">
        <f t="shared" si="24"/>
        <v>3419890309.4994073</v>
      </c>
      <c r="AA34" s="159"/>
      <c r="AB34" s="159"/>
      <c r="AC34" s="159"/>
      <c r="AD34" s="159"/>
      <c r="AE34" s="159"/>
      <c r="AF34" s="159"/>
      <c r="AG34" s="159"/>
      <c r="AH34" s="159"/>
      <c r="AI34" s="159"/>
      <c r="AJ34" s="159"/>
      <c r="AK34" s="159"/>
      <c r="AL34" s="159"/>
      <c r="AM34" s="159"/>
      <c r="AN34" s="159"/>
      <c r="AO34" s="159"/>
      <c r="AP34" s="159"/>
    </row>
    <row r="35" spans="1:42">
      <c r="A35" s="106" t="s">
        <v>296</v>
      </c>
      <c r="K35" s="107">
        <f t="shared" ref="K35:Z35" si="25">K12+K30+K34</f>
        <v>2457263636.2012796</v>
      </c>
      <c r="L35" s="107">
        <f t="shared" si="25"/>
        <v>2876130182.8921914</v>
      </c>
      <c r="M35" s="107">
        <f t="shared" si="25"/>
        <v>3681749149.0116386</v>
      </c>
      <c r="N35" s="107">
        <f t="shared" si="25"/>
        <v>3723903699.2156448</v>
      </c>
      <c r="O35" s="107">
        <f t="shared" si="25"/>
        <v>3634221313.5052028</v>
      </c>
      <c r="P35" s="159">
        <f t="shared" si="25"/>
        <v>3832405066.2155728</v>
      </c>
      <c r="Q35" s="159">
        <f t="shared" si="25"/>
        <v>3216697003.9269028</v>
      </c>
      <c r="R35" s="159">
        <f t="shared" si="25"/>
        <v>3098265696.1724606</v>
      </c>
      <c r="S35" s="159">
        <f t="shared" si="25"/>
        <v>3782781306.7345362</v>
      </c>
      <c r="T35" s="159">
        <f t="shared" si="25"/>
        <v>3038325663.2372098</v>
      </c>
      <c r="U35" s="159">
        <f t="shared" si="25"/>
        <v>3654490774.4419293</v>
      </c>
      <c r="V35" s="159">
        <f t="shared" si="25"/>
        <v>4218266699.7852502</v>
      </c>
      <c r="W35" s="159">
        <f t="shared" si="25"/>
        <v>8009897720.1212635</v>
      </c>
      <c r="X35" s="159">
        <f t="shared" si="25"/>
        <v>8697320653.8860722</v>
      </c>
      <c r="Y35" s="159">
        <f t="shared" si="25"/>
        <v>9621287580.0831299</v>
      </c>
      <c r="Z35" s="159">
        <f t="shared" si="25"/>
        <v>10702705715.760862</v>
      </c>
      <c r="AA35" s="159"/>
      <c r="AB35" s="159"/>
      <c r="AC35" s="159"/>
      <c r="AD35" s="159"/>
      <c r="AE35" s="159"/>
      <c r="AF35" s="159"/>
      <c r="AG35" s="159"/>
      <c r="AH35" s="159"/>
      <c r="AI35" s="159"/>
      <c r="AJ35" s="159"/>
      <c r="AK35" s="159"/>
      <c r="AL35" s="159"/>
      <c r="AM35" s="159"/>
      <c r="AN35" s="159"/>
      <c r="AO35" s="159"/>
      <c r="AP35" s="159"/>
    </row>
    <row r="36" spans="1:42">
      <c r="A36" s="106" t="s">
        <v>297</v>
      </c>
      <c r="K36" s="107">
        <f t="shared" ref="K36:Z36" si="26">SUM(K5)</f>
        <v>3053952222</v>
      </c>
      <c r="L36" s="107">
        <f t="shared" si="26"/>
        <v>3291964808</v>
      </c>
      <c r="M36" s="107">
        <f t="shared" si="26"/>
        <v>3838259872</v>
      </c>
      <c r="N36" s="107">
        <f t="shared" si="26"/>
        <v>5164203423</v>
      </c>
      <c r="O36" s="107">
        <f t="shared" si="26"/>
        <v>5705051178</v>
      </c>
      <c r="P36" s="159">
        <f t="shared" si="26"/>
        <v>4432226512.9450436</v>
      </c>
      <c r="Q36" s="159">
        <f t="shared" si="26"/>
        <v>4245278123.2263598</v>
      </c>
      <c r="R36" s="159">
        <f t="shared" si="26"/>
        <v>4534739278.4174147</v>
      </c>
      <c r="S36" s="159">
        <f t="shared" si="26"/>
        <v>4300797001.5074949</v>
      </c>
      <c r="T36" s="159">
        <f t="shared" si="26"/>
        <v>4526719764.2277737</v>
      </c>
      <c r="U36" s="159">
        <f t="shared" si="26"/>
        <v>4719286160.0392952</v>
      </c>
      <c r="V36" s="159">
        <f t="shared" si="26"/>
        <v>5006645276.8508558</v>
      </c>
      <c r="W36" s="159">
        <f t="shared" si="26"/>
        <v>5729506860.6289854</v>
      </c>
      <c r="X36" s="159">
        <f t="shared" si="26"/>
        <v>5253674924.1738834</v>
      </c>
      <c r="Y36" s="159">
        <f t="shared" si="26"/>
        <v>5435439330.1447382</v>
      </c>
      <c r="Z36" s="159">
        <f t="shared" si="26"/>
        <v>5648918314.5477791</v>
      </c>
      <c r="AA36" s="159"/>
      <c r="AB36" s="159"/>
      <c r="AC36" s="159"/>
      <c r="AD36" s="159"/>
      <c r="AE36" s="159"/>
      <c r="AF36" s="159"/>
      <c r="AG36" s="159"/>
      <c r="AH36" s="159"/>
      <c r="AI36" s="159"/>
      <c r="AJ36" s="159"/>
      <c r="AK36" s="159"/>
      <c r="AL36" s="159"/>
      <c r="AM36" s="159"/>
      <c r="AN36" s="159"/>
      <c r="AO36" s="159"/>
      <c r="AP36" s="159"/>
    </row>
    <row r="37" spans="1:42">
      <c r="A37" s="106" t="s">
        <v>298</v>
      </c>
      <c r="K37" s="107">
        <f t="shared" ref="K37:Z37" si="27">K35-K36</f>
        <v>-596688585.79872036</v>
      </c>
      <c r="L37" s="107">
        <f t="shared" si="27"/>
        <v>-415834625.10780859</v>
      </c>
      <c r="M37" s="107">
        <f t="shared" si="27"/>
        <v>-156510722.98836136</v>
      </c>
      <c r="N37" s="107">
        <f t="shared" si="27"/>
        <v>-1440299723.7843552</v>
      </c>
      <c r="O37" s="107">
        <f t="shared" si="27"/>
        <v>-2070829864.4947972</v>
      </c>
      <c r="P37" s="159">
        <f t="shared" si="27"/>
        <v>-599821446.72947073</v>
      </c>
      <c r="Q37" s="159">
        <f t="shared" si="27"/>
        <v>-1028581119.2994571</v>
      </c>
      <c r="R37" s="159">
        <f t="shared" si="27"/>
        <v>-1436473582.2449541</v>
      </c>
      <c r="S37" s="159">
        <f t="shared" si="27"/>
        <v>-518015694.77295876</v>
      </c>
      <c r="T37" s="159">
        <f t="shared" si="27"/>
        <v>-1488394100.9905639</v>
      </c>
      <c r="U37" s="159">
        <f t="shared" si="27"/>
        <v>-1064795385.5973659</v>
      </c>
      <c r="V37" s="159">
        <f t="shared" si="27"/>
        <v>-788378577.06560564</v>
      </c>
      <c r="W37" s="159">
        <f t="shared" si="27"/>
        <v>2280390859.4922781</v>
      </c>
      <c r="X37" s="159">
        <f t="shared" si="27"/>
        <v>3443645729.7121887</v>
      </c>
      <c r="Y37" s="159">
        <f t="shared" si="27"/>
        <v>4185848249.9383917</v>
      </c>
      <c r="Z37" s="159">
        <f t="shared" si="27"/>
        <v>5053787401.2130833</v>
      </c>
      <c r="AA37" s="159"/>
      <c r="AB37" s="159"/>
      <c r="AC37" s="159"/>
      <c r="AD37" s="159"/>
      <c r="AE37" s="159"/>
      <c r="AF37" s="159"/>
      <c r="AG37" s="159"/>
      <c r="AH37" s="159"/>
      <c r="AI37" s="159"/>
      <c r="AJ37" s="159"/>
      <c r="AK37" s="159"/>
      <c r="AL37" s="159"/>
      <c r="AM37" s="159"/>
      <c r="AN37" s="159"/>
      <c r="AO37" s="159"/>
      <c r="AP37" s="159"/>
    </row>
    <row r="38" spans="1:42">
      <c r="M38" s="112"/>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row>
    <row r="39" spans="1:42">
      <c r="A39" s="106" t="s">
        <v>299</v>
      </c>
      <c r="B39" s="107">
        <f t="shared" ref="B39:O39" si="28">IF(B43-B25&lt;0,0,B43-B25)</f>
        <v>0</v>
      </c>
      <c r="C39" s="107">
        <f t="shared" si="28"/>
        <v>0</v>
      </c>
      <c r="D39" s="107">
        <f t="shared" si="28"/>
        <v>0</v>
      </c>
      <c r="E39" s="107">
        <f t="shared" si="28"/>
        <v>0</v>
      </c>
      <c r="F39" s="107">
        <f t="shared" si="28"/>
        <v>0</v>
      </c>
      <c r="G39" s="107">
        <f t="shared" si="28"/>
        <v>163379581.26612625</v>
      </c>
      <c r="H39" s="107">
        <f t="shared" si="28"/>
        <v>248238845.48643792</v>
      </c>
      <c r="I39" s="107">
        <f t="shared" si="28"/>
        <v>0</v>
      </c>
      <c r="J39" s="107">
        <f t="shared" si="28"/>
        <v>0</v>
      </c>
      <c r="K39" s="107">
        <f t="shared" si="28"/>
        <v>366966968.46288252</v>
      </c>
      <c r="L39" s="107">
        <f t="shared" si="28"/>
        <v>776618867.13778138</v>
      </c>
      <c r="M39" s="107">
        <f t="shared" si="28"/>
        <v>731028787.05196035</v>
      </c>
      <c r="N39" s="107">
        <f t="shared" si="28"/>
        <v>906500530.29357743</v>
      </c>
      <c r="O39" s="107">
        <f t="shared" si="28"/>
        <v>1019489717.6490607</v>
      </c>
      <c r="P39" s="159">
        <f>IF(P43-P25&lt;0,0,P43-P25)</f>
        <v>972608901.33446741</v>
      </c>
      <c r="Q39" s="159">
        <f>IF(Q43-Q25&lt;0,0,Q43-Q25)</f>
        <v>0</v>
      </c>
      <c r="R39" s="159">
        <f>IF(R43-R25&lt;0,0,R43-R25)</f>
        <v>0</v>
      </c>
      <c r="S39" s="159">
        <f>IF(S43-S25&lt;0,0,S43-S25)</f>
        <v>0</v>
      </c>
      <c r="T39" s="159">
        <f>IF(T43-T25&lt;0,0,T43-T25)</f>
        <v>0</v>
      </c>
      <c r="U39" s="159">
        <f t="shared" ref="U39:AD39" si="29">IF(U43-U25&lt;0,0,U43-U25)</f>
        <v>0</v>
      </c>
      <c r="V39" s="159">
        <f t="shared" si="29"/>
        <v>30091460.001089692</v>
      </c>
      <c r="W39" s="159">
        <f t="shared" si="29"/>
        <v>426277412.24367499</v>
      </c>
      <c r="X39" s="159">
        <f t="shared" si="29"/>
        <v>723764517.05250502</v>
      </c>
      <c r="Y39" s="159">
        <f t="shared" si="29"/>
        <v>1195430225.7869072</v>
      </c>
      <c r="Z39" s="159">
        <f t="shared" si="29"/>
        <v>1874590843.173398</v>
      </c>
      <c r="AA39" s="159">
        <f t="shared" si="29"/>
        <v>2153128396.1006217</v>
      </c>
      <c r="AB39" s="159">
        <f t="shared" si="29"/>
        <v>2461880970.4275193</v>
      </c>
      <c r="AC39" s="159">
        <f t="shared" si="29"/>
        <v>2760483594.9282384</v>
      </c>
      <c r="AD39" s="159">
        <f t="shared" si="29"/>
        <v>4228682158.8243752</v>
      </c>
      <c r="AE39" s="159">
        <f>IF(AE43-AE25&lt;0,0,AE43-AE25)</f>
        <v>4432918177.1324978</v>
      </c>
      <c r="AF39" s="159">
        <f>IF(AF43-AF25&lt;0,0,AF43-AF25)</f>
        <v>4783617926.3752251</v>
      </c>
      <c r="AG39" s="159">
        <f t="shared" ref="AG39:AO39" si="30">IF(AG43-AG25&lt;0,0,AG43-AG25)</f>
        <v>4608650952.8999577</v>
      </c>
      <c r="AH39" s="159">
        <f t="shared" si="30"/>
        <v>4310625442.9031982</v>
      </c>
      <c r="AI39" s="159">
        <f t="shared" si="30"/>
        <v>3985928665.8828821</v>
      </c>
      <c r="AJ39" s="159">
        <f t="shared" si="30"/>
        <v>3647054651.663044</v>
      </c>
      <c r="AK39" s="159">
        <f t="shared" si="30"/>
        <v>3334998877.2227387</v>
      </c>
      <c r="AL39" s="159">
        <f t="shared" si="30"/>
        <v>3042809415.4467349</v>
      </c>
      <c r="AM39" s="159">
        <f t="shared" si="30"/>
        <v>2618733845.6612687</v>
      </c>
      <c r="AN39" s="159">
        <f t="shared" si="30"/>
        <v>2126647984.4952173</v>
      </c>
      <c r="AO39" s="159">
        <f t="shared" si="30"/>
        <v>1657048087.4304881</v>
      </c>
      <c r="AP39" s="159">
        <f>IF(AP43-AP25&lt;0,0,AP43-AP25)</f>
        <v>3056196183.1254001</v>
      </c>
    </row>
    <row r="40" spans="1:42">
      <c r="A40" s="106" t="s">
        <v>300</v>
      </c>
      <c r="B40" s="107">
        <f t="shared" ref="B40:AC40" si="31">B39+B12</f>
        <v>800000000</v>
      </c>
      <c r="C40" s="107">
        <f t="shared" si="31"/>
        <v>1000000000</v>
      </c>
      <c r="D40" s="107">
        <f t="shared" si="31"/>
        <v>1280000000</v>
      </c>
      <c r="E40" s="107">
        <f t="shared" si="31"/>
        <v>1607000678.2990732</v>
      </c>
      <c r="F40" s="107">
        <f t="shared" si="31"/>
        <v>1696502697.0283363</v>
      </c>
      <c r="G40" s="107">
        <f t="shared" si="31"/>
        <v>2016148430.6674862</v>
      </c>
      <c r="H40" s="107">
        <f t="shared" si="31"/>
        <v>2120519481.6664391</v>
      </c>
      <c r="I40" s="107">
        <f t="shared" si="31"/>
        <v>1806639604.8989706</v>
      </c>
      <c r="J40" s="107">
        <f t="shared" si="31"/>
        <v>1796606385.5119176</v>
      </c>
      <c r="K40" s="107">
        <f t="shared" si="31"/>
        <v>2566876968.4628825</v>
      </c>
      <c r="L40" s="107">
        <f t="shared" si="31"/>
        <v>3050228744.085372</v>
      </c>
      <c r="M40" s="107">
        <f t="shared" si="31"/>
        <v>3306787386.8070478</v>
      </c>
      <c r="N40" s="107">
        <f t="shared" si="31"/>
        <v>3566086746.6309071</v>
      </c>
      <c r="O40" s="107">
        <f t="shared" si="31"/>
        <v>3904006220.1100922</v>
      </c>
      <c r="P40" s="159">
        <f t="shared" si="31"/>
        <v>4294651759.3702483</v>
      </c>
      <c r="Q40" s="159">
        <f t="shared" si="31"/>
        <v>6892014315.2316589</v>
      </c>
      <c r="R40" s="159">
        <f t="shared" si="31"/>
        <v>7059184670.1891232</v>
      </c>
      <c r="S40" s="159">
        <f t="shared" si="31"/>
        <v>7568032445.5881491</v>
      </c>
      <c r="T40" s="159">
        <f t="shared" si="31"/>
        <v>7850972638.3421192</v>
      </c>
      <c r="U40" s="159">
        <f t="shared" si="31"/>
        <v>8093830704.5861301</v>
      </c>
      <c r="V40" s="159">
        <f t="shared" si="31"/>
        <v>8373622268.0734377</v>
      </c>
      <c r="W40" s="159">
        <f t="shared" si="31"/>
        <v>9040131864.3901024</v>
      </c>
      <c r="X40" s="159">
        <f t="shared" si="31"/>
        <v>9583498274.4238815</v>
      </c>
      <c r="Y40" s="159">
        <f t="shared" si="31"/>
        <v>10167558979.757011</v>
      </c>
      <c r="Z40" s="159">
        <f t="shared" si="31"/>
        <v>11011685733.881256</v>
      </c>
      <c r="AA40" s="159">
        <f t="shared" si="31"/>
        <v>11361954276.701214</v>
      </c>
      <c r="AB40" s="159">
        <f t="shared" si="31"/>
        <v>11751801157.107193</v>
      </c>
      <c r="AC40" s="159">
        <f t="shared" si="31"/>
        <v>12129539858.927601</v>
      </c>
      <c r="AD40" s="159">
        <f>AD39+AD12</f>
        <v>11899718529.984678</v>
      </c>
      <c r="AE40" s="159">
        <f>AE39+AE12</f>
        <v>12450313934.257202</v>
      </c>
      <c r="AF40" s="159">
        <f>AF39+AF12</f>
        <v>13168939355.492687</v>
      </c>
      <c r="AG40" s="159">
        <f t="shared" ref="AG40:AO40" si="32">AG39+AG12</f>
        <v>13415277332.306061</v>
      </c>
      <c r="AH40" s="159">
        <f t="shared" si="32"/>
        <v>13517209121.158144</v>
      </c>
      <c r="AI40" s="159">
        <f t="shared" si="32"/>
        <v>13586354502.999199</v>
      </c>
      <c r="AJ40" s="159">
        <f t="shared" si="32"/>
        <v>13639722466.299505</v>
      </c>
      <c r="AK40" s="159">
        <f t="shared" si="32"/>
        <v>13728345279.855606</v>
      </c>
      <c r="AL40" s="159">
        <f t="shared" si="32"/>
        <v>13839729563.473976</v>
      </c>
      <c r="AM40" s="159">
        <f t="shared" si="32"/>
        <v>13915892199.79987</v>
      </c>
      <c r="AN40" s="159">
        <f t="shared" si="32"/>
        <v>13914935361.438046</v>
      </c>
      <c r="AO40" s="159">
        <f t="shared" si="32"/>
        <v>13940011762.146578</v>
      </c>
      <c r="AP40" s="159">
        <f>AP39+AP12</f>
        <v>15833834212.528208</v>
      </c>
    </row>
    <row r="41" spans="1:42">
      <c r="P41" s="163"/>
      <c r="Q41" s="163"/>
      <c r="R41" s="163"/>
      <c r="S41" s="163"/>
      <c r="T41" s="163"/>
      <c r="U41" s="163"/>
      <c r="V41" s="163"/>
      <c r="W41" s="163"/>
      <c r="X41" s="163"/>
      <c r="Y41" s="163"/>
      <c r="Z41" s="163"/>
      <c r="AA41" s="163"/>
      <c r="AB41" s="163"/>
      <c r="AC41" s="163"/>
      <c r="AD41" s="163"/>
      <c r="AE41" s="163"/>
      <c r="AF41" s="163"/>
      <c r="AG41" s="163"/>
      <c r="AH41" s="163"/>
      <c r="AI41" s="163"/>
      <c r="AJ41" s="163"/>
      <c r="AK41" s="163"/>
      <c r="AL41" s="163"/>
      <c r="AM41" s="163"/>
      <c r="AN41" s="163"/>
      <c r="AO41" s="163"/>
      <c r="AP41" s="163"/>
    </row>
    <row r="42" spans="1:42">
      <c r="A42" s="106" t="s">
        <v>301</v>
      </c>
      <c r="B42" s="107">
        <f t="shared" ref="B42:AD42" si="33">IF(B23-B26&lt;0,0,B23-B26)</f>
        <v>0</v>
      </c>
      <c r="C42" s="107">
        <f t="shared" si="33"/>
        <v>0</v>
      </c>
      <c r="D42" s="107">
        <f t="shared" si="33"/>
        <v>260225443.63942766</v>
      </c>
      <c r="E42" s="107">
        <f t="shared" si="33"/>
        <v>0</v>
      </c>
      <c r="F42" s="107">
        <f t="shared" si="33"/>
        <v>0</v>
      </c>
      <c r="G42" s="107">
        <f t="shared" si="33"/>
        <v>281725718.43494308</v>
      </c>
      <c r="H42" s="107">
        <f t="shared" si="33"/>
        <v>427310714.21796298</v>
      </c>
      <c r="I42" s="107">
        <f t="shared" si="33"/>
        <v>0</v>
      </c>
      <c r="J42" s="107">
        <f t="shared" si="33"/>
        <v>0</v>
      </c>
      <c r="K42" s="107">
        <f t="shared" si="33"/>
        <v>741813654.05793357</v>
      </c>
      <c r="L42" s="107">
        <f t="shared" si="33"/>
        <v>1509815154.9308972</v>
      </c>
      <c r="M42" s="107">
        <f t="shared" si="33"/>
        <v>1580965144.2292159</v>
      </c>
      <c r="N42" s="107">
        <f t="shared" si="33"/>
        <v>1760970062.172224</v>
      </c>
      <c r="O42" s="107">
        <f t="shared" si="33"/>
        <v>1925951435.9709411</v>
      </c>
      <c r="P42" s="159">
        <f t="shared" si="33"/>
        <v>1888853105.9461026</v>
      </c>
      <c r="Q42" s="159">
        <f t="shared" si="33"/>
        <v>0</v>
      </c>
      <c r="R42" s="159">
        <f t="shared" si="33"/>
        <v>0</v>
      </c>
      <c r="S42" s="159">
        <f t="shared" si="33"/>
        <v>286940475.14799571</v>
      </c>
      <c r="T42" s="159">
        <f t="shared" si="33"/>
        <v>0</v>
      </c>
      <c r="U42" s="159">
        <f t="shared" si="33"/>
        <v>0</v>
      </c>
      <c r="V42" s="159">
        <f t="shared" si="33"/>
        <v>541779487.87385631</v>
      </c>
      <c r="W42" s="159">
        <f t="shared" si="33"/>
        <v>1212466700.5171556</v>
      </c>
      <c r="X42" s="159">
        <f t="shared" si="33"/>
        <v>1740452167.1103339</v>
      </c>
      <c r="Y42" s="159">
        <f t="shared" si="33"/>
        <v>2532862145.5371318</v>
      </c>
      <c r="Z42" s="159">
        <f t="shared" si="33"/>
        <v>3693798462.2538376</v>
      </c>
      <c r="AA42" s="159">
        <f t="shared" si="33"/>
        <v>4213684791.8892808</v>
      </c>
      <c r="AB42" s="159">
        <f t="shared" si="33"/>
        <v>4790165279.1958723</v>
      </c>
      <c r="AC42" s="159">
        <f t="shared" si="33"/>
        <v>5340636891.7390585</v>
      </c>
      <c r="AD42" s="159">
        <f t="shared" si="33"/>
        <v>7864534220.4685907</v>
      </c>
      <c r="AE42" s="159">
        <f>IF(AE23-AE26&lt;0,0,AE23-AE26)</f>
        <v>8291600339.6766434</v>
      </c>
      <c r="AF42" s="159">
        <f>IF(AF23-AF26&lt;0,0,AF23-AF26)</f>
        <v>8912930309.2543869</v>
      </c>
      <c r="AG42" s="159">
        <f t="shared" ref="AG42:AO42" si="34">IF(AG23-AG26&lt;0,0,AG23-AG26)</f>
        <v>8672118088.8166676</v>
      </c>
      <c r="AH42" s="159">
        <f t="shared" si="34"/>
        <v>8225854302.0058899</v>
      </c>
      <c r="AI42" s="159">
        <f t="shared" si="34"/>
        <v>7718384756.7728434</v>
      </c>
      <c r="AJ42" s="159">
        <f t="shared" si="34"/>
        <v>7186324360.0759001</v>
      </c>
      <c r="AK42" s="159">
        <f t="shared" si="34"/>
        <v>6741205559.7923565</v>
      </c>
      <c r="AL42" s="159">
        <f t="shared" si="34"/>
        <v>6330489381.0147133</v>
      </c>
      <c r="AM42" s="159">
        <f t="shared" si="34"/>
        <v>5782631767.5784655</v>
      </c>
      <c r="AN42" s="159">
        <f t="shared" si="34"/>
        <v>5119613799.8385534</v>
      </c>
      <c r="AO42" s="159">
        <f t="shared" si="34"/>
        <v>4494644343.5510769</v>
      </c>
      <c r="AP42" s="159">
        <f>IF(AP23-AP26&lt;0,0,AP23-AP26)</f>
        <v>3864450091.2254353</v>
      </c>
    </row>
    <row r="43" spans="1:42">
      <c r="A43" s="106" t="s">
        <v>302</v>
      </c>
      <c r="B43" s="107">
        <f>B42*1.5/1.7</f>
        <v>0</v>
      </c>
      <c r="C43" s="107">
        <f t="shared" ref="C43:J43" si="35">C42*1.5/1.7</f>
        <v>0</v>
      </c>
      <c r="D43" s="107">
        <f t="shared" si="35"/>
        <v>229610685.56420088</v>
      </c>
      <c r="E43" s="107">
        <f t="shared" si="35"/>
        <v>0</v>
      </c>
      <c r="F43" s="107">
        <f t="shared" si="35"/>
        <v>0</v>
      </c>
      <c r="G43" s="107">
        <f t="shared" si="35"/>
        <v>248581516.26612625</v>
      </c>
      <c r="H43" s="107">
        <f t="shared" si="35"/>
        <v>377038865.48643792</v>
      </c>
      <c r="I43" s="107">
        <f t="shared" si="35"/>
        <v>0</v>
      </c>
      <c r="J43" s="107">
        <f t="shared" si="35"/>
        <v>0</v>
      </c>
      <c r="K43" s="107">
        <f>K42*1.5/1.7</f>
        <v>654541459.46288252</v>
      </c>
      <c r="L43" s="107">
        <f t="shared" ref="L43:AO43" si="36">L42/L6</f>
        <v>954657455.13778138</v>
      </c>
      <c r="M43" s="107">
        <f t="shared" si="36"/>
        <v>987426979.05196035</v>
      </c>
      <c r="N43" s="107">
        <f t="shared" si="36"/>
        <v>1090897999.2935774</v>
      </c>
      <c r="O43" s="107">
        <f t="shared" si="36"/>
        <v>1184160972.6490607</v>
      </c>
      <c r="P43" s="159">
        <f t="shared" si="36"/>
        <v>1160474855.3344674</v>
      </c>
      <c r="Q43" s="159">
        <f t="shared" si="36"/>
        <v>0</v>
      </c>
      <c r="R43" s="159">
        <f t="shared" si="36"/>
        <v>0</v>
      </c>
      <c r="S43" s="159">
        <f t="shared" si="36"/>
        <v>174599645.80144382</v>
      </c>
      <c r="T43" s="159">
        <f t="shared" si="36"/>
        <v>0</v>
      </c>
      <c r="U43" s="159">
        <f t="shared" si="36"/>
        <v>0</v>
      </c>
      <c r="V43" s="159">
        <f t="shared" si="36"/>
        <v>330091460.00108969</v>
      </c>
      <c r="W43" s="159">
        <f t="shared" si="36"/>
        <v>736277412.24367499</v>
      </c>
      <c r="X43" s="159">
        <f t="shared" si="36"/>
        <v>1048764517.052505</v>
      </c>
      <c r="Y43" s="159">
        <f t="shared" si="36"/>
        <v>1535430225.7869072</v>
      </c>
      <c r="Z43" s="159">
        <f t="shared" si="36"/>
        <v>2235090843.173398</v>
      </c>
      <c r="AA43" s="159">
        <f t="shared" si="36"/>
        <v>2533128396.1006217</v>
      </c>
      <c r="AB43" s="159">
        <f t="shared" si="36"/>
        <v>2861880970.4275193</v>
      </c>
      <c r="AC43" s="159">
        <f t="shared" si="36"/>
        <v>3185483594.9282384</v>
      </c>
      <c r="AD43" s="159">
        <f t="shared" si="36"/>
        <v>4678682158.8243752</v>
      </c>
      <c r="AE43" s="159">
        <f t="shared" si="36"/>
        <v>4907918177.1324978</v>
      </c>
      <c r="AF43" s="159">
        <f t="shared" si="36"/>
        <v>5278617926.3752251</v>
      </c>
      <c r="AG43" s="159">
        <f t="shared" si="36"/>
        <v>5133650952.8999577</v>
      </c>
      <c r="AH43" s="159">
        <f t="shared" si="36"/>
        <v>4860625442.9031982</v>
      </c>
      <c r="AI43" s="159">
        <f t="shared" si="36"/>
        <v>4560928665.8828821</v>
      </c>
      <c r="AJ43" s="159">
        <f t="shared" si="36"/>
        <v>4247054651.663044</v>
      </c>
      <c r="AK43" s="159">
        <f t="shared" si="36"/>
        <v>3984998877.2227387</v>
      </c>
      <c r="AL43" s="159">
        <f t="shared" si="36"/>
        <v>3742809415.4467349</v>
      </c>
      <c r="AM43" s="159">
        <f t="shared" si="36"/>
        <v>3418733845.6612687</v>
      </c>
      <c r="AN43" s="159">
        <f t="shared" si="36"/>
        <v>3026647984.4952173</v>
      </c>
      <c r="AO43" s="159">
        <f t="shared" si="36"/>
        <v>2657048087.4304881</v>
      </c>
      <c r="AP43" s="159">
        <f>AP42/AP6</f>
        <v>2284402406.1254001</v>
      </c>
    </row>
    <row r="44" spans="1:42">
      <c r="K44" s="107"/>
      <c r="L44" s="107"/>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row>
    <row r="45" spans="1:42">
      <c r="L45" s="107"/>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row>
    <row r="46" spans="1:42">
      <c r="L46" s="107"/>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row>
    <row r="47" spans="1:42">
      <c r="L47" s="107"/>
      <c r="P47" s="163"/>
      <c r="Q47" s="163"/>
      <c r="R47" s="163"/>
      <c r="S47" s="163"/>
      <c r="T47" s="163"/>
      <c r="U47" s="163"/>
      <c r="V47" s="163"/>
      <c r="W47" s="163"/>
      <c r="X47" s="163"/>
      <c r="Y47" s="163"/>
      <c r="Z47" s="163"/>
      <c r="AA47" s="163"/>
      <c r="AB47" s="163"/>
      <c r="AC47" s="163"/>
      <c r="AD47" s="163"/>
      <c r="AE47" s="163"/>
      <c r="AF47" s="163"/>
      <c r="AG47" s="163"/>
      <c r="AH47" s="163"/>
      <c r="AI47" s="163"/>
      <c r="AJ47" s="163"/>
      <c r="AK47" s="163"/>
      <c r="AL47" s="163"/>
      <c r="AM47" s="163"/>
      <c r="AN47" s="163"/>
      <c r="AO47" s="163"/>
      <c r="AP47" s="163"/>
    </row>
    <row r="48" spans="1:42">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row>
    <row r="49" spans="1:42">
      <c r="A49" s="106" t="s">
        <v>303</v>
      </c>
      <c r="B49" s="107">
        <f t="shared" ref="B49:J49" si="37">B8-B18</f>
        <v>12600000000</v>
      </c>
      <c r="C49" s="107">
        <f t="shared" si="37"/>
        <v>13200000000</v>
      </c>
      <c r="D49" s="107">
        <f t="shared" si="37"/>
        <v>13880000000</v>
      </c>
      <c r="E49" s="107">
        <f t="shared" si="37"/>
        <v>13610000000</v>
      </c>
      <c r="F49" s="107">
        <f>F8-F18</f>
        <v>14050000000</v>
      </c>
      <c r="G49" s="107">
        <f t="shared" si="37"/>
        <v>14500000000</v>
      </c>
      <c r="H49" s="107">
        <f t="shared" si="37"/>
        <v>15000000000</v>
      </c>
      <c r="I49" s="107">
        <f t="shared" si="37"/>
        <v>15000000000</v>
      </c>
      <c r="J49" s="107">
        <f t="shared" si="37"/>
        <v>15000000000</v>
      </c>
      <c r="K49" s="107">
        <f>K8-K18</f>
        <v>12499999999.999998</v>
      </c>
      <c r="L49" s="107">
        <f>'[2]10 Year RFS Curves (2020)'!F$16*1000000000</f>
        <v>13790000000</v>
      </c>
      <c r="M49" s="107">
        <f>'[2]10 Year RFS Curves (2020)'!G$16*1000000000</f>
        <v>14999999999.999998</v>
      </c>
      <c r="N49" s="107">
        <f>'[2]10 Year RFS Curves (2020)'!H$16*1000000000</f>
        <v>15250000000</v>
      </c>
      <c r="O49" s="107">
        <f>'[2]10 Year RFS Curves (2020)'!I$16*1000000000</f>
        <v>15000000000</v>
      </c>
      <c r="P49" s="159">
        <f>'[2]10 Year RFS Curves (2020)'!J$16*1000000000</f>
        <v>15000000000</v>
      </c>
      <c r="Q49" s="159">
        <f>'[2]10 Year RFS Curves (2020)'!K$16*1000000000</f>
        <v>14999999999.999996</v>
      </c>
      <c r="R49" s="159">
        <f>'[2]10 Year RFS Curves (2020)'!L$16*1000000000</f>
        <v>15000000000</v>
      </c>
      <c r="S49" s="159">
        <f>'[2]10 Year RFS Curves (2020)'!M$16*1000000000</f>
        <v>14999999999.999998</v>
      </c>
      <c r="T49" s="159">
        <f>'[2]10 Year RFS Curves (2020)'!N$16*1000000000</f>
        <v>15000000000</v>
      </c>
      <c r="U49" s="159">
        <f>'[2]10 Year RFS Curves (2020)'!O$16*1000000000</f>
        <v>15000000000</v>
      </c>
      <c r="V49" s="159">
        <f>'[2]10 Year RFS Curves (2020)'!P$16*1000000000</f>
        <v>15000000000</v>
      </c>
      <c r="W49" s="159">
        <f>'[2]10 Year RFS Curves (2020)'!Q$16*1000000000</f>
        <v>15000000000</v>
      </c>
      <c r="X49" s="159">
        <f>'[2]10 Year RFS Curves (2020)'!R$16*1000000000</f>
        <v>15000000000</v>
      </c>
      <c r="Y49" s="159">
        <f>'[2]10 Year RFS Curves (2020)'!S$16*1000000000</f>
        <v>15000000000</v>
      </c>
      <c r="Z49" s="159">
        <f>'[2]10 Year RFS Curves (2020)'!T$16*1000000000</f>
        <v>15000000000</v>
      </c>
      <c r="AA49" s="159">
        <f>'[2]10 Year RFS Curves (2020)'!U$16*1000000000</f>
        <v>15000000000.000004</v>
      </c>
      <c r="AB49" s="159">
        <f>'[2]10 Year RFS Curves (2020)'!V$16*1000000000</f>
        <v>15000000000</v>
      </c>
      <c r="AC49" s="159">
        <f>'[2]10 Year RFS Curves (2020)'!W$16*1000000000</f>
        <v>15000000000</v>
      </c>
      <c r="AD49" s="159">
        <f>'[2]10 Year RFS Curves (2020)'!X$16*1000000000</f>
        <v>15000000000</v>
      </c>
      <c r="AE49" s="159">
        <f>'[2]10 Year RFS Curves (2020)'!Y$16*1000000000</f>
        <v>15000000000</v>
      </c>
      <c r="AF49" s="159">
        <f>'[2]10 Year RFS Curves (2020)'!Z$16*1000000000</f>
        <v>15000000000.000004</v>
      </c>
      <c r="AG49" s="159">
        <f>'[2]10 Year RFS Curves (2020)'!AA$16*1000000000</f>
        <v>15000000000.000008</v>
      </c>
      <c r="AH49" s="159">
        <f>'[2]10 Year RFS Curves (2020)'!AB$16*1000000000</f>
        <v>15000000000.000008</v>
      </c>
      <c r="AI49" s="159">
        <f>'[2]10 Year RFS Curves (2020)'!AC$16*1000000000</f>
        <v>15000000000</v>
      </c>
      <c r="AJ49" s="159">
        <f>'[2]10 Year RFS Curves (2020)'!AD$16*1000000000</f>
        <v>15000000000</v>
      </c>
      <c r="AK49" s="159">
        <f>'[2]10 Year RFS Curves (2020)'!AE$16*1000000000</f>
        <v>15000000000.000004</v>
      </c>
      <c r="AL49" s="159">
        <f>'[2]10 Year RFS Curves (2020)'!AF$16*1000000000</f>
        <v>15000000000.000008</v>
      </c>
      <c r="AM49" s="159">
        <f>'[2]10 Year RFS Curves (2020)'!AG$16*1000000000</f>
        <v>15000000000.000008</v>
      </c>
      <c r="AN49" s="159">
        <f>'[2]10 Year RFS Curves (2020)'!AH$16*1000000000</f>
        <v>15000000000</v>
      </c>
      <c r="AO49" s="159">
        <f>'[2]10 Year RFS Curves (2020)'!AI$16*1000000000</f>
        <v>15000000000</v>
      </c>
      <c r="AP49" s="159">
        <f>'[2]10 Year RFS Curves (2020)'!AJ$16*1000000000</f>
        <v>15000000000</v>
      </c>
    </row>
    <row r="50" spans="1:42">
      <c r="A50" s="106" t="s">
        <v>283</v>
      </c>
      <c r="B50" s="107"/>
      <c r="C50" s="107"/>
      <c r="D50" s="107"/>
      <c r="E50" s="107">
        <f>'Small Refinery Exemptions'!E38</f>
        <v>160776000</v>
      </c>
      <c r="F50" s="107">
        <f>'Small Refinery Exemptions'!F38</f>
        <v>176639999.99999997</v>
      </c>
      <c r="G50" s="107">
        <f>'Small Refinery Exemptions'!G38</f>
        <v>242530000.00000006</v>
      </c>
      <c r="H50" s="107">
        <f>'Small Refinery Exemptions'!H38</f>
        <v>632638000</v>
      </c>
      <c r="I50" s="107">
        <f>'Small Refinery Exemptions'!I38</f>
        <v>1418560000</v>
      </c>
      <c r="J50" s="107">
        <f>'Small Refinery Exemptions'!J38</f>
        <v>1415836000</v>
      </c>
      <c r="K50" s="107">
        <f>'Small Refinery Exemptions'!K38</f>
        <v>1098580000</v>
      </c>
      <c r="L50" s="107">
        <f>'Small Refinery Exemptions'!L38</f>
        <v>563346000</v>
      </c>
      <c r="M50" s="107">
        <f>'Small Refinery Exemptions'!M38</f>
        <v>662571000</v>
      </c>
      <c r="N50" s="107">
        <f>'Small Refinery Exemptions'!N38</f>
        <v>534705000</v>
      </c>
      <c r="O50" s="107">
        <f>'Small Refinery Exemptions'!O38</f>
        <v>479920000</v>
      </c>
      <c r="P50" s="161">
        <f>'Small Refinery Exemptions'!P38</f>
        <v>506922000</v>
      </c>
      <c r="Q50" s="161">
        <f>'Small Refinery Exemptions'!Q38</f>
        <v>588294000</v>
      </c>
      <c r="R50" s="161">
        <f>'Small Refinery Exemptions'!R38</f>
        <v>647549875.14611137</v>
      </c>
      <c r="S50" s="161">
        <f>'Small Refinery Exemptions'!S38</f>
        <v>706569183.40718186</v>
      </c>
      <c r="T50" s="161">
        <f>'Small Refinery Exemptions'!T38</f>
        <v>575230441.0797292</v>
      </c>
      <c r="U50" s="161">
        <f>'Small Refinery Exemptions'!U38</f>
        <v>605155724.14168048</v>
      </c>
      <c r="V50" s="161">
        <f>'Small Refinery Exemptions'!V38</f>
        <v>605986982.00451243</v>
      </c>
      <c r="W50" s="161">
        <f>'Small Refinery Exemptions'!W38</f>
        <v>526186227.17264247</v>
      </c>
      <c r="X50" s="161">
        <f>'Small Refinery Exemptions'!X38</f>
        <v>540317610.8407861</v>
      </c>
      <c r="Y50" s="161">
        <f>'Small Refinery Exemptions'!Y38</f>
        <v>488779623.3452034</v>
      </c>
      <c r="Z50" s="161">
        <f>'Small Refinery Exemptions'!Z38</f>
        <v>241896038.08410579</v>
      </c>
      <c r="AA50" s="161">
        <f>'Small Refinery Exemptions'!AA38</f>
        <v>349959560.25226301</v>
      </c>
      <c r="AB50" s="161">
        <f>'Small Refinery Exemptions'!AB38</f>
        <v>419785220.73014933</v>
      </c>
      <c r="AC50" s="161">
        <f>'Small Refinery Exemptions'!AC38</f>
        <v>496260944.11069125</v>
      </c>
      <c r="AD50" s="161">
        <f>'Small Refinery Exemptions'!AD38</f>
        <v>487948365.48237145</v>
      </c>
      <c r="AE50" s="161">
        <f>'Small Refinery Exemptions'!AE38</f>
        <v>500417233.42485112</v>
      </c>
      <c r="AF50" s="161">
        <f>'Small Refinery Exemptions'!AF38</f>
        <v>430591572.94696492</v>
      </c>
      <c r="AG50" s="161">
        <f>'Small Refinery Exemptions'!AG38</f>
        <v>350790818.11509496</v>
      </c>
      <c r="AH50" s="161">
        <f>'Small Refinery Exemptions'!AP38</f>
        <v>458854340.28325212</v>
      </c>
      <c r="AI50" s="161">
        <f>'Small Refinery Exemptions'!AQ38</f>
        <v>0</v>
      </c>
      <c r="AJ50" s="161">
        <f>'Small Refinery Exemptions'!AR38</f>
        <v>0</v>
      </c>
      <c r="AK50" s="161">
        <f>'Small Refinery Exemptions'!AS38</f>
        <v>0</v>
      </c>
      <c r="AL50" s="161">
        <f>'Small Refinery Exemptions'!AT38</f>
        <v>0</v>
      </c>
      <c r="AM50" s="161">
        <f>'Small Refinery Exemptions'!AU38</f>
        <v>0</v>
      </c>
      <c r="AN50" s="161">
        <f>'Small Refinery Exemptions'!AV38</f>
        <v>0</v>
      </c>
      <c r="AO50" s="161">
        <f>'Small Refinery Exemptions'!AW38</f>
        <v>0</v>
      </c>
      <c r="AP50" s="161">
        <f>'Small Refinery Exemptions'!AX38</f>
        <v>0</v>
      </c>
    </row>
    <row r="51" spans="1:42">
      <c r="A51" s="106" t="s">
        <v>304</v>
      </c>
      <c r="B51" s="107">
        <f t="shared" ref="B51:AC51" si="38">B49-B50</f>
        <v>12600000000</v>
      </c>
      <c r="C51" s="107">
        <f t="shared" si="38"/>
        <v>13200000000</v>
      </c>
      <c r="D51" s="107">
        <f t="shared" si="38"/>
        <v>13880000000</v>
      </c>
      <c r="E51" s="107">
        <f t="shared" si="38"/>
        <v>13449224000</v>
      </c>
      <c r="F51" s="107">
        <f t="shared" si="38"/>
        <v>13873360000</v>
      </c>
      <c r="G51" s="107">
        <f t="shared" si="38"/>
        <v>14257470000</v>
      </c>
      <c r="H51" s="107">
        <f t="shared" si="38"/>
        <v>14367362000</v>
      </c>
      <c r="I51" s="107">
        <f t="shared" si="38"/>
        <v>13581440000</v>
      </c>
      <c r="J51" s="107">
        <f t="shared" si="38"/>
        <v>13584164000</v>
      </c>
      <c r="K51" s="107">
        <f t="shared" si="38"/>
        <v>11401419999.999998</v>
      </c>
      <c r="L51" s="107">
        <f t="shared" si="38"/>
        <v>13226654000</v>
      </c>
      <c r="M51" s="107">
        <f t="shared" si="38"/>
        <v>14337428999.999998</v>
      </c>
      <c r="N51" s="107">
        <f>N49-N50</f>
        <v>14715295000</v>
      </c>
      <c r="O51" s="107">
        <f>O49-O50</f>
        <v>14520080000</v>
      </c>
      <c r="P51" s="159">
        <f t="shared" si="38"/>
        <v>14493078000</v>
      </c>
      <c r="Q51" s="159">
        <f t="shared" si="38"/>
        <v>14411705999.999996</v>
      </c>
      <c r="R51" s="159">
        <f t="shared" si="38"/>
        <v>14352450124.853889</v>
      </c>
      <c r="S51" s="159">
        <f t="shared" si="38"/>
        <v>14293430816.592815</v>
      </c>
      <c r="T51" s="159">
        <f t="shared" si="38"/>
        <v>14424769558.920271</v>
      </c>
      <c r="U51" s="159">
        <f t="shared" si="38"/>
        <v>14394844275.85832</v>
      </c>
      <c r="V51" s="159">
        <f t="shared" si="38"/>
        <v>14394013017.995487</v>
      </c>
      <c r="W51" s="159">
        <f t="shared" si="38"/>
        <v>14473813772.827358</v>
      </c>
      <c r="X51" s="159">
        <f t="shared" si="38"/>
        <v>14459682389.159214</v>
      </c>
      <c r="Y51" s="159">
        <f t="shared" si="38"/>
        <v>14511220376.654797</v>
      </c>
      <c r="Z51" s="159">
        <f t="shared" si="38"/>
        <v>14758103961.915894</v>
      </c>
      <c r="AA51" s="159">
        <f t="shared" si="38"/>
        <v>14650040439.747742</v>
      </c>
      <c r="AB51" s="159">
        <f t="shared" si="38"/>
        <v>14580214779.26985</v>
      </c>
      <c r="AC51" s="159">
        <f t="shared" si="38"/>
        <v>14503739055.889309</v>
      </c>
      <c r="AD51" s="159">
        <f>AD49-AD50</f>
        <v>14512051634.517628</v>
      </c>
      <c r="AE51" s="159">
        <f>AE49-AE50</f>
        <v>14499582766.57515</v>
      </c>
      <c r="AF51" s="159">
        <f>AF49-AF50</f>
        <v>14569408427.05304</v>
      </c>
      <c r="AG51" s="159">
        <f t="shared" ref="AG51:AO51" si="39">AG49-AG50</f>
        <v>14649209181.884912</v>
      </c>
      <c r="AH51" s="159">
        <f t="shared" si="39"/>
        <v>14541145659.716755</v>
      </c>
      <c r="AI51" s="159">
        <f t="shared" si="39"/>
        <v>15000000000</v>
      </c>
      <c r="AJ51" s="159">
        <f t="shared" si="39"/>
        <v>15000000000</v>
      </c>
      <c r="AK51" s="159">
        <f t="shared" si="39"/>
        <v>15000000000.000004</v>
      </c>
      <c r="AL51" s="159">
        <f t="shared" si="39"/>
        <v>15000000000.000008</v>
      </c>
      <c r="AM51" s="159">
        <f t="shared" si="39"/>
        <v>15000000000.000008</v>
      </c>
      <c r="AN51" s="159">
        <f t="shared" si="39"/>
        <v>15000000000</v>
      </c>
      <c r="AO51" s="159">
        <f t="shared" si="39"/>
        <v>15000000000</v>
      </c>
      <c r="AP51" s="159">
        <f>AP49-AP50</f>
        <v>15000000000</v>
      </c>
    </row>
    <row r="52" spans="1:42">
      <c r="P52" s="163"/>
      <c r="Q52" s="163"/>
      <c r="R52" s="163"/>
      <c r="S52" s="163"/>
      <c r="T52" s="163"/>
      <c r="U52" s="163"/>
      <c r="V52" s="163"/>
      <c r="W52" s="163"/>
      <c r="X52" s="163"/>
      <c r="Y52" s="163"/>
      <c r="Z52" s="163"/>
      <c r="AA52" s="163"/>
      <c r="AB52" s="163"/>
      <c r="AC52" s="163"/>
      <c r="AD52" s="163"/>
      <c r="AE52" s="163"/>
      <c r="AF52" s="163"/>
      <c r="AG52" s="163"/>
      <c r="AH52" s="163"/>
      <c r="AI52" s="163"/>
      <c r="AJ52" s="163"/>
      <c r="AK52" s="163"/>
      <c r="AL52" s="163"/>
      <c r="AM52" s="163"/>
      <c r="AN52" s="163"/>
      <c r="AO52" s="163"/>
      <c r="AP52" s="163"/>
    </row>
    <row r="53" spans="1:42">
      <c r="A53" s="106" t="s">
        <v>305</v>
      </c>
      <c r="D53" s="113">
        <f t="shared" ref="D53:K53" si="40">D18-(D10*D6)-D14</f>
        <v>695538711.63942766</v>
      </c>
      <c r="E53" s="113">
        <f t="shared" si="40"/>
        <v>111532662.17336226</v>
      </c>
      <c r="F53" s="113">
        <f t="shared" si="40"/>
        <v>77577229.226966381</v>
      </c>
      <c r="G53" s="113">
        <f t="shared" si="40"/>
        <v>452494435.43408489</v>
      </c>
      <c r="H53" s="113">
        <f t="shared" si="40"/>
        <v>878121866.63709116</v>
      </c>
      <c r="I53" s="113">
        <f t="shared" si="40"/>
        <v>754325636.53902721</v>
      </c>
      <c r="J53" s="113">
        <f t="shared" si="40"/>
        <v>1215660314.8663955</v>
      </c>
      <c r="K53" s="113">
        <f t="shared" si="40"/>
        <v>318199289.54225874</v>
      </c>
      <c r="L53" s="113">
        <f>L18-(L10*L6)-L14</f>
        <v>646892918.25352049</v>
      </c>
      <c r="M53" s="113">
        <f>M18-(M10*M6)-M14</f>
        <v>580975717.04791164</v>
      </c>
      <c r="N53" s="113">
        <f>N18-(N10*N6)-N14</f>
        <v>547846106.1057806</v>
      </c>
      <c r="O53" s="113">
        <f>O18-(O10*O6)-O14</f>
        <v>505661771.85031796</v>
      </c>
      <c r="P53" s="164">
        <f>P18-(P10*P6)-P14</f>
        <v>253206277.65263653</v>
      </c>
      <c r="Q53" s="164">
        <f t="shared" ref="Q53:X53" si="41">Q18-(Q10*Q6)-Q14</f>
        <v>-3886772096.3566933</v>
      </c>
      <c r="R53" s="164">
        <f t="shared" si="41"/>
        <v>-4152503423.1212463</v>
      </c>
      <c r="S53" s="164">
        <f t="shared" si="41"/>
        <v>-3886501681.8297443</v>
      </c>
      <c r="T53" s="164">
        <f t="shared" si="41"/>
        <v>-4846124490.4156208</v>
      </c>
      <c r="U53" s="164">
        <f t="shared" si="41"/>
        <v>-4412751681.1686707</v>
      </c>
      <c r="V53" s="164">
        <f t="shared" si="41"/>
        <v>-4001059645.4466782</v>
      </c>
      <c r="W53" s="164">
        <f t="shared" si="41"/>
        <v>-3609084745.9190807</v>
      </c>
      <c r="X53" s="164">
        <f t="shared" si="41"/>
        <v>-3285735572.0004826</v>
      </c>
      <c r="Y53" s="164"/>
      <c r="Z53" s="164"/>
      <c r="AA53" s="164"/>
      <c r="AB53" s="164"/>
      <c r="AC53" s="164"/>
      <c r="AD53" s="164"/>
      <c r="AE53" s="164"/>
      <c r="AF53" s="164"/>
      <c r="AG53" s="164"/>
      <c r="AH53" s="164"/>
      <c r="AI53" s="164"/>
      <c r="AJ53" s="164"/>
      <c r="AK53" s="164"/>
      <c r="AL53" s="164"/>
      <c r="AM53" s="164"/>
      <c r="AN53" s="164"/>
      <c r="AO53" s="164"/>
      <c r="AP53" s="164"/>
    </row>
    <row r="54" spans="1:42">
      <c r="A54" s="106" t="s">
        <v>283</v>
      </c>
      <c r="D54" s="107">
        <f>'Small Refinery Exemptions'!E52</f>
        <v>38295.525199843134</v>
      </c>
      <c r="E54" s="107">
        <f>'Small Refinery Exemptions'!F52</f>
        <v>775.47545449394966</v>
      </c>
      <c r="F54" s="107">
        <f>'Small Refinery Exemptions'!G52</f>
        <v>4097.9340621065348</v>
      </c>
      <c r="G54" s="107">
        <f>'Small Refinery Exemptions'!H52</f>
        <v>27732.116303116083</v>
      </c>
      <c r="H54" s="107">
        <f>'Small Refinery Exemptions'!I52</f>
        <v>203824.15586577728</v>
      </c>
      <c r="I54" s="107">
        <f>'Small Refinery Exemptions'!J52</f>
        <v>214833.33850763366</v>
      </c>
      <c r="J54" s="107">
        <f>'Small Refinery Exemptions'!K52</f>
        <v>96896.825535196811</v>
      </c>
      <c r="K54" s="107">
        <f>'Small Refinery Exemptions'!L52</f>
        <v>2287.4786854833364</v>
      </c>
      <c r="L54" s="107">
        <f>'Small Refinery Exemptions'!M52</f>
        <v>11620.245167501271</v>
      </c>
      <c r="M54" s="107">
        <f>'Small Refinery Exemptions'!N52</f>
        <v>7977.2829839773476</v>
      </c>
      <c r="N54" s="107">
        <f>'Small Refinery Exemptions'!O52</f>
        <v>7961.3762449771166</v>
      </c>
      <c r="O54" s="107">
        <f>'Small Refinery Exemptions'!P52</f>
        <v>6.7674621939659119E-2</v>
      </c>
      <c r="P54" s="161">
        <f>'Small Refinery Exemptions'!Q52</f>
        <v>0.14286463707685471</v>
      </c>
      <c r="Q54" s="161">
        <f>'Small Refinery Exemptions'!R52</f>
        <v>7.7144496142864227E-2</v>
      </c>
      <c r="R54" s="161">
        <f>'Small Refinery Exemptions'!S52</f>
        <v>8.23378786444664E-2</v>
      </c>
      <c r="S54" s="161">
        <f>'Small Refinery Exemptions'!T52</f>
        <v>6.5019704401493073E-2</v>
      </c>
      <c r="T54" s="161">
        <f>'Small Refinery Exemptions'!U52</f>
        <v>0.14685314893722534</v>
      </c>
      <c r="U54" s="161">
        <f>'Small Refinery Exemptions'!V52</f>
        <v>0.14069759845733643</v>
      </c>
      <c r="V54" s="161">
        <f>'Small Refinery Exemptions'!W52</f>
        <v>0.12282830476760864</v>
      </c>
      <c r="W54" s="161">
        <f>'Small Refinery Exemptions'!X52</f>
        <v>0.12188407778739929</v>
      </c>
      <c r="X54" s="161">
        <f>'Small Refinery Exemptions'!Y52</f>
        <v>0.10158887505531311</v>
      </c>
      <c r="Y54" s="161"/>
      <c r="Z54" s="161"/>
      <c r="AA54" s="161"/>
      <c r="AB54" s="161"/>
      <c r="AC54" s="161"/>
      <c r="AD54" s="161"/>
      <c r="AE54" s="161"/>
      <c r="AF54" s="161"/>
      <c r="AG54" s="161"/>
      <c r="AH54" s="161"/>
      <c r="AI54" s="161"/>
      <c r="AJ54" s="161"/>
      <c r="AK54" s="161"/>
      <c r="AL54" s="161"/>
      <c r="AM54" s="161"/>
      <c r="AN54" s="161"/>
      <c r="AO54" s="161"/>
      <c r="AP54" s="161"/>
    </row>
    <row r="55" spans="1:42">
      <c r="A55" s="106" t="s">
        <v>306</v>
      </c>
      <c r="D55" s="107">
        <f>D53-D54</f>
        <v>695500416.11422777</v>
      </c>
      <c r="E55" s="107">
        <f t="shared" ref="E55:K55" si="42">E53-E54</f>
        <v>111531886.69790776</v>
      </c>
      <c r="F55" s="107">
        <f t="shared" si="42"/>
        <v>77573131.292904273</v>
      </c>
      <c r="G55" s="107">
        <f t="shared" si="42"/>
        <v>452466703.31778181</v>
      </c>
      <c r="H55" s="107">
        <f t="shared" si="42"/>
        <v>877918042.48122537</v>
      </c>
      <c r="I55" s="107">
        <f t="shared" si="42"/>
        <v>754110803.20051956</v>
      </c>
      <c r="J55" s="107">
        <f t="shared" si="42"/>
        <v>1215563418.0408602</v>
      </c>
      <c r="K55" s="107">
        <f t="shared" si="42"/>
        <v>318197002.06357324</v>
      </c>
      <c r="L55" s="107">
        <f>L53-L54</f>
        <v>646881298.00835299</v>
      </c>
      <c r="M55" s="107">
        <f>M53-M54</f>
        <v>580967739.76492763</v>
      </c>
      <c r="N55" s="107">
        <f>N53-N54</f>
        <v>547838144.72953558</v>
      </c>
      <c r="O55" s="107">
        <f>O53-O54</f>
        <v>505661771.78264332</v>
      </c>
      <c r="P55" s="161">
        <f t="shared" ref="P55:X55" si="43">P53-P54</f>
        <v>253206277.50977188</v>
      </c>
      <c r="Q55" s="161">
        <f t="shared" si="43"/>
        <v>-3886772096.4338379</v>
      </c>
      <c r="R55" s="161">
        <f t="shared" si="43"/>
        <v>-4152503423.2035842</v>
      </c>
      <c r="S55" s="161">
        <f t="shared" si="43"/>
        <v>-3886501681.8947639</v>
      </c>
      <c r="T55" s="161">
        <f t="shared" si="43"/>
        <v>-4846124490.5624743</v>
      </c>
      <c r="U55" s="161">
        <f t="shared" si="43"/>
        <v>-4412751681.3093681</v>
      </c>
      <c r="V55" s="161">
        <f t="shared" si="43"/>
        <v>-4001059645.5695066</v>
      </c>
      <c r="W55" s="161">
        <f t="shared" si="43"/>
        <v>-3609084746.0409646</v>
      </c>
      <c r="X55" s="161">
        <f t="shared" si="43"/>
        <v>-3285735572.1020713</v>
      </c>
      <c r="Y55" s="161"/>
      <c r="Z55" s="161"/>
      <c r="AA55" s="161"/>
      <c r="AB55" s="161"/>
      <c r="AC55" s="161"/>
      <c r="AD55" s="161"/>
      <c r="AE55" s="161"/>
      <c r="AF55" s="161"/>
      <c r="AG55" s="161"/>
      <c r="AH55" s="161"/>
      <c r="AI55" s="161"/>
      <c r="AJ55" s="161"/>
      <c r="AK55" s="161"/>
      <c r="AL55" s="161"/>
      <c r="AM55" s="161"/>
      <c r="AN55" s="161"/>
      <c r="AO55" s="161"/>
      <c r="AP55" s="161"/>
    </row>
    <row r="58" spans="1:42">
      <c r="A58" s="106" t="s">
        <v>307</v>
      </c>
      <c r="M58" s="106">
        <f>8.76*42*365/1000</f>
        <v>134.29080000000002</v>
      </c>
      <c r="N58" s="106">
        <f>8.74*365*42/1000</f>
        <v>133.98419999999999</v>
      </c>
    </row>
    <row r="59" spans="1:42">
      <c r="M59" s="106">
        <f>M58*'Small Refinery Exemptions'!N29</f>
        <v>11.132707320000002</v>
      </c>
      <c r="N59" s="106">
        <f>N58*'Small Refinery Exemptions'!O29</f>
        <v>11.482445939999998</v>
      </c>
    </row>
    <row r="62" spans="1:42">
      <c r="N62" s="106">
        <f>N2*1.5</f>
        <v>3275240976</v>
      </c>
      <c r="O62" s="106">
        <f>O2*1.5</f>
        <v>3110985096</v>
      </c>
    </row>
    <row r="63" spans="1:42">
      <c r="N63" s="106">
        <f>SUM(N3:N4)*1.7</f>
        <v>5067206046.3000002</v>
      </c>
      <c r="O63" s="106">
        <f>SUM(O3:O4)*1.7</f>
        <v>6172803893.8000002</v>
      </c>
    </row>
    <row r="64" spans="1:42">
      <c r="N64" s="106">
        <f>SUM(N62:N63)</f>
        <v>8342447022.3000002</v>
      </c>
      <c r="O64" s="106">
        <f>SUM(O62:O63)</f>
        <v>9283788989.7999992</v>
      </c>
    </row>
    <row r="66" spans="1:42">
      <c r="N66" s="106">
        <f>N5*1.6</f>
        <v>8262725476.8000002</v>
      </c>
      <c r="O66" s="106">
        <f>O5*1.6</f>
        <v>9128081884.8000011</v>
      </c>
    </row>
    <row r="72" spans="1:42">
      <c r="A72" s="106" t="s">
        <v>273</v>
      </c>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07"/>
      <c r="AO72" s="107"/>
      <c r="AP72" s="107"/>
    </row>
    <row r="73" spans="1:42">
      <c r="A73" s="106" t="s">
        <v>308</v>
      </c>
      <c r="K73" s="107"/>
      <c r="L73" s="107"/>
      <c r="M73" s="107"/>
      <c r="N73" s="107"/>
      <c r="O73" s="107"/>
      <c r="P73" s="107"/>
      <c r="Q73" s="107"/>
      <c r="R73" s="107"/>
      <c r="S73" s="107"/>
      <c r="T73" s="107"/>
      <c r="U73" s="107"/>
      <c r="V73" s="107"/>
      <c r="W73" s="107"/>
      <c r="X73" s="107"/>
      <c r="Y73" s="107"/>
      <c r="Z73" s="107"/>
      <c r="AA73" s="107"/>
      <c r="AB73" s="107"/>
      <c r="AC73" s="107"/>
      <c r="AD73" s="107"/>
      <c r="AE73" s="107"/>
      <c r="AF73" s="107"/>
      <c r="AG73" s="107"/>
      <c r="AH73" s="107"/>
      <c r="AI73" s="107"/>
      <c r="AJ73" s="107"/>
      <c r="AK73" s="107"/>
      <c r="AL73" s="107"/>
      <c r="AM73" s="107"/>
      <c r="AN73" s="107"/>
      <c r="AO73" s="107"/>
      <c r="AP73" s="107"/>
    </row>
    <row r="74" spans="1:42">
      <c r="L74" s="107"/>
      <c r="M74" s="107"/>
      <c r="N74" s="107"/>
      <c r="O74" s="107"/>
      <c r="P74" s="107"/>
      <c r="Q74" s="107"/>
      <c r="R74" s="107"/>
      <c r="S74" s="107"/>
      <c r="T74" s="107"/>
      <c r="U74" s="107"/>
      <c r="V74" s="107"/>
      <c r="W74" s="107"/>
      <c r="X74" s="107"/>
      <c r="Y74" s="107"/>
      <c r="Z74" s="107"/>
      <c r="AA74" s="107"/>
      <c r="AB74" s="107"/>
      <c r="AC74" s="107"/>
      <c r="AD74" s="107"/>
      <c r="AE74" s="107"/>
      <c r="AF74" s="107"/>
      <c r="AG74" s="107"/>
      <c r="AH74" s="107"/>
      <c r="AI74" s="107"/>
      <c r="AJ74" s="107"/>
      <c r="AK74" s="107"/>
      <c r="AL74" s="107"/>
      <c r="AM74" s="107"/>
      <c r="AN74" s="107"/>
      <c r="AO74" s="107"/>
      <c r="AP74" s="107"/>
    </row>
    <row r="75" spans="1:42">
      <c r="A75" s="106" t="s">
        <v>309</v>
      </c>
      <c r="B75" s="107">
        <f t="shared" ref="B75:O75" si="44">IF(B22-B25&lt;0,0,B22-B25)</f>
        <v>0</v>
      </c>
      <c r="C75" s="107">
        <f t="shared" si="44"/>
        <v>0</v>
      </c>
      <c r="D75" s="107">
        <f t="shared" si="44"/>
        <v>167763642.63942766</v>
      </c>
      <c r="E75" s="107">
        <f t="shared" si="44"/>
        <v>0</v>
      </c>
      <c r="F75" s="107">
        <f t="shared" si="44"/>
        <v>0</v>
      </c>
      <c r="G75" s="107">
        <f t="shared" si="44"/>
        <v>367292500.43408489</v>
      </c>
      <c r="H75" s="107">
        <f t="shared" si="44"/>
        <v>749321846.63709116</v>
      </c>
      <c r="I75" s="107">
        <f t="shared" si="44"/>
        <v>603349524.53902721</v>
      </c>
      <c r="J75" s="112">
        <f t="shared" si="44"/>
        <v>930993284.86639547</v>
      </c>
      <c r="K75" s="107">
        <f t="shared" si="44"/>
        <v>1402425509</v>
      </c>
      <c r="L75" s="107">
        <f t="shared" si="44"/>
        <v>1881961412</v>
      </c>
      <c r="M75" s="107">
        <f t="shared" si="44"/>
        <v>1983601808</v>
      </c>
      <c r="N75" s="107">
        <f t="shared" si="44"/>
        <v>2095602531.0000005</v>
      </c>
      <c r="O75" s="107">
        <f t="shared" si="44"/>
        <v>2245328745</v>
      </c>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07"/>
      <c r="AO75" s="107"/>
      <c r="AP75" s="107"/>
    </row>
    <row r="76" spans="1:42">
      <c r="J76" s="114"/>
      <c r="L76" s="107"/>
      <c r="M76" s="107"/>
      <c r="N76" s="107"/>
      <c r="O76" s="107"/>
      <c r="P76" s="107"/>
      <c r="Q76" s="107"/>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s="107"/>
      <c r="AO76" s="107"/>
      <c r="AP76" s="107"/>
    </row>
    <row r="77" spans="1:42">
      <c r="A77" s="106" t="s">
        <v>310</v>
      </c>
      <c r="B77" s="107">
        <f>IF(B75&lt;0,0,B75/1.54)</f>
        <v>0</v>
      </c>
      <c r="C77" s="107">
        <f t="shared" ref="C77:J77" si="45">IF(C75&lt;0,0,C75/1.54)</f>
        <v>0</v>
      </c>
      <c r="D77" s="107">
        <f t="shared" si="45"/>
        <v>108937430.28534263</v>
      </c>
      <c r="E77" s="107">
        <f t="shared" si="45"/>
        <v>0</v>
      </c>
      <c r="F77" s="107">
        <f t="shared" si="45"/>
        <v>0</v>
      </c>
      <c r="G77" s="107">
        <f t="shared" si="45"/>
        <v>238501623.65849668</v>
      </c>
      <c r="H77" s="107">
        <f t="shared" si="45"/>
        <v>486572627.68642282</v>
      </c>
      <c r="I77" s="107">
        <f t="shared" si="45"/>
        <v>391785405.54482287</v>
      </c>
      <c r="J77" s="112">
        <f t="shared" si="45"/>
        <v>604541094.06908798</v>
      </c>
      <c r="K77" s="112">
        <f>IF(K75&lt;0,0,K75/K6)</f>
        <v>896389433.95843744</v>
      </c>
      <c r="L77" s="112">
        <f>IF(L75&lt;0,0,L75/L6)</f>
        <v>1189965861.9664972</v>
      </c>
      <c r="M77" s="112">
        <f>IF(M75&lt;0,0,M75/M6)</f>
        <v>1238902671.6147959</v>
      </c>
      <c r="N77" s="112">
        <f>IF(N75&lt;0,0,N75/N6)</f>
        <v>1298198451.8024569</v>
      </c>
      <c r="O77" s="112">
        <f>IF(O75&lt;0,0,O75/O6)</f>
        <v>1380528408.4204767</v>
      </c>
      <c r="P77" s="107"/>
      <c r="Q77" s="107"/>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s="107"/>
      <c r="AO77" s="107"/>
      <c r="AP77" s="107"/>
    </row>
    <row r="78" spans="1:42">
      <c r="A78" s="106" t="s">
        <v>311</v>
      </c>
      <c r="B78" s="107">
        <f t="shared" ref="B78:J78" si="46">IF(B39&gt;0,B39/1.54,0)</f>
        <v>0</v>
      </c>
      <c r="C78" s="107">
        <f t="shared" si="46"/>
        <v>0</v>
      </c>
      <c r="D78" s="107">
        <f t="shared" si="46"/>
        <v>0</v>
      </c>
      <c r="E78" s="107">
        <f t="shared" si="46"/>
        <v>0</v>
      </c>
      <c r="F78" s="107">
        <f t="shared" si="46"/>
        <v>0</v>
      </c>
      <c r="G78" s="107">
        <f t="shared" si="46"/>
        <v>106090637.18579626</v>
      </c>
      <c r="H78" s="107">
        <f t="shared" si="46"/>
        <v>161194055.51067397</v>
      </c>
      <c r="I78" s="107">
        <f t="shared" si="46"/>
        <v>0</v>
      </c>
      <c r="J78" s="112">
        <f t="shared" si="46"/>
        <v>0</v>
      </c>
      <c r="K78" s="112">
        <f>IF(K39&gt;0,K39/K6,0)</f>
        <v>234554570.6569767</v>
      </c>
      <c r="L78" s="112">
        <f>IF(L39&gt;0,L39/L6,0)</f>
        <v>491056795.19270325</v>
      </c>
      <c r="M78" s="112">
        <f>IF(M39&gt;0,M39/M6,0)</f>
        <v>456580304.40048754</v>
      </c>
      <c r="N78" s="112">
        <f>IF(N39&gt;0,N39/N6,0)</f>
        <v>561565262.2941159</v>
      </c>
      <c r="O78" s="112">
        <f>IF(O39&gt;0,O39/O6,0)</f>
        <v>626827817.72657478</v>
      </c>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row>
    <row r="79" spans="1:42">
      <c r="A79" s="106" t="s">
        <v>312</v>
      </c>
      <c r="B79" s="107">
        <f t="shared" ref="B79:K79" si="47">B10+B77</f>
        <v>800000000</v>
      </c>
      <c r="C79" s="107">
        <f t="shared" si="47"/>
        <v>1000000000</v>
      </c>
      <c r="D79" s="107">
        <f t="shared" si="47"/>
        <v>1388937430.2853427</v>
      </c>
      <c r="E79" s="107">
        <f t="shared" si="47"/>
        <v>1630000000</v>
      </c>
      <c r="F79" s="107">
        <f t="shared" si="47"/>
        <v>1730000000</v>
      </c>
      <c r="G79" s="107">
        <f t="shared" si="47"/>
        <v>2138501623.6584966</v>
      </c>
      <c r="H79" s="107">
        <f t="shared" si="47"/>
        <v>2486572627.6864228</v>
      </c>
      <c r="I79" s="107">
        <f t="shared" si="47"/>
        <v>2491785405.5448227</v>
      </c>
      <c r="J79" s="112">
        <f t="shared" si="47"/>
        <v>2704541094.069088</v>
      </c>
      <c r="K79" s="112">
        <f t="shared" si="47"/>
        <v>3326389433.9584374</v>
      </c>
      <c r="L79" s="112">
        <f>L10+L77</f>
        <v>3619965861.9664974</v>
      </c>
      <c r="M79" s="112">
        <f>M10+M77</f>
        <v>3998902671.6147957</v>
      </c>
      <c r="N79" s="112">
        <f>N10+N77</f>
        <v>4118198451.8024569</v>
      </c>
      <c r="O79" s="112">
        <f>O10+O77</f>
        <v>4420528408.4204769</v>
      </c>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row>
    <row r="80" spans="1:42">
      <c r="A80" s="106" t="s">
        <v>313</v>
      </c>
      <c r="B80" s="107">
        <f t="shared" ref="B80:K80" si="48">B12+B78</f>
        <v>800000000</v>
      </c>
      <c r="C80" s="107">
        <f t="shared" si="48"/>
        <v>1000000000</v>
      </c>
      <c r="D80" s="107">
        <f t="shared" si="48"/>
        <v>1280000000</v>
      </c>
      <c r="E80" s="107">
        <f t="shared" si="48"/>
        <v>1607000678.2990732</v>
      </c>
      <c r="F80" s="107">
        <f t="shared" si="48"/>
        <v>1696502697.0283363</v>
      </c>
      <c r="G80" s="107">
        <f t="shared" si="48"/>
        <v>1958859486.5871563</v>
      </c>
      <c r="H80" s="107">
        <f t="shared" si="48"/>
        <v>2033474691.6906753</v>
      </c>
      <c r="I80" s="107">
        <f t="shared" si="48"/>
        <v>1806639604.8989706</v>
      </c>
      <c r="J80" s="112">
        <f t="shared" si="48"/>
        <v>1796606385.5119176</v>
      </c>
      <c r="K80" s="112">
        <f t="shared" si="48"/>
        <v>2434464570.6569767</v>
      </c>
      <c r="L80" s="112">
        <f>L12+L78</f>
        <v>2764666672.1402936</v>
      </c>
      <c r="M80" s="112">
        <f>M12+M78</f>
        <v>3032338904.1555748</v>
      </c>
      <c r="N80" s="112">
        <f>N12+N78</f>
        <v>3221151478.6314459</v>
      </c>
      <c r="O80" s="112">
        <f>O12+O78</f>
        <v>3511344320.1876063</v>
      </c>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07"/>
      <c r="AO80" s="107"/>
      <c r="AP80" s="107"/>
    </row>
    <row r="81" spans="1:42">
      <c r="B81" s="107"/>
      <c r="C81" s="107"/>
      <c r="D81" s="107"/>
      <c r="E81" s="107"/>
      <c r="F81" s="107"/>
      <c r="G81" s="107"/>
      <c r="H81" s="107"/>
      <c r="I81" s="107"/>
      <c r="J81" s="112"/>
      <c r="K81" s="112"/>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row>
    <row r="82" spans="1:42">
      <c r="A82" s="106" t="s">
        <v>314</v>
      </c>
      <c r="B82" s="107">
        <f t="shared" ref="B82:K82" si="49">B5</f>
        <v>1148127230</v>
      </c>
      <c r="C82" s="107">
        <f t="shared" si="49"/>
        <v>1169888805</v>
      </c>
      <c r="D82" s="107">
        <f t="shared" si="49"/>
        <v>2029133049</v>
      </c>
      <c r="E82" s="107">
        <f t="shared" si="49"/>
        <v>1985220612</v>
      </c>
      <c r="F82" s="107">
        <f t="shared" si="49"/>
        <v>2108061929</v>
      </c>
      <c r="G82" s="107">
        <f t="shared" si="49"/>
        <v>2903114924</v>
      </c>
      <c r="H82" s="107">
        <f t="shared" si="49"/>
        <v>2658035441</v>
      </c>
      <c r="I82" s="107">
        <f t="shared" si="49"/>
        <v>2669533040</v>
      </c>
      <c r="J82" s="112">
        <f t="shared" si="49"/>
        <v>2845319225</v>
      </c>
      <c r="K82" s="112">
        <f t="shared" si="49"/>
        <v>3053952222</v>
      </c>
      <c r="L82" s="112">
        <f>L5</f>
        <v>3291964808</v>
      </c>
      <c r="M82" s="112">
        <f>M5</f>
        <v>3838259872</v>
      </c>
      <c r="N82" s="112">
        <f>N5</f>
        <v>5164203423</v>
      </c>
      <c r="O82" s="112">
        <f>O5</f>
        <v>5705051178</v>
      </c>
    </row>
    <row r="83" spans="1:42">
      <c r="A83" s="106" t="s">
        <v>315</v>
      </c>
      <c r="B83" s="107">
        <f>B82-B80</f>
        <v>348127230</v>
      </c>
      <c r="C83" s="107">
        <f t="shared" ref="C83:J83" si="50">C82-C80</f>
        <v>169888805</v>
      </c>
      <c r="D83" s="107">
        <f t="shared" si="50"/>
        <v>749133049</v>
      </c>
      <c r="E83" s="107">
        <f t="shared" si="50"/>
        <v>378219933.70092678</v>
      </c>
      <c r="F83" s="107">
        <f t="shared" si="50"/>
        <v>411559231.97166371</v>
      </c>
      <c r="G83" s="107">
        <f t="shared" si="50"/>
        <v>944255437.4128437</v>
      </c>
      <c r="H83" s="107">
        <f t="shared" si="50"/>
        <v>624560749.30932474</v>
      </c>
      <c r="I83" s="107">
        <f t="shared" si="50"/>
        <v>862893435.1010294</v>
      </c>
      <c r="J83" s="112">
        <f t="shared" si="50"/>
        <v>1048712839.4880824</v>
      </c>
      <c r="K83" s="112">
        <f>K82-K80</f>
        <v>619487651.3430233</v>
      </c>
      <c r="L83" s="112">
        <f>L82-L80</f>
        <v>527298135.8597064</v>
      </c>
      <c r="M83" s="112">
        <f>M82-M80</f>
        <v>805920967.8444252</v>
      </c>
      <c r="N83" s="112">
        <f>N82-N80</f>
        <v>1943051944.3685541</v>
      </c>
      <c r="O83" s="112">
        <f>O82-O80</f>
        <v>2193706857.8123937</v>
      </c>
    </row>
    <row r="84" spans="1:42">
      <c r="A84" s="106" t="s">
        <v>316</v>
      </c>
      <c r="B84" s="107">
        <v>19975945</v>
      </c>
      <c r="C84" s="107">
        <v>59901129</v>
      </c>
      <c r="D84" s="107">
        <v>66798096</v>
      </c>
      <c r="E84" s="107">
        <v>126450435</v>
      </c>
      <c r="F84" s="107">
        <v>163348743</v>
      </c>
      <c r="G84" s="107">
        <v>170005865</v>
      </c>
      <c r="H84" s="107">
        <v>200000000</v>
      </c>
      <c r="I84" s="107">
        <v>275000000</v>
      </c>
      <c r="J84" s="112">
        <v>350000000</v>
      </c>
      <c r="K84" s="112">
        <v>350000000</v>
      </c>
      <c r="L84" s="112">
        <v>350000000</v>
      </c>
      <c r="M84" s="112">
        <v>350000000</v>
      </c>
      <c r="N84" s="112">
        <v>350000000</v>
      </c>
      <c r="O84" s="112">
        <v>350000000</v>
      </c>
    </row>
    <row r="85" spans="1:42">
      <c r="A85" s="106" t="s">
        <v>317</v>
      </c>
      <c r="B85" s="107">
        <v>8814907</v>
      </c>
      <c r="C85" s="107">
        <v>116939022</v>
      </c>
      <c r="D85" s="107">
        <v>112844869</v>
      </c>
      <c r="E85" s="107">
        <v>165157935</v>
      </c>
      <c r="F85" s="107">
        <v>257671157</v>
      </c>
      <c r="G85" s="107">
        <v>335464394</v>
      </c>
      <c r="H85" s="107">
        <v>450000000</v>
      </c>
      <c r="I85" s="107">
        <v>570000000</v>
      </c>
      <c r="J85" s="112">
        <v>650000000</v>
      </c>
      <c r="K85" s="112">
        <v>650000000</v>
      </c>
      <c r="L85" s="112">
        <v>650000000</v>
      </c>
      <c r="M85" s="112">
        <v>650000000</v>
      </c>
      <c r="N85" s="112">
        <v>650000000</v>
      </c>
      <c r="O85" s="112">
        <v>650000000</v>
      </c>
    </row>
    <row r="86" spans="1:42">
      <c r="A86" s="106" t="s">
        <v>318</v>
      </c>
      <c r="B86" s="107"/>
      <c r="C86" s="107"/>
      <c r="D86" s="107"/>
      <c r="E86" s="107"/>
      <c r="F86" s="107"/>
      <c r="G86" s="107"/>
      <c r="H86" s="107"/>
      <c r="I86" s="107"/>
      <c r="J86" s="112"/>
      <c r="K86" s="112"/>
    </row>
    <row r="87" spans="1:42">
      <c r="A87" s="106" t="s">
        <v>319</v>
      </c>
      <c r="B87" s="107">
        <f>B85+B84</f>
        <v>28790852</v>
      </c>
      <c r="C87" s="107">
        <f t="shared" ref="C87:J87" si="51">C85+C84</f>
        <v>176840151</v>
      </c>
      <c r="D87" s="107">
        <f t="shared" si="51"/>
        <v>179642965</v>
      </c>
      <c r="E87" s="107">
        <f t="shared" si="51"/>
        <v>291608370</v>
      </c>
      <c r="F87" s="107">
        <f t="shared" si="51"/>
        <v>421019900</v>
      </c>
      <c r="G87" s="107">
        <f t="shared" si="51"/>
        <v>505470259</v>
      </c>
      <c r="H87" s="107">
        <f t="shared" si="51"/>
        <v>650000000</v>
      </c>
      <c r="I87" s="107">
        <f t="shared" si="51"/>
        <v>845000000</v>
      </c>
      <c r="J87" s="112">
        <f t="shared" si="51"/>
        <v>1000000000</v>
      </c>
      <c r="K87" s="112">
        <f>K85+K84</f>
        <v>1000000000</v>
      </c>
      <c r="L87" s="112">
        <f>L85+L84</f>
        <v>1000000000</v>
      </c>
      <c r="M87" s="112">
        <f>M85+M84</f>
        <v>1000000000</v>
      </c>
      <c r="N87" s="112">
        <f>N85+N84</f>
        <v>1000000000</v>
      </c>
      <c r="O87" s="112">
        <f>O85+O84</f>
        <v>1000000000</v>
      </c>
    </row>
    <row r="88" spans="1:42">
      <c r="A88" s="106" t="s">
        <v>320</v>
      </c>
      <c r="B88" s="107"/>
      <c r="C88" s="107"/>
      <c r="D88" s="107"/>
      <c r="E88" s="107"/>
      <c r="F88" s="107"/>
      <c r="G88" s="107"/>
      <c r="H88" s="107"/>
      <c r="I88" s="107"/>
      <c r="J88" s="10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66B26-4DCD-402C-A5A5-0A6FCF63FB0E}">
  <dimension ref="A1:R87"/>
  <sheetViews>
    <sheetView zoomScaleNormal="100" workbookViewId="0">
      <pane xSplit="1" ySplit="1" topLeftCell="H2" activePane="bottomRight" state="frozen"/>
      <selection activeCell="AD6" sqref="AD6"/>
      <selection pane="topRight" activeCell="AD6" sqref="AD6"/>
      <selection pane="bottomLeft" activeCell="AD6" sqref="AD6"/>
      <selection pane="bottomRight" activeCell="AD6" sqref="AD6"/>
    </sheetView>
  </sheetViews>
  <sheetFormatPr defaultColWidth="9.140625" defaultRowHeight="15.75"/>
  <cols>
    <col min="1" max="1" width="30.85546875" style="115" customWidth="1"/>
    <col min="2" max="18" width="14.28515625" style="115" customWidth="1"/>
    <col min="19" max="16384" width="9.140625" style="115"/>
  </cols>
  <sheetData>
    <row r="1" spans="1:18">
      <c r="B1" s="115">
        <v>2010</v>
      </c>
      <c r="C1" s="115">
        <v>2011</v>
      </c>
      <c r="D1" s="115">
        <v>2012</v>
      </c>
      <c r="E1" s="115">
        <v>2013</v>
      </c>
      <c r="F1" s="115">
        <v>2014</v>
      </c>
      <c r="G1" s="115">
        <v>2015</v>
      </c>
      <c r="H1" s="115">
        <v>2016</v>
      </c>
      <c r="I1" s="115">
        <v>2017</v>
      </c>
      <c r="J1" s="115">
        <v>2018</v>
      </c>
      <c r="K1" s="115">
        <v>2019</v>
      </c>
      <c r="L1" s="115">
        <v>2020</v>
      </c>
      <c r="M1" s="115">
        <v>2021</v>
      </c>
      <c r="N1" s="115">
        <v>2022</v>
      </c>
      <c r="O1" s="115">
        <v>2023</v>
      </c>
      <c r="P1" s="115">
        <v>2024</v>
      </c>
      <c r="Q1" s="115">
        <v>2025</v>
      </c>
      <c r="R1" s="115">
        <v>2026</v>
      </c>
    </row>
    <row r="2" spans="1:18">
      <c r="A2" s="115" t="s">
        <v>321</v>
      </c>
      <c r="B2" s="116">
        <v>0</v>
      </c>
      <c r="C2" s="116">
        <f>B26</f>
        <v>2812465761</v>
      </c>
      <c r="D2" s="116">
        <f>C26</f>
        <v>4551975041</v>
      </c>
      <c r="E2" s="116">
        <f t="shared" ref="E2:O2" si="0">D31</f>
        <v>2471227385</v>
      </c>
      <c r="F2" s="116">
        <f t="shared" si="0"/>
        <v>1583274541</v>
      </c>
      <c r="G2" s="116">
        <f t="shared" si="0"/>
        <v>1694877229</v>
      </c>
      <c r="H2" s="116">
        <f t="shared" si="0"/>
        <v>1648646780</v>
      </c>
      <c r="I2" s="116">
        <f t="shared" si="0"/>
        <v>2476536173</v>
      </c>
      <c r="J2" s="116">
        <f t="shared" si="0"/>
        <v>3055845408</v>
      </c>
      <c r="K2" s="116">
        <f t="shared" si="0"/>
        <v>2618280949</v>
      </c>
      <c r="L2" s="116">
        <f t="shared" si="0"/>
        <v>1217208431</v>
      </c>
      <c r="M2" s="116">
        <f t="shared" si="0"/>
        <v>1068447465</v>
      </c>
      <c r="N2" s="116">
        <f t="shared" si="0"/>
        <v>991581598.28133392</v>
      </c>
      <c r="O2" s="117">
        <f t="shared" si="0"/>
        <v>695318548.55760956</v>
      </c>
      <c r="P2" s="117">
        <f>O31</f>
        <v>225248061.63137436</v>
      </c>
      <c r="Q2" s="117">
        <f>P31</f>
        <v>-242512842.76176834</v>
      </c>
      <c r="R2" s="117">
        <f>Q31</f>
        <v>-516398011.05348969</v>
      </c>
    </row>
    <row r="3" spans="1:18">
      <c r="B3" s="116"/>
      <c r="C3" s="116"/>
      <c r="D3" s="116"/>
      <c r="E3" s="116"/>
      <c r="F3" s="116"/>
      <c r="G3" s="116"/>
      <c r="H3" s="116"/>
      <c r="I3" s="116"/>
      <c r="J3" s="117"/>
      <c r="K3" s="117"/>
      <c r="L3" s="117"/>
      <c r="M3" s="117"/>
      <c r="N3" s="117"/>
      <c r="O3" s="117"/>
      <c r="P3" s="117"/>
      <c r="Q3" s="117"/>
      <c r="R3" s="117"/>
    </row>
    <row r="4" spans="1:18">
      <c r="A4" s="115" t="s">
        <v>322</v>
      </c>
      <c r="B4" s="116">
        <f>SUM(B5:B9)</f>
        <v>7147975929</v>
      </c>
      <c r="C4" s="116">
        <f t="shared" ref="C4:O4" si="1">SUM(C5:C9)</f>
        <v>15535487739</v>
      </c>
      <c r="D4" s="116">
        <f t="shared" si="1"/>
        <v>15352270097</v>
      </c>
      <c r="E4" s="116">
        <f t="shared" si="1"/>
        <v>16649629221</v>
      </c>
      <c r="F4" s="116">
        <f t="shared" si="1"/>
        <v>17245997350</v>
      </c>
      <c r="G4" s="116">
        <f t="shared" si="1"/>
        <v>17931107377</v>
      </c>
      <c r="H4" s="116">
        <f t="shared" si="1"/>
        <v>19475036022</v>
      </c>
      <c r="I4" s="116">
        <f t="shared" si="1"/>
        <v>19354130885</v>
      </c>
      <c r="J4" s="116">
        <f t="shared" si="1"/>
        <v>19516130766</v>
      </c>
      <c r="K4" s="116">
        <f t="shared" si="1"/>
        <v>19812600586</v>
      </c>
      <c r="L4" s="116">
        <f t="shared" si="1"/>
        <v>18318247188</v>
      </c>
      <c r="M4" s="116">
        <f t="shared" si="1"/>
        <v>19933806599</v>
      </c>
      <c r="N4" s="116">
        <f t="shared" si="1"/>
        <v>21340827093</v>
      </c>
      <c r="O4" s="116">
        <f t="shared" si="1"/>
        <v>23726913992</v>
      </c>
      <c r="P4" s="117">
        <f>SUM(P5:P9)</f>
        <v>25214054721</v>
      </c>
      <c r="Q4" s="117">
        <f>SUM(Q5:Q9)</f>
        <v>23317681664.900143</v>
      </c>
      <c r="R4" s="117">
        <f>SUM(R5:R9)</f>
        <v>23944824155.764713</v>
      </c>
    </row>
    <row r="5" spans="1:18">
      <c r="A5" s="115" t="s">
        <v>323</v>
      </c>
      <c r="B5" s="116">
        <f>'[1]D3 RIN Forecast'!B$15</f>
        <v>0</v>
      </c>
      <c r="C5" s="116">
        <f>'[1]D3 RIN Forecast'!C$15</f>
        <v>0</v>
      </c>
      <c r="D5" s="116">
        <f>'[1]D3 RIN Forecast'!D$15</f>
        <v>20069</v>
      </c>
      <c r="E5" s="116">
        <f>'[1]D3 RIN Forecast'!E$15</f>
        <v>422740</v>
      </c>
      <c r="F5" s="116">
        <f>'[1]D3 RIN Forecast'!F$15</f>
        <v>33360560</v>
      </c>
      <c r="G5" s="116">
        <f>'[1]D3 RIN Forecast'!G$15</f>
        <v>142040241</v>
      </c>
      <c r="H5" s="116">
        <f>'[1]D3 RIN Forecast'!H$15</f>
        <v>192361795</v>
      </c>
      <c r="I5" s="116">
        <f>'[1]D3 RIN Forecast'!I$15</f>
        <v>250624473</v>
      </c>
      <c r="J5" s="116">
        <f>'[1]D3 RIN Forecast'!J$15</f>
        <v>312348198</v>
      </c>
      <c r="K5" s="116">
        <f>'[1]D3 RIN Forecast'!K$15</f>
        <v>414122810</v>
      </c>
      <c r="L5" s="116">
        <f>'[1]D3 RIN Forecast'!L$15</f>
        <v>505872211</v>
      </c>
      <c r="M5" s="116">
        <f>'[1]D3 RIN Forecast'!M$15</f>
        <v>568414154</v>
      </c>
      <c r="N5" s="116">
        <f>'[1]D3 RIN Forecast'!N$15</f>
        <v>668618747</v>
      </c>
      <c r="O5" s="116">
        <f>'[1]D3 RIN Forecast'!O$15</f>
        <v>704232859</v>
      </c>
      <c r="P5" s="117">
        <f>'[1]D3 RIN Forecast'!P$15</f>
        <v>921163090</v>
      </c>
      <c r="Q5" s="117">
        <f>'[1]D3 RIN Forecast'!Q$15</f>
        <v>642893076.81687927</v>
      </c>
      <c r="R5" s="117">
        <f>'[1]D3 RIN Forecast'!R$15</f>
        <v>772558826.29679656</v>
      </c>
    </row>
    <row r="6" spans="1:18">
      <c r="A6" s="115" t="s">
        <v>324</v>
      </c>
      <c r="B6" s="116">
        <f>'[1]D4 RIN Forecast'!B$27</f>
        <v>323276448</v>
      </c>
      <c r="C6" s="116">
        <f>'[1]D4 RIN Forecast'!C$27</f>
        <v>1691614024</v>
      </c>
      <c r="D6" s="116">
        <f>'[1]D4 RIN Forecast'!D$27</f>
        <v>1737333997</v>
      </c>
      <c r="E6" s="116">
        <f>'[1]D4 RIN Forecast'!E$27</f>
        <v>2740474431</v>
      </c>
      <c r="F6" s="116">
        <f>'[1]D4 RIN Forecast'!F$27</f>
        <v>2709972461</v>
      </c>
      <c r="G6" s="116">
        <f>'[1]D4 RIN Forecast'!G$27</f>
        <v>2795798365</v>
      </c>
      <c r="H6" s="116">
        <f>'[1]D4 RIN Forecast'!H$27</f>
        <v>4008319745</v>
      </c>
      <c r="I6" s="116">
        <f>'[1]D4 RIN Forecast'!I$27</f>
        <v>3848913464</v>
      </c>
      <c r="J6" s="116">
        <f>'[1]D4 RIN Forecast'!J$27</f>
        <v>3873220242</v>
      </c>
      <c r="K6" s="116">
        <f>'[1]D4 RIN Forecast'!K$27</f>
        <v>4146607014</v>
      </c>
      <c r="L6" s="116">
        <f>'[1]D4 RIN Forecast'!L$27</f>
        <v>4490232144</v>
      </c>
      <c r="M6" s="116">
        <f>'[1]D4 RIN Forecast'!M$27</f>
        <v>4872998352</v>
      </c>
      <c r="N6" s="116">
        <f>'[1]D4 RIN Forecast'!N$27</f>
        <v>5786573550</v>
      </c>
      <c r="O6" s="116">
        <f>'[1]D4 RIN Forecast'!O$27</f>
        <v>7964744893</v>
      </c>
      <c r="P6" s="117">
        <f>'[1]D4 RIN Forecast'!P$27</f>
        <v>9158971248</v>
      </c>
      <c r="Q6" s="117">
        <f>'[1]D4 RIN Forecast'!Q$27</f>
        <v>7801222920.4370031</v>
      </c>
      <c r="R6" s="117">
        <f>'[1]D4 RIN Forecast'!R$27</f>
        <v>8190474675.8414841</v>
      </c>
    </row>
    <row r="7" spans="1:18">
      <c r="A7" s="115" t="s">
        <v>325</v>
      </c>
      <c r="B7" s="116">
        <f>'[1]D5 RIN Forecast'!B$28</f>
        <v>28611632</v>
      </c>
      <c r="C7" s="116">
        <f>'[1]D5 RIN Forecast'!C$28</f>
        <v>228558018</v>
      </c>
      <c r="D7" s="116">
        <f>'[1]D5 RIN Forecast'!D$28</f>
        <v>627072689</v>
      </c>
      <c r="E7" s="116">
        <f>'[1]D5 RIN Forecast'!E$28</f>
        <v>557824688</v>
      </c>
      <c r="F7" s="116">
        <f>'[1]D5 RIN Forecast'!F$28</f>
        <v>143540533</v>
      </c>
      <c r="G7" s="116">
        <f>'[1]D5 RIN Forecast'!G$28</f>
        <v>147091443</v>
      </c>
      <c r="H7" s="116">
        <f>'[1]D5 RIN Forecast'!H$28</f>
        <v>98103017</v>
      </c>
      <c r="I7" s="116">
        <f>'[1]D5 RIN Forecast'!I$28</f>
        <v>143646572</v>
      </c>
      <c r="J7" s="116">
        <f>'[1]D5 RIN Forecast'!J$28</f>
        <v>179304816</v>
      </c>
      <c r="K7" s="116">
        <f>'[1]D5 RIN Forecast'!K$28</f>
        <v>322343569</v>
      </c>
      <c r="L7" s="116">
        <f>'[1]D5 RIN Forecast'!L$28</f>
        <v>335236581</v>
      </c>
      <c r="M7" s="116">
        <f>'[1]D5 RIN Forecast'!M$28</f>
        <v>233872099</v>
      </c>
      <c r="N7" s="116">
        <f>'[1]D5 RIN Forecast'!N$28</f>
        <v>342763665</v>
      </c>
      <c r="O7" s="116">
        <f>'[1]D5 RIN Forecast'!O$28</f>
        <v>262944960</v>
      </c>
      <c r="P7" s="117">
        <f>'[1]D5 RIN Forecast'!P$28</f>
        <v>243155929</v>
      </c>
      <c r="Q7" s="117">
        <f>'[1]D5 RIN Forecast'!Q$28</f>
        <v>273837991.68352491</v>
      </c>
      <c r="R7" s="117">
        <f>'[1]D5 RIN Forecast'!R$28</f>
        <v>309320703.17245978</v>
      </c>
    </row>
    <row r="8" spans="1:18">
      <c r="A8" s="115" t="s">
        <v>326</v>
      </c>
      <c r="B8" s="116">
        <f>'[1]D6 RIN Forecast'!B$23</f>
        <v>6796087849</v>
      </c>
      <c r="C8" s="116">
        <f>'[1]D6 RIN Forecast'!C$23</f>
        <v>13615315697</v>
      </c>
      <c r="D8" s="116">
        <f>'[1]D6 RIN Forecast'!D$23</f>
        <v>12987841601</v>
      </c>
      <c r="E8" s="116">
        <f>'[1]D6 RIN Forecast'!E$23</f>
        <v>13350511585</v>
      </c>
      <c r="F8" s="116">
        <f>'[1]D6 RIN Forecast'!F$23</f>
        <v>14359064491</v>
      </c>
      <c r="G8" s="116">
        <f>'[1]D6 RIN Forecast'!G$23</f>
        <v>14845902013</v>
      </c>
      <c r="H8" s="116">
        <f>'[1]D6 RIN Forecast'!H$23</f>
        <v>15175717036</v>
      </c>
      <c r="I8" s="116">
        <f>'[1]D6 RIN Forecast'!I$23</f>
        <v>15109202482</v>
      </c>
      <c r="J8" s="116">
        <f>'[1]D6 RIN Forecast'!J$23</f>
        <v>15148806254</v>
      </c>
      <c r="K8" s="116">
        <f>'[1]D6 RIN Forecast'!K$23</f>
        <v>14928211250</v>
      </c>
      <c r="L8" s="116">
        <f>'[1]D6 RIN Forecast'!L$23</f>
        <v>12986850360</v>
      </c>
      <c r="M8" s="116">
        <f>'[1]D6 RIN Forecast'!M$23</f>
        <v>14258274476</v>
      </c>
      <c r="N8" s="116">
        <f>'[1]D6 RIN Forecast'!N$23</f>
        <v>14542634779</v>
      </c>
      <c r="O8" s="116">
        <f>'[1]D6 RIN Forecast'!O$23</f>
        <v>14794782637</v>
      </c>
      <c r="P8" s="117">
        <f>'[1]D6 RIN Forecast'!P$23</f>
        <v>14890536490</v>
      </c>
      <c r="Q8" s="117">
        <f>'[1]D6 RIN Forecast'!Q$23</f>
        <v>14599509898.419432</v>
      </c>
      <c r="R8" s="117">
        <f>'[1]D6 RIN Forecast'!R$23</f>
        <v>14672198594.498865</v>
      </c>
    </row>
    <row r="9" spans="1:18">
      <c r="A9" s="115" t="s">
        <v>327</v>
      </c>
      <c r="B9" s="116">
        <f>'[1]D7 RIN Forecast'!B$13</f>
        <v>0</v>
      </c>
      <c r="C9" s="116">
        <f>'[1]D7 RIN Forecast'!C$13</f>
        <v>0</v>
      </c>
      <c r="D9" s="116">
        <f>'[1]D7 RIN Forecast'!D$13</f>
        <v>1741</v>
      </c>
      <c r="E9" s="116">
        <f>'[1]D7 RIN Forecast'!E$13</f>
        <v>395777</v>
      </c>
      <c r="F9" s="116">
        <f>'[1]D7 RIN Forecast'!F$13</f>
        <v>59305</v>
      </c>
      <c r="G9" s="116">
        <f>'[1]D7 RIN Forecast'!G$13</f>
        <v>275315</v>
      </c>
      <c r="H9" s="116">
        <f>'[1]D7 RIN Forecast'!H$13</f>
        <v>534429</v>
      </c>
      <c r="I9" s="116">
        <f>'[1]D7 RIN Forecast'!I$13</f>
        <v>1743894</v>
      </c>
      <c r="J9" s="116">
        <f>'[1]D7 RIN Forecast'!J$13</f>
        <v>2451256</v>
      </c>
      <c r="K9" s="116">
        <f>'[1]D7 RIN Forecast'!K$13</f>
        <v>1315943</v>
      </c>
      <c r="L9" s="116">
        <f>'[1]D7 RIN Forecast'!L$13</f>
        <v>55892</v>
      </c>
      <c r="M9" s="116">
        <f>'[1]D7 RIN Forecast'!M$13</f>
        <v>247518</v>
      </c>
      <c r="N9" s="116">
        <f>'[1]D7 RIN Forecast'!N$13</f>
        <v>236352</v>
      </c>
      <c r="O9" s="116">
        <f>'[1]D7 RIN Forecast'!O$13</f>
        <v>208643</v>
      </c>
      <c r="P9" s="116">
        <f>'[1]D7 RIN Forecast'!P$13</f>
        <v>227964</v>
      </c>
      <c r="Q9" s="116">
        <f>'[1]D7 RIN Forecast'!Q$13</f>
        <v>217777.54330304067</v>
      </c>
      <c r="R9" s="116">
        <f>'[1]D7 RIN Forecast'!R$13</f>
        <v>271355.95510375156</v>
      </c>
    </row>
    <row r="10" spans="1:18">
      <c r="A10" s="115" t="s">
        <v>283</v>
      </c>
      <c r="B10" s="116"/>
      <c r="C10" s="116">
        <f>'Small Refinery Exemptions'!B44</f>
        <v>0</v>
      </c>
      <c r="D10" s="116">
        <f>'Small Refinery Exemptions'!C44</f>
        <v>0</v>
      </c>
      <c r="E10" s="116">
        <f>'Small Refinery Exemptions'!D44</f>
        <v>0</v>
      </c>
      <c r="F10" s="116">
        <f>'Small Refinery Exemptions'!E44</f>
        <v>192852000</v>
      </c>
      <c r="G10" s="116">
        <f>'Small Refinery Exemptions'!F44</f>
        <v>211369999.99999997</v>
      </c>
      <c r="H10" s="116">
        <f>'Small Refinery Exemptions'!G44</f>
        <v>292264000.00000006</v>
      </c>
      <c r="I10" s="116">
        <f>'Small Refinery Exemptions'!H44</f>
        <v>789820000</v>
      </c>
      <c r="J10" s="116">
        <f>'Small Refinery Exemptions'!I44</f>
        <v>1824350000</v>
      </c>
      <c r="K10" s="116">
        <f>'Small Refinery Exemptions'!J44</f>
        <v>2041288594.0313306</v>
      </c>
      <c r="L10" s="116">
        <f>'Small Refinery Exemptions'!K44</f>
        <v>1459010000</v>
      </c>
      <c r="M10" s="117">
        <f>'Small Refinery Exemptions'!L44</f>
        <v>772548000</v>
      </c>
      <c r="N10" s="117">
        <f>'Small Refinery Exemptions'!M44</f>
        <v>905271000</v>
      </c>
      <c r="O10" s="117">
        <f>'Small Refinery Exemptions'!N44</f>
        <v>738525000</v>
      </c>
      <c r="P10" s="117">
        <f>'Small Refinery Exemptions'!O44</f>
        <v>669760000</v>
      </c>
      <c r="Q10" s="117">
        <f>'Small Refinery Exemptions'!P44</f>
        <v>727500000</v>
      </c>
      <c r="R10" s="117">
        <f>'Small Refinery Exemptions'!Q44</f>
        <v>875771000</v>
      </c>
    </row>
    <row r="11" spans="1:18">
      <c r="A11" s="115" t="s">
        <v>328</v>
      </c>
      <c r="B11" s="116">
        <f>'RIN Retirements'!B25</f>
        <v>25113475</v>
      </c>
      <c r="C11" s="116">
        <f>'RIN Retirements'!C25</f>
        <v>78473364</v>
      </c>
      <c r="D11" s="116">
        <f>'RIN Retirements'!D25</f>
        <v>45611665</v>
      </c>
      <c r="E11" s="116">
        <f>'RIN Retirements'!E25</f>
        <v>40623544</v>
      </c>
      <c r="F11" s="116">
        <f>'RIN Retirements'!F25</f>
        <v>21899568</v>
      </c>
      <c r="G11" s="116">
        <f>'RIN Retirements'!G25</f>
        <v>9513432</v>
      </c>
      <c r="H11" s="116">
        <f>'RIN Retirements'!H25</f>
        <v>27233554</v>
      </c>
      <c r="I11" s="116">
        <f>'RIN Retirements'!I25</f>
        <v>38658277</v>
      </c>
      <c r="J11" s="116">
        <f>'RIN Retirements'!J25</f>
        <v>27980141</v>
      </c>
      <c r="K11" s="116">
        <f>'RIN Retirements'!K25</f>
        <v>18429478</v>
      </c>
      <c r="L11" s="116">
        <f>'RIN Retirements'!L25</f>
        <v>37884910</v>
      </c>
      <c r="M11" s="117">
        <f>'RIN Retirements'!M25</f>
        <v>25269193</v>
      </c>
      <c r="N11" s="117">
        <f>'RIN Retirements'!N25</f>
        <v>33772724</v>
      </c>
      <c r="O11" s="117">
        <f>'RIN Retirements'!O25</f>
        <v>15060349</v>
      </c>
      <c r="P11" s="117">
        <f>'RIN Retirements'!P25</f>
        <v>20437799</v>
      </c>
      <c r="Q11" s="117">
        <f>'RIN Retirements'!Q25</f>
        <v>0</v>
      </c>
      <c r="R11" s="117">
        <f>'RIN Retirements'!R25</f>
        <v>0</v>
      </c>
    </row>
    <row r="12" spans="1:18">
      <c r="A12" s="115" t="s">
        <v>329</v>
      </c>
      <c r="B12" s="116">
        <f>'RIN Retirements'!B47</f>
        <v>99069268</v>
      </c>
      <c r="C12" s="116">
        <f>'RIN Retirements'!C47</f>
        <v>390181518</v>
      </c>
      <c r="D12" s="116">
        <f>'RIN Retirements'!D47</f>
        <v>90759633</v>
      </c>
      <c r="E12" s="116">
        <f>'RIN Retirements'!E47</f>
        <v>176478026</v>
      </c>
      <c r="F12" s="116">
        <f>'RIN Retirements'!F47</f>
        <v>373012020</v>
      </c>
      <c r="G12" s="116">
        <f>'RIN Retirements'!G47</f>
        <v>240715075</v>
      </c>
      <c r="H12" s="116">
        <f>'RIN Retirements'!H47</f>
        <v>327881218</v>
      </c>
      <c r="I12" s="116">
        <f>'RIN Retirements'!I47</f>
        <v>420188084</v>
      </c>
      <c r="J12" s="116">
        <f>'RIN Retirements'!J47</f>
        <v>275005784</v>
      </c>
      <c r="K12" s="116">
        <f>'RIN Retirements'!K47</f>
        <v>428857290</v>
      </c>
      <c r="L12" s="116">
        <f>'RIN Retirements'!L47</f>
        <v>306796385</v>
      </c>
      <c r="M12" s="117">
        <f>'RIN Retirements'!M47</f>
        <v>201675352</v>
      </c>
      <c r="N12" s="117">
        <f>'RIN Retirements'!N47</f>
        <v>266712690</v>
      </c>
      <c r="O12" s="117">
        <f>'RIN Retirements'!R47</f>
        <v>0</v>
      </c>
      <c r="P12" s="117">
        <f>'RIN Retirements'!S47</f>
        <v>0</v>
      </c>
      <c r="Q12" s="117">
        <f>'RIN Retirements'!T47</f>
        <v>0</v>
      </c>
      <c r="R12" s="117">
        <f>'RIN Retirements'!U47</f>
        <v>0</v>
      </c>
    </row>
    <row r="13" spans="1:18">
      <c r="A13" s="115" t="s">
        <v>330</v>
      </c>
      <c r="B13" s="116">
        <f>B4-B10-B11-B12</f>
        <v>7023793186</v>
      </c>
      <c r="C13" s="116">
        <f>C4-C10-C11-C12</f>
        <v>15066832857</v>
      </c>
      <c r="D13" s="116">
        <f t="shared" ref="D13:R13" si="2">D4-D10-D11-D12</f>
        <v>15215898799</v>
      </c>
      <c r="E13" s="116">
        <f t="shared" si="2"/>
        <v>16432527651</v>
      </c>
      <c r="F13" s="116">
        <f t="shared" si="2"/>
        <v>16658233762</v>
      </c>
      <c r="G13" s="116">
        <f t="shared" si="2"/>
        <v>17469508870</v>
      </c>
      <c r="H13" s="116">
        <f t="shared" si="2"/>
        <v>18827657250</v>
      </c>
      <c r="I13" s="116">
        <f t="shared" si="2"/>
        <v>18105464524</v>
      </c>
      <c r="J13" s="116">
        <f t="shared" si="2"/>
        <v>17388794841</v>
      </c>
      <c r="K13" s="116">
        <f t="shared" si="2"/>
        <v>17324025223.96867</v>
      </c>
      <c r="L13" s="116">
        <f t="shared" si="2"/>
        <v>16514555893</v>
      </c>
      <c r="M13" s="117">
        <f t="shared" si="2"/>
        <v>18934314054</v>
      </c>
      <c r="N13" s="117">
        <f t="shared" si="2"/>
        <v>20135070679</v>
      </c>
      <c r="O13" s="117">
        <f t="shared" si="2"/>
        <v>22973328643</v>
      </c>
      <c r="P13" s="117">
        <f t="shared" si="2"/>
        <v>24523856922</v>
      </c>
      <c r="Q13" s="117">
        <f t="shared" si="2"/>
        <v>22590181664.900143</v>
      </c>
      <c r="R13" s="117">
        <f t="shared" si="2"/>
        <v>23069053155.764713</v>
      </c>
    </row>
    <row r="15" spans="1:18">
      <c r="A15" s="115" t="s">
        <v>331</v>
      </c>
      <c r="B15" s="116">
        <f>SUM(B16:B20)</f>
        <v>4211327425</v>
      </c>
      <c r="C15" s="116">
        <f t="shared" ref="C15:R15" si="3">SUM(C16:C20)</f>
        <v>13327323577</v>
      </c>
      <c r="D15" s="116">
        <f t="shared" si="3"/>
        <v>16296553703</v>
      </c>
      <c r="E15" s="116">
        <f t="shared" si="3"/>
        <v>17311269123</v>
      </c>
      <c r="F15" s="116">
        <f t="shared" si="3"/>
        <v>16660418629</v>
      </c>
      <c r="G15" s="116">
        <f t="shared" si="3"/>
        <v>17838472400</v>
      </c>
      <c r="H15" s="116">
        <f t="shared" si="3"/>
        <v>17888987566</v>
      </c>
      <c r="I15" s="116">
        <f t="shared" si="3"/>
        <v>18152769160</v>
      </c>
      <c r="J15" s="116">
        <f t="shared" si="3"/>
        <v>19331642735</v>
      </c>
      <c r="K15" s="116">
        <f t="shared" si="3"/>
        <v>20591620614</v>
      </c>
      <c r="L15" s="116">
        <f t="shared" si="3"/>
        <v>17844955664</v>
      </c>
      <c r="M15" s="117">
        <f t="shared" si="3"/>
        <v>19388619975.718666</v>
      </c>
      <c r="N15" s="117">
        <f t="shared" si="3"/>
        <v>21015037652.723724</v>
      </c>
      <c r="O15" s="117">
        <f t="shared" si="3"/>
        <v>23574931988.926235</v>
      </c>
      <c r="P15" s="117">
        <f t="shared" si="3"/>
        <v>25059763135.393143</v>
      </c>
      <c r="Q15" s="117">
        <f t="shared" si="3"/>
        <v>22969514343.191864</v>
      </c>
      <c r="R15" s="117">
        <f t="shared" si="3"/>
        <v>23633518602.169205</v>
      </c>
    </row>
    <row r="16" spans="1:18">
      <c r="A16" s="115" t="s">
        <v>323</v>
      </c>
      <c r="B16" s="116">
        <f>'RIN Retirements'!B4</f>
        <v>0</v>
      </c>
      <c r="C16" s="116">
        <f>'RIN Retirements'!C4</f>
        <v>0</v>
      </c>
      <c r="D16" s="116">
        <f>'RIN Retirements'!D4</f>
        <v>0</v>
      </c>
      <c r="E16" s="116">
        <f>'RIN Retirements'!E4</f>
        <v>293023</v>
      </c>
      <c r="F16" s="116">
        <f>'RIN Retirements'!F4</f>
        <v>21143070</v>
      </c>
      <c r="G16" s="116">
        <f>'RIN Retirements'!G4</f>
        <v>112841471</v>
      </c>
      <c r="H16" s="116">
        <f>'RIN Retirements'!H4</f>
        <v>189349748</v>
      </c>
      <c r="I16" s="116">
        <f>'RIN Retirements'!I4</f>
        <v>259889372</v>
      </c>
      <c r="J16" s="116">
        <f>'RIN Retirements'!J4</f>
        <v>283940157</v>
      </c>
      <c r="K16" s="116">
        <f>'RIN Retirements'!K4</f>
        <v>410620831</v>
      </c>
      <c r="L16" s="116">
        <f>'RIN Retirements'!L4</f>
        <v>503825187</v>
      </c>
      <c r="M16" s="117">
        <f t="shared" ref="M16:R20" si="4">M5*(SUM(H16:L16)/SUM(H5:L5))</f>
        <v>559014537.39912915</v>
      </c>
      <c r="N16" s="117">
        <f t="shared" si="4"/>
        <v>657507022.0088464</v>
      </c>
      <c r="O16" s="117">
        <f t="shared" si="4"/>
        <v>688699207.96972036</v>
      </c>
      <c r="P16" s="117">
        <f t="shared" si="4"/>
        <v>907772191.20904922</v>
      </c>
      <c r="Q16" s="117">
        <f t="shared" si="4"/>
        <v>633066755.09143817</v>
      </c>
      <c r="R16" s="117">
        <f t="shared" si="4"/>
        <v>759497673.34650064</v>
      </c>
    </row>
    <row r="17" spans="1:18">
      <c r="A17" s="115" t="s">
        <v>324</v>
      </c>
      <c r="B17" s="116">
        <f>'RIN Retirements'!B8</f>
        <v>222710547</v>
      </c>
      <c r="C17" s="116">
        <f>'RIN Retirements'!C8</f>
        <v>1319863392</v>
      </c>
      <c r="D17" s="116">
        <f>'RIN Retirements'!D8</f>
        <v>1679016522</v>
      </c>
      <c r="E17" s="116">
        <f>'RIN Retirements'!E8</f>
        <v>2379043691</v>
      </c>
      <c r="F17" s="116">
        <f>'RIN Retirements'!F8</f>
        <v>2720901529</v>
      </c>
      <c r="G17" s="116">
        <f>'RIN Retirements'!G8</f>
        <v>2876836117</v>
      </c>
      <c r="H17" s="116">
        <f>'RIN Retirements'!H8</f>
        <v>3281819764</v>
      </c>
      <c r="I17" s="116">
        <f>'RIN Retirements'!I8</f>
        <v>3844871513</v>
      </c>
      <c r="J17" s="116">
        <f>'RIN Retirements'!J8</f>
        <v>3930837317</v>
      </c>
      <c r="K17" s="116">
        <f>'RIN Retirements'!K8</f>
        <v>4465432884</v>
      </c>
      <c r="L17" s="116">
        <f>'RIN Retirements'!L8</f>
        <v>4288533419</v>
      </c>
      <c r="M17" s="117">
        <f t="shared" si="4"/>
        <v>4740020376.6443281</v>
      </c>
      <c r="N17" s="117">
        <f t="shared" si="4"/>
        <v>5796854950.5150032</v>
      </c>
      <c r="O17" s="117">
        <f t="shared" si="4"/>
        <v>7982636684.6548662</v>
      </c>
      <c r="P17" s="117">
        <f t="shared" si="4"/>
        <v>9163111210.2876701</v>
      </c>
      <c r="Q17" s="117">
        <f t="shared" si="4"/>
        <v>7728134970.597702</v>
      </c>
      <c r="R17" s="117">
        <f t="shared" si="4"/>
        <v>8150482060.2328424</v>
      </c>
    </row>
    <row r="18" spans="1:18">
      <c r="A18" s="115" t="s">
        <v>325</v>
      </c>
      <c r="B18" s="116">
        <f>'RIN Retirements'!B12</f>
        <v>24808442</v>
      </c>
      <c r="C18" s="116">
        <f>'RIN Retirements'!C12</f>
        <v>173316504</v>
      </c>
      <c r="D18" s="116">
        <f>'RIN Retirements'!D12</f>
        <v>481271750</v>
      </c>
      <c r="E18" s="116">
        <f>'RIN Retirements'!E12</f>
        <v>673610540</v>
      </c>
      <c r="F18" s="116">
        <f>'RIN Retirements'!F12</f>
        <v>130729680</v>
      </c>
      <c r="G18" s="116">
        <f>'RIN Retirements'!G12</f>
        <v>101203401</v>
      </c>
      <c r="H18" s="116">
        <f>'RIN Retirements'!H12</f>
        <v>181556905</v>
      </c>
      <c r="I18" s="116">
        <f>'RIN Retirements'!I12</f>
        <v>150031625</v>
      </c>
      <c r="J18" s="116">
        <f>'RIN Retirements'!J12</f>
        <v>172240176</v>
      </c>
      <c r="K18" s="116">
        <f>'RIN Retirements'!K12</f>
        <v>331818910</v>
      </c>
      <c r="L18" s="116">
        <f>'RIN Retirements'!L12</f>
        <v>332236392</v>
      </c>
      <c r="M18" s="117">
        <f t="shared" si="4"/>
        <v>253223376.79001284</v>
      </c>
      <c r="N18" s="117">
        <f t="shared" si="4"/>
        <v>349861324.90093428</v>
      </c>
      <c r="O18" s="117">
        <f t="shared" si="4"/>
        <v>267755368.37979653</v>
      </c>
      <c r="P18" s="117">
        <f t="shared" si="4"/>
        <v>249284440.03250271</v>
      </c>
      <c r="Q18" s="117">
        <f t="shared" si="4"/>
        <v>280478913.91412932</v>
      </c>
      <c r="R18" s="117">
        <f t="shared" si="4"/>
        <v>319359968.6391595</v>
      </c>
    </row>
    <row r="19" spans="1:18">
      <c r="A19" s="115" t="s">
        <v>326</v>
      </c>
      <c r="B19" s="116">
        <f>'RIN Retirements'!B16</f>
        <v>3963808436</v>
      </c>
      <c r="C19" s="116">
        <f>'RIN Retirements'!C16</f>
        <v>11834143681</v>
      </c>
      <c r="D19" s="116">
        <f>'RIN Retirements'!D16</f>
        <v>14136265431</v>
      </c>
      <c r="E19" s="116">
        <f>'RIN Retirements'!E16</f>
        <v>14257997232</v>
      </c>
      <c r="F19" s="116">
        <f>'RIN Retirements'!F16</f>
        <v>13787538096</v>
      </c>
      <c r="G19" s="116">
        <f>'RIN Retirements'!G16</f>
        <v>14747491411</v>
      </c>
      <c r="H19" s="116">
        <f>'RIN Retirements'!H16</f>
        <v>14235690161</v>
      </c>
      <c r="I19" s="116">
        <f>'RIN Retirements'!I16</f>
        <v>13896400123</v>
      </c>
      <c r="J19" s="116">
        <f>'RIN Retirements'!J16</f>
        <v>14942935277</v>
      </c>
      <c r="K19" s="116">
        <f>'RIN Retirements'!K16</f>
        <v>15381792002</v>
      </c>
      <c r="L19" s="116">
        <f>'RIN Retirements'!L16</f>
        <v>12720304774</v>
      </c>
      <c r="M19" s="117">
        <f t="shared" si="4"/>
        <v>13836124398.449522</v>
      </c>
      <c r="N19" s="117">
        <f t="shared" si="4"/>
        <v>14210590157.365086</v>
      </c>
      <c r="O19" s="117">
        <f t="shared" si="4"/>
        <v>14635639050.55258</v>
      </c>
      <c r="P19" s="117">
        <f t="shared" si="4"/>
        <v>14739299891.641535</v>
      </c>
      <c r="Q19" s="117">
        <f t="shared" si="4"/>
        <v>14327607430.809534</v>
      </c>
      <c r="R19" s="117">
        <f t="shared" si="4"/>
        <v>14403896438.960594</v>
      </c>
    </row>
    <row r="20" spans="1:18">
      <c r="A20" s="115" t="s">
        <v>327</v>
      </c>
      <c r="B20" s="116">
        <f>'RIN Retirements'!B20</f>
        <v>0</v>
      </c>
      <c r="C20" s="116">
        <f>'RIN Retirements'!C20</f>
        <v>0</v>
      </c>
      <c r="D20" s="116">
        <f>'RIN Retirements'!D20</f>
        <v>0</v>
      </c>
      <c r="E20" s="116">
        <f>'RIN Retirements'!E20</f>
        <v>324637</v>
      </c>
      <c r="F20" s="116">
        <f>'RIN Retirements'!F20</f>
        <v>106254</v>
      </c>
      <c r="G20" s="116">
        <f>'RIN Retirements'!G20</f>
        <v>100000</v>
      </c>
      <c r="H20" s="116">
        <f>'RIN Retirements'!H20</f>
        <v>570988</v>
      </c>
      <c r="I20" s="116">
        <f>'RIN Retirements'!I20</f>
        <v>1576527</v>
      </c>
      <c r="J20" s="116">
        <f>'RIN Retirements'!J20</f>
        <v>1689808</v>
      </c>
      <c r="K20" s="116">
        <f>'RIN Retirements'!K20</f>
        <v>1955987</v>
      </c>
      <c r="L20" s="116">
        <f>'RIN Retirements'!L20</f>
        <v>55892</v>
      </c>
      <c r="M20" s="117">
        <f t="shared" si="4"/>
        <v>237286.43567474687</v>
      </c>
      <c r="N20" s="117">
        <f t="shared" si="4"/>
        <v>224197.93385137091</v>
      </c>
      <c r="O20" s="117">
        <f t="shared" si="4"/>
        <v>201677.36927546773</v>
      </c>
      <c r="P20" s="117">
        <f t="shared" si="4"/>
        <v>295402.2223870029</v>
      </c>
      <c r="Q20" s="117">
        <f t="shared" si="4"/>
        <v>226272.77905871198</v>
      </c>
      <c r="R20" s="117">
        <f t="shared" si="4"/>
        <v>282460.99010406021</v>
      </c>
    </row>
    <row r="22" spans="1:18">
      <c r="A22" s="115" t="s">
        <v>332</v>
      </c>
      <c r="B22" s="116">
        <f>B13-B15</f>
        <v>2812465761</v>
      </c>
      <c r="C22" s="116">
        <f>C13-C15</f>
        <v>1739509280</v>
      </c>
      <c r="D22" s="116">
        <f>D13-D15</f>
        <v>-1080654904</v>
      </c>
      <c r="E22" s="116">
        <f>E13-E15</f>
        <v>-878741472</v>
      </c>
      <c r="F22" s="116">
        <f t="shared" ref="F22:R22" si="5">F4-F15</f>
        <v>585578721</v>
      </c>
      <c r="G22" s="116">
        <f t="shared" si="5"/>
        <v>92634977</v>
      </c>
      <c r="H22" s="116">
        <f t="shared" si="5"/>
        <v>1586048456</v>
      </c>
      <c r="I22" s="116">
        <f t="shared" si="5"/>
        <v>1201361725</v>
      </c>
      <c r="J22" s="116">
        <f t="shared" si="5"/>
        <v>184488031</v>
      </c>
      <c r="K22" s="116">
        <f t="shared" si="5"/>
        <v>-779020028</v>
      </c>
      <c r="L22" s="116">
        <f t="shared" si="5"/>
        <v>473291524</v>
      </c>
      <c r="M22" s="116">
        <f t="shared" si="5"/>
        <v>545186623.28133392</v>
      </c>
      <c r="N22" s="117">
        <f t="shared" si="5"/>
        <v>325789440.27627563</v>
      </c>
      <c r="O22" s="117">
        <f t="shared" si="5"/>
        <v>151982003.0737648</v>
      </c>
      <c r="P22" s="117">
        <f t="shared" si="5"/>
        <v>154291585.6068573</v>
      </c>
      <c r="Q22" s="117">
        <f t="shared" si="5"/>
        <v>348167321.70827866</v>
      </c>
      <c r="R22" s="117">
        <f t="shared" si="5"/>
        <v>311305553.59550858</v>
      </c>
    </row>
    <row r="23" spans="1:18">
      <c r="A23" s="115" t="s">
        <v>333</v>
      </c>
      <c r="B23" s="116">
        <f>B63</f>
        <v>429461188</v>
      </c>
      <c r="C23" s="116">
        <f t="shared" ref="C23:J23" si="6">C63</f>
        <v>495110209</v>
      </c>
      <c r="D23" s="116">
        <f t="shared" si="6"/>
        <v>15877110</v>
      </c>
      <c r="E23" s="116">
        <f t="shared" si="6"/>
        <v>6467532</v>
      </c>
      <c r="F23" s="116">
        <f t="shared" si="6"/>
        <v>19770934</v>
      </c>
      <c r="G23" s="116">
        <f t="shared" si="6"/>
        <v>17950875</v>
      </c>
      <c r="H23" s="116">
        <f t="shared" si="6"/>
        <v>26230734</v>
      </c>
      <c r="I23" s="116">
        <f t="shared" si="6"/>
        <v>186336344</v>
      </c>
      <c r="J23" s="116">
        <f t="shared" si="6"/>
        <v>12989514</v>
      </c>
      <c r="K23" s="116">
        <f>K63</f>
        <v>13726114</v>
      </c>
      <c r="L23" s="116">
        <f>L63</f>
        <v>2000064861</v>
      </c>
      <c r="M23" s="117">
        <f t="shared" ref="M23:R24" si="7">(SUM(H23:L23)/SUM(H$22:L$22))*M$22</f>
        <v>457908712.54096502</v>
      </c>
      <c r="N23" s="117">
        <f t="shared" si="7"/>
        <v>535401280.38498449</v>
      </c>
      <c r="O23" s="117">
        <f t="shared" si="7"/>
        <v>612215035.12423694</v>
      </c>
      <c r="P23" s="117">
        <f t="shared" si="7"/>
        <v>778593122.785007</v>
      </c>
      <c r="Q23" s="117">
        <f t="shared" si="7"/>
        <v>924805317.84641528</v>
      </c>
      <c r="R23" s="117">
        <f t="shared" si="7"/>
        <v>675281755.62259042</v>
      </c>
    </row>
    <row r="24" spans="1:18">
      <c r="A24" s="115" t="s">
        <v>334</v>
      </c>
      <c r="B24" s="116">
        <v>0</v>
      </c>
      <c r="C24" s="116">
        <v>0</v>
      </c>
      <c r="D24" s="116">
        <v>0</v>
      </c>
      <c r="E24" s="116">
        <v>0</v>
      </c>
      <c r="F24" s="116">
        <v>0</v>
      </c>
      <c r="G24" s="116">
        <f t="shared" ref="G24:L24" si="8">G68</f>
        <v>2272248</v>
      </c>
      <c r="H24" s="116">
        <f t="shared" si="8"/>
        <v>2423397</v>
      </c>
      <c r="I24" s="116">
        <f t="shared" si="8"/>
        <v>983275</v>
      </c>
      <c r="J24" s="116">
        <f t="shared" si="8"/>
        <v>767169</v>
      </c>
      <c r="K24" s="116">
        <f t="shared" si="8"/>
        <v>2943662</v>
      </c>
      <c r="L24" s="116">
        <f t="shared" si="8"/>
        <v>6191196</v>
      </c>
      <c r="M24" s="117">
        <f t="shared" si="7"/>
        <v>2721403.9100010903</v>
      </c>
      <c r="N24" s="117">
        <f t="shared" si="7"/>
        <v>2727434.7031978951</v>
      </c>
      <c r="O24" s="117">
        <f t="shared" si="7"/>
        <v>3111837.472027929</v>
      </c>
      <c r="P24" s="117">
        <f t="shared" si="7"/>
        <v>3806691.9636622588</v>
      </c>
      <c r="Q24" s="117">
        <f t="shared" si="7"/>
        <v>3914767.8547346154</v>
      </c>
      <c r="R24" s="117">
        <f t="shared" si="7"/>
        <v>3322841.8312936956</v>
      </c>
    </row>
    <row r="26" spans="1:18">
      <c r="A26" s="115" t="s">
        <v>335</v>
      </c>
      <c r="B26" s="116">
        <f>B2+B22</f>
        <v>2812465761</v>
      </c>
      <c r="C26" s="116">
        <f t="shared" ref="C26:K26" si="9">C2+C22</f>
        <v>4551975041</v>
      </c>
      <c r="D26" s="116">
        <f>D2+D22</f>
        <v>3471320137</v>
      </c>
      <c r="E26" s="116">
        <f t="shared" si="9"/>
        <v>1592485913</v>
      </c>
      <c r="F26" s="116">
        <f t="shared" si="9"/>
        <v>2168853262</v>
      </c>
      <c r="G26" s="116">
        <f t="shared" si="9"/>
        <v>1787512206</v>
      </c>
      <c r="H26" s="116">
        <f t="shared" si="9"/>
        <v>3234695236</v>
      </c>
      <c r="I26" s="116">
        <f t="shared" si="9"/>
        <v>3677897898</v>
      </c>
      <c r="J26" s="116">
        <f t="shared" si="9"/>
        <v>3240333439</v>
      </c>
      <c r="K26" s="116">
        <f t="shared" si="9"/>
        <v>1839260921</v>
      </c>
      <c r="L26" s="116">
        <f>L2+L22</f>
        <v>1690499955</v>
      </c>
      <c r="M26" s="117">
        <f t="shared" ref="M26:R26" si="10">M2+M4-M15</f>
        <v>1613634088.2813339</v>
      </c>
      <c r="N26" s="117">
        <f t="shared" si="10"/>
        <v>1317371038.5576096</v>
      </c>
      <c r="O26" s="117">
        <f t="shared" si="10"/>
        <v>847300551.63137436</v>
      </c>
      <c r="P26" s="117">
        <f t="shared" si="10"/>
        <v>379539647.23823166</v>
      </c>
      <c r="Q26" s="117">
        <f t="shared" si="10"/>
        <v>105654478.94651031</v>
      </c>
      <c r="R26" s="117">
        <f t="shared" si="10"/>
        <v>-205092457.45798111</v>
      </c>
    </row>
    <row r="28" spans="1:18">
      <c r="A28" s="116" t="s">
        <v>336</v>
      </c>
      <c r="B28" s="116">
        <f>'RIN Carryover'!B37</f>
        <v>0</v>
      </c>
      <c r="C28" s="116">
        <f>'RIN Carryover'!C37</f>
        <v>0</v>
      </c>
      <c r="D28" s="116">
        <f>'RIN Carryover'!D37</f>
        <v>2468515173.8976746</v>
      </c>
      <c r="E28" s="116">
        <f>'RIN Carryover'!E37</f>
        <v>1578518373.5819666</v>
      </c>
      <c r="F28" s="116">
        <f>'RIN Carryover'!F37</f>
        <v>1685295054.2725091</v>
      </c>
      <c r="G28" s="116">
        <f>'RIN Carryover'!G37</f>
        <v>1644584085.490386</v>
      </c>
      <c r="H28" s="116">
        <f>'RIN Carryover'!H37</f>
        <v>2446026757.3256488</v>
      </c>
      <c r="I28" s="116">
        <f>'RIN Carryover'!I37</f>
        <v>2533115817.2049184</v>
      </c>
      <c r="J28" s="116">
        <f>'RIN Carryover'!J37</f>
        <v>3984000000</v>
      </c>
      <c r="K28" s="116">
        <f>'RIN Carryover'!K37</f>
        <v>3426000000</v>
      </c>
      <c r="L28" s="116">
        <f>'RIN Carryover'!L37</f>
        <v>2758000000</v>
      </c>
      <c r="M28" s="116">
        <f>'RIN Carryover'!M37</f>
        <v>3000000000</v>
      </c>
      <c r="N28" s="116">
        <f>'RIN Carryover'!N37</f>
        <v>3050000000</v>
      </c>
      <c r="O28" s="116">
        <f>'RIN Carryover'!O37</f>
        <v>3000000000</v>
      </c>
      <c r="P28" s="116">
        <f>'RIN Carryover'!P37</f>
        <v>3000000000</v>
      </c>
      <c r="Q28" s="116">
        <f>'RIN Carryover'!Q37</f>
        <v>0</v>
      </c>
      <c r="R28" s="116">
        <f>'RIN Carryover'!R37</f>
        <v>0</v>
      </c>
    </row>
    <row r="30" spans="1:18">
      <c r="A30" s="115" t="s">
        <v>337</v>
      </c>
      <c r="D30" s="116">
        <v>2666000000</v>
      </c>
      <c r="E30" s="116">
        <v>1740000000</v>
      </c>
      <c r="F30" s="116">
        <v>1740000000</v>
      </c>
      <c r="G30" s="116">
        <v>1740000000</v>
      </c>
      <c r="H30" s="116">
        <v>1540000000</v>
      </c>
      <c r="I30" s="116">
        <v>2220000000</v>
      </c>
      <c r="J30" s="116">
        <v>3480000000</v>
      </c>
      <c r="K30" s="116">
        <v>1830000000</v>
      </c>
    </row>
    <row r="31" spans="1:18">
      <c r="A31" s="115" t="s">
        <v>338</v>
      </c>
      <c r="D31" s="116">
        <v>2471227385</v>
      </c>
      <c r="E31" s="116">
        <v>1583274541</v>
      </c>
      <c r="F31" s="116">
        <v>1694877229</v>
      </c>
      <c r="G31" s="116">
        <v>1648646780</v>
      </c>
      <c r="H31" s="116">
        <v>2476536173</v>
      </c>
      <c r="I31" s="116">
        <v>3055845408</v>
      </c>
      <c r="J31" s="116">
        <f t="shared" ref="J31:R31" si="11">I31+J26-I26</f>
        <v>2618280949</v>
      </c>
      <c r="K31" s="116">
        <f t="shared" si="11"/>
        <v>1217208431</v>
      </c>
      <c r="L31" s="116">
        <f t="shared" si="11"/>
        <v>1068447465</v>
      </c>
      <c r="M31" s="116">
        <f t="shared" si="11"/>
        <v>991581598.28133392</v>
      </c>
      <c r="N31" s="116">
        <f t="shared" si="11"/>
        <v>695318548.55760956</v>
      </c>
      <c r="O31" s="116">
        <f t="shared" si="11"/>
        <v>225248061.63137436</v>
      </c>
      <c r="P31" s="116">
        <f t="shared" si="11"/>
        <v>-242512842.76176834</v>
      </c>
      <c r="Q31" s="116">
        <f t="shared" si="11"/>
        <v>-516398011.05348969</v>
      </c>
      <c r="R31" s="116">
        <f t="shared" si="11"/>
        <v>-827144947.45798111</v>
      </c>
    </row>
    <row r="32" spans="1:18">
      <c r="E32" s="116">
        <f>E31-D31</f>
        <v>-887952844</v>
      </c>
      <c r="F32" s="116">
        <f>F31-E31</f>
        <v>111602688</v>
      </c>
      <c r="G32" s="116">
        <f>G31-F31</f>
        <v>-46230449</v>
      </c>
      <c r="H32" s="116">
        <f>H31-G31</f>
        <v>827889393</v>
      </c>
      <c r="I32" s="116">
        <f>I31-H31</f>
        <v>579309235</v>
      </c>
    </row>
    <row r="38" spans="1:9">
      <c r="A38" s="115" t="s">
        <v>339</v>
      </c>
    </row>
    <row r="39" spans="1:9">
      <c r="A39" s="115" t="s">
        <v>323</v>
      </c>
      <c r="B39" s="116">
        <f>'RIN Retirements'!B4+'RIN Retirements'!B26+'RIN Retirements'!B48</f>
        <v>0</v>
      </c>
      <c r="C39" s="116">
        <f>'RIN Retirements'!C4+'RIN Retirements'!C26+'RIN Retirements'!C48</f>
        <v>0</v>
      </c>
      <c r="D39" s="116">
        <f>'RIN Retirements'!D4+'RIN Retirements'!D26+'RIN Retirements'!D48</f>
        <v>0</v>
      </c>
      <c r="E39" s="116">
        <f>'RIN Retirements'!E4+'RIN Retirements'!E26+'RIN Retirements'!E48</f>
        <v>293023</v>
      </c>
      <c r="F39" s="116">
        <f>'RIN Retirements'!F4+'RIN Retirements'!F26+'RIN Retirements'!F48</f>
        <v>21519986</v>
      </c>
      <c r="G39" s="116">
        <f>'RIN Retirements'!G4+'RIN Retirements'!G26+'RIN Retirements'!G48</f>
        <v>115477446</v>
      </c>
      <c r="H39" s="116">
        <f>'RIN Retirements'!H4+'RIN Retirements'!H26+'RIN Retirements'!H48</f>
        <v>191720986</v>
      </c>
      <c r="I39" s="116">
        <f>'RIN Retirements'!I4+'RIN Retirements'!I26+'RIN Retirements'!I48</f>
        <v>261797839</v>
      </c>
    </row>
    <row r="40" spans="1:9">
      <c r="A40" s="115" t="s">
        <v>324</v>
      </c>
      <c r="B40" s="116">
        <f>'RIN Retirements'!B8+'RIN Retirements'!B30+'RIN Retirements'!B60</f>
        <v>259756976</v>
      </c>
      <c r="C40" s="116">
        <f>'RIN Retirements'!C8+'RIN Retirements'!C30+'RIN Retirements'!C60</f>
        <v>1432202935</v>
      </c>
      <c r="D40" s="116">
        <f>'RIN Retirements'!D8+'RIN Retirements'!D30+'RIN Retirements'!D60</f>
        <v>1769859990</v>
      </c>
      <c r="E40" s="116">
        <f>'RIN Retirements'!E8+'RIN Retirements'!E30+'RIN Retirements'!E60</f>
        <v>2480660350</v>
      </c>
      <c r="F40" s="116">
        <f>'RIN Retirements'!F8+'RIN Retirements'!F30+'RIN Retirements'!F60</f>
        <v>2819782159</v>
      </c>
      <c r="G40" s="116">
        <f>'RIN Retirements'!G8+'RIN Retirements'!G30+'RIN Retirements'!G60</f>
        <v>2922121132</v>
      </c>
      <c r="H40" s="116">
        <f>'RIN Retirements'!H8+'RIN Retirements'!H30+'RIN Retirements'!H60</f>
        <v>3403016563</v>
      </c>
      <c r="I40" s="116">
        <f>'RIN Retirements'!I8+'RIN Retirements'!I30+'RIN Retirements'!I60</f>
        <v>3956397046</v>
      </c>
    </row>
    <row r="41" spans="1:9">
      <c r="A41" s="115" t="s">
        <v>325</v>
      </c>
      <c r="B41" s="116">
        <f>'RIN Retirements'!B12+'RIN Retirements'!B34+'RIN Retirements'!B72</f>
        <v>24975098</v>
      </c>
      <c r="C41" s="116">
        <f>'RIN Retirements'!C12+'RIN Retirements'!C34+'RIN Retirements'!C72</f>
        <v>178626333</v>
      </c>
      <c r="D41" s="116">
        <f>'RIN Retirements'!D12+'RIN Retirements'!D34+'RIN Retirements'!D72</f>
        <v>511193254</v>
      </c>
      <c r="E41" s="116">
        <f>'RIN Retirements'!E12+'RIN Retirements'!E34+'RIN Retirements'!E72</f>
        <v>680029914</v>
      </c>
      <c r="F41" s="116">
        <f>'RIN Retirements'!F12+'RIN Retirements'!F34+'RIN Retirements'!F72</f>
        <v>130950106</v>
      </c>
      <c r="G41" s="116">
        <f>'RIN Retirements'!G12+'RIN Retirements'!G34+'RIN Retirements'!G72</f>
        <v>101481528</v>
      </c>
      <c r="H41" s="116">
        <f>'RIN Retirements'!H12+'RIN Retirements'!H34+'RIN Retirements'!H72</f>
        <v>181704946</v>
      </c>
      <c r="I41" s="116">
        <f>'RIN Retirements'!I12+'RIN Retirements'!I34+'RIN Retirements'!I72</f>
        <v>150152677</v>
      </c>
    </row>
    <row r="42" spans="1:9">
      <c r="A42" s="115" t="s">
        <v>326</v>
      </c>
      <c r="B42" s="116">
        <f>'RIN Retirements'!B16+'RIN Retirements'!B38+'RIN Retirements'!B84</f>
        <v>4050778094</v>
      </c>
      <c r="C42" s="116">
        <f>'RIN Retirements'!C16+'RIN Retirements'!C38+'RIN Retirements'!C84</f>
        <v>12185149191</v>
      </c>
      <c r="D42" s="116">
        <f>'RIN Retirements'!D16+'RIN Retirements'!D38+'RIN Retirements'!D84</f>
        <v>14151871757</v>
      </c>
      <c r="E42" s="116">
        <f>'RIN Retirements'!E16+'RIN Retirements'!E38+'RIN Retirements'!E84</f>
        <v>14367054437</v>
      </c>
      <c r="F42" s="116">
        <f>'RIN Retirements'!F16+'RIN Retirements'!F38+'RIN Retirements'!F84</f>
        <v>14082966715</v>
      </c>
      <c r="G42" s="116">
        <f>'RIN Retirements'!G16+'RIN Retirements'!G38+'RIN Retirements'!G84</f>
        <v>14949493271</v>
      </c>
      <c r="H42" s="116">
        <f>'RIN Retirements'!H16+'RIN Retirements'!H38+'RIN Retirements'!H84</f>
        <v>14467035414</v>
      </c>
      <c r="I42" s="116">
        <f>'RIN Retirements'!I16+'RIN Retirements'!I38+'RIN Retirements'!I84</f>
        <v>14241615830</v>
      </c>
    </row>
    <row r="43" spans="1:9">
      <c r="A43" s="115" t="s">
        <v>327</v>
      </c>
      <c r="B43" s="116">
        <f>'RIN Retirements'!B20+'RIN Retirements'!B42+'RIN Retirements'!B96</f>
        <v>0</v>
      </c>
      <c r="C43" s="116">
        <f>'RIN Retirements'!C20+'RIN Retirements'!C42+'RIN Retirements'!C96</f>
        <v>0</v>
      </c>
      <c r="D43" s="116">
        <f>'RIN Retirements'!D20+'RIN Retirements'!D42+'RIN Retirements'!D96</f>
        <v>0</v>
      </c>
      <c r="E43" s="116">
        <f>'RIN Retirements'!E20+'RIN Retirements'!E42+'RIN Retirements'!E96</f>
        <v>332969</v>
      </c>
      <c r="F43" s="116">
        <f>'RIN Retirements'!F20+'RIN Retirements'!F42+'RIN Retirements'!F96</f>
        <v>111251</v>
      </c>
      <c r="G43" s="116">
        <f>'RIN Retirements'!G20+'RIN Retirements'!G42+'RIN Retirements'!G96</f>
        <v>127530</v>
      </c>
      <c r="H43" s="116">
        <f>'RIN Retirements'!H20+'RIN Retirements'!H42+'RIN Retirements'!H96</f>
        <v>624429</v>
      </c>
      <c r="I43" s="116">
        <f>'RIN Retirements'!I20+'RIN Retirements'!I42+'RIN Retirements'!I96</f>
        <v>1652129</v>
      </c>
    </row>
    <row r="46" spans="1:9">
      <c r="A46" s="115" t="s">
        <v>323</v>
      </c>
      <c r="B46" s="116">
        <f t="shared" ref="B46:I50" si="12">B39-B16</f>
        <v>0</v>
      </c>
      <c r="C46" s="116">
        <f t="shared" si="12"/>
        <v>0</v>
      </c>
      <c r="D46" s="116">
        <f t="shared" si="12"/>
        <v>0</v>
      </c>
      <c r="E46" s="116">
        <f t="shared" si="12"/>
        <v>0</v>
      </c>
      <c r="F46" s="116">
        <f t="shared" si="12"/>
        <v>376916</v>
      </c>
      <c r="G46" s="116">
        <f t="shared" si="12"/>
        <v>2635975</v>
      </c>
      <c r="H46" s="116">
        <f t="shared" si="12"/>
        <v>2371238</v>
      </c>
      <c r="I46" s="116">
        <f t="shared" si="12"/>
        <v>1908467</v>
      </c>
    </row>
    <row r="47" spans="1:9">
      <c r="A47" s="115" t="s">
        <v>324</v>
      </c>
      <c r="B47" s="116">
        <f t="shared" si="12"/>
        <v>37046429</v>
      </c>
      <c r="C47" s="116">
        <f t="shared" si="12"/>
        <v>112339543</v>
      </c>
      <c r="D47" s="116">
        <f t="shared" si="12"/>
        <v>90843468</v>
      </c>
      <c r="E47" s="116">
        <f t="shared" si="12"/>
        <v>101616659</v>
      </c>
      <c r="F47" s="116">
        <f t="shared" si="12"/>
        <v>98880630</v>
      </c>
      <c r="G47" s="116">
        <f t="shared" si="12"/>
        <v>45285015</v>
      </c>
      <c r="H47" s="116">
        <f t="shared" si="12"/>
        <v>121196799</v>
      </c>
      <c r="I47" s="116">
        <f t="shared" si="12"/>
        <v>111525533</v>
      </c>
    </row>
    <row r="48" spans="1:9">
      <c r="A48" s="115" t="s">
        <v>325</v>
      </c>
      <c r="B48" s="116">
        <f t="shared" si="12"/>
        <v>166656</v>
      </c>
      <c r="C48" s="116">
        <f t="shared" si="12"/>
        <v>5309829</v>
      </c>
      <c r="D48" s="116">
        <f t="shared" si="12"/>
        <v>29921504</v>
      </c>
      <c r="E48" s="116">
        <f t="shared" si="12"/>
        <v>6419374</v>
      </c>
      <c r="F48" s="116">
        <f t="shared" si="12"/>
        <v>220426</v>
      </c>
      <c r="G48" s="116">
        <f t="shared" si="12"/>
        <v>278127</v>
      </c>
      <c r="H48" s="116">
        <f t="shared" si="12"/>
        <v>148041</v>
      </c>
      <c r="I48" s="116">
        <f t="shared" si="12"/>
        <v>121052</v>
      </c>
    </row>
    <row r="49" spans="1:14">
      <c r="A49" s="115" t="s">
        <v>326</v>
      </c>
      <c r="B49" s="116">
        <f t="shared" si="12"/>
        <v>86969658</v>
      </c>
      <c r="C49" s="116">
        <f t="shared" si="12"/>
        <v>351005510</v>
      </c>
      <c r="D49" s="116">
        <f t="shared" si="12"/>
        <v>15606326</v>
      </c>
      <c r="E49" s="116">
        <f t="shared" si="12"/>
        <v>109057205</v>
      </c>
      <c r="F49" s="116">
        <f t="shared" si="12"/>
        <v>295428619</v>
      </c>
      <c r="G49" s="116">
        <f t="shared" si="12"/>
        <v>202001860</v>
      </c>
      <c r="H49" s="116">
        <f t="shared" si="12"/>
        <v>231345253</v>
      </c>
      <c r="I49" s="116">
        <f t="shared" si="12"/>
        <v>345215707</v>
      </c>
    </row>
    <row r="50" spans="1:14">
      <c r="A50" s="115" t="s">
        <v>327</v>
      </c>
      <c r="B50" s="116">
        <f t="shared" si="12"/>
        <v>0</v>
      </c>
      <c r="C50" s="116">
        <f t="shared" si="12"/>
        <v>0</v>
      </c>
      <c r="D50" s="116">
        <f t="shared" si="12"/>
        <v>0</v>
      </c>
      <c r="E50" s="116">
        <f t="shared" si="12"/>
        <v>8332</v>
      </c>
      <c r="F50" s="116">
        <f t="shared" si="12"/>
        <v>4997</v>
      </c>
      <c r="G50" s="116">
        <f t="shared" si="12"/>
        <v>27530</v>
      </c>
      <c r="H50" s="116">
        <f t="shared" si="12"/>
        <v>53441</v>
      </c>
      <c r="I50" s="116">
        <f t="shared" si="12"/>
        <v>75602</v>
      </c>
    </row>
    <row r="53" spans="1:14">
      <c r="A53" s="115" t="s">
        <v>331</v>
      </c>
    </row>
    <row r="54" spans="1:14">
      <c r="A54" s="115" t="s">
        <v>323</v>
      </c>
      <c r="B54" s="116">
        <f>'D3 RIN Balance Sheet'!B9</f>
        <v>0</v>
      </c>
      <c r="C54" s="116">
        <f>'D3 RIN Balance Sheet'!C9</f>
        <v>0</v>
      </c>
      <c r="D54" s="116">
        <f>'D3 RIN Balance Sheet'!D9</f>
        <v>0</v>
      </c>
      <c r="E54" s="116">
        <f>'D3 RIN Balance Sheet'!E9</f>
        <v>293023</v>
      </c>
      <c r="F54" s="116">
        <f>'D3 RIN Balance Sheet'!F9</f>
        <v>21143070</v>
      </c>
      <c r="G54" s="116">
        <f>'D3 RIN Balance Sheet'!G9</f>
        <v>112841471</v>
      </c>
      <c r="H54" s="116">
        <f>'D3 RIN Balance Sheet'!H9</f>
        <v>189349748</v>
      </c>
      <c r="I54" s="116">
        <f>'D3 RIN Balance Sheet'!I9</f>
        <v>259889372</v>
      </c>
      <c r="J54" s="116">
        <f>'D3 RIN Balance Sheet'!J9</f>
        <v>283940157</v>
      </c>
      <c r="K54" s="116">
        <f>'D3 RIN Balance Sheet'!K9</f>
        <v>410620831</v>
      </c>
    </row>
    <row r="55" spans="1:14">
      <c r="A55" s="115" t="s">
        <v>324</v>
      </c>
    </row>
    <row r="56" spans="1:14">
      <c r="A56" s="115" t="s">
        <v>325</v>
      </c>
    </row>
    <row r="57" spans="1:14">
      <c r="A57" s="115" t="s">
        <v>326</v>
      </c>
    </row>
    <row r="58" spans="1:14">
      <c r="A58" s="115" t="s">
        <v>327</v>
      </c>
    </row>
    <row r="60" spans="1:14">
      <c r="A60" s="115" t="s">
        <v>340</v>
      </c>
    </row>
    <row r="61" spans="1:14">
      <c r="A61" s="115" t="s">
        <v>341</v>
      </c>
      <c r="B61" s="116">
        <v>44980687</v>
      </c>
      <c r="C61" s="116">
        <v>20140537</v>
      </c>
      <c r="D61" s="116">
        <v>5979336</v>
      </c>
      <c r="E61" s="116">
        <v>3759050</v>
      </c>
      <c r="F61" s="116">
        <v>10761337</v>
      </c>
      <c r="G61" s="116">
        <v>2824332</v>
      </c>
      <c r="H61" s="116">
        <v>5499196</v>
      </c>
      <c r="I61" s="116">
        <v>8409310</v>
      </c>
      <c r="J61" s="116">
        <v>7773394</v>
      </c>
      <c r="K61" s="116">
        <v>2407946</v>
      </c>
      <c r="L61" s="116">
        <v>13405207</v>
      </c>
      <c r="M61" s="116">
        <v>135138639</v>
      </c>
      <c r="N61" s="116">
        <v>1893131812</v>
      </c>
    </row>
    <row r="62" spans="1:14">
      <c r="A62" s="115" t="s">
        <v>342</v>
      </c>
      <c r="B62" s="116">
        <v>384480501</v>
      </c>
      <c r="C62" s="116">
        <v>474969672</v>
      </c>
      <c r="D62" s="116">
        <v>9897774</v>
      </c>
      <c r="E62" s="116">
        <v>2708482</v>
      </c>
      <c r="F62" s="116">
        <v>9009597</v>
      </c>
      <c r="G62" s="116">
        <v>15126543</v>
      </c>
      <c r="H62" s="116">
        <v>20731538</v>
      </c>
      <c r="I62" s="116">
        <v>177927034</v>
      </c>
      <c r="J62" s="116">
        <v>5216120</v>
      </c>
      <c r="K62" s="116">
        <v>11318168</v>
      </c>
      <c r="L62" s="116">
        <v>1986659654</v>
      </c>
      <c r="M62" s="116">
        <v>18328523040</v>
      </c>
      <c r="N62" s="116">
        <v>16214603505</v>
      </c>
    </row>
    <row r="63" spans="1:14">
      <c r="A63" s="115" t="s">
        <v>343</v>
      </c>
      <c r="B63" s="116">
        <f>SUM(B61:B62)</f>
        <v>429461188</v>
      </c>
      <c r="C63" s="116">
        <f t="shared" ref="C63:N63" si="13">SUM(C61:C62)</f>
        <v>495110209</v>
      </c>
      <c r="D63" s="116">
        <f t="shared" si="13"/>
        <v>15877110</v>
      </c>
      <c r="E63" s="116">
        <f t="shared" si="13"/>
        <v>6467532</v>
      </c>
      <c r="F63" s="116">
        <f t="shared" si="13"/>
        <v>19770934</v>
      </c>
      <c r="G63" s="116">
        <f t="shared" si="13"/>
        <v>17950875</v>
      </c>
      <c r="H63" s="116">
        <f t="shared" si="13"/>
        <v>26230734</v>
      </c>
      <c r="I63" s="116">
        <f t="shared" si="13"/>
        <v>186336344</v>
      </c>
      <c r="J63" s="116">
        <f t="shared" si="13"/>
        <v>12989514</v>
      </c>
      <c r="K63" s="116">
        <f t="shared" si="13"/>
        <v>13726114</v>
      </c>
      <c r="L63" s="116">
        <f t="shared" si="13"/>
        <v>2000064861</v>
      </c>
      <c r="M63" s="116">
        <f t="shared" si="13"/>
        <v>18463661679</v>
      </c>
      <c r="N63" s="116">
        <f t="shared" si="13"/>
        <v>18107735317</v>
      </c>
    </row>
    <row r="65" spans="1:14">
      <c r="A65" s="115" t="s">
        <v>340</v>
      </c>
    </row>
    <row r="66" spans="1:14">
      <c r="A66" s="115" t="s">
        <v>341</v>
      </c>
      <c r="B66" s="116">
        <v>0</v>
      </c>
      <c r="C66" s="116">
        <v>0</v>
      </c>
      <c r="D66" s="116">
        <v>0</v>
      </c>
      <c r="E66" s="116">
        <v>0</v>
      </c>
      <c r="F66" s="116">
        <v>0</v>
      </c>
      <c r="G66" s="116">
        <v>523045</v>
      </c>
      <c r="H66" s="116">
        <v>830276</v>
      </c>
      <c r="I66" s="116">
        <v>34283</v>
      </c>
      <c r="J66" s="116">
        <v>10907</v>
      </c>
      <c r="K66" s="116">
        <v>20777</v>
      </c>
      <c r="L66" s="116">
        <v>129460</v>
      </c>
      <c r="M66" s="116">
        <v>3176174</v>
      </c>
      <c r="N66" s="116">
        <v>27099284</v>
      </c>
    </row>
    <row r="67" spans="1:14">
      <c r="A67" s="115" t="s">
        <v>342</v>
      </c>
      <c r="B67" s="116">
        <v>0</v>
      </c>
      <c r="C67" s="116">
        <v>0</v>
      </c>
      <c r="D67" s="116">
        <v>0</v>
      </c>
      <c r="E67" s="116">
        <v>0</v>
      </c>
      <c r="F67" s="116">
        <v>0</v>
      </c>
      <c r="G67" s="116">
        <v>1749203</v>
      </c>
      <c r="H67" s="116">
        <v>1593121</v>
      </c>
      <c r="I67" s="116">
        <v>948992</v>
      </c>
      <c r="J67" s="116">
        <v>756262</v>
      </c>
      <c r="K67" s="116">
        <v>2922885</v>
      </c>
      <c r="L67" s="116">
        <v>6061736</v>
      </c>
      <c r="M67" s="116">
        <v>251550511</v>
      </c>
      <c r="N67" s="116">
        <v>66960171</v>
      </c>
    </row>
    <row r="68" spans="1:14">
      <c r="A68" s="115" t="s">
        <v>344</v>
      </c>
      <c r="B68" s="116">
        <f>SUM(B66:B67)</f>
        <v>0</v>
      </c>
      <c r="C68" s="116">
        <f t="shared" ref="C68:N68" si="14">SUM(C66:C67)</f>
        <v>0</v>
      </c>
      <c r="D68" s="116">
        <f t="shared" si="14"/>
        <v>0</v>
      </c>
      <c r="E68" s="116">
        <f t="shared" si="14"/>
        <v>0</v>
      </c>
      <c r="F68" s="116">
        <f t="shared" si="14"/>
        <v>0</v>
      </c>
      <c r="G68" s="116">
        <f t="shared" si="14"/>
        <v>2272248</v>
      </c>
      <c r="H68" s="116">
        <f t="shared" si="14"/>
        <v>2423397</v>
      </c>
      <c r="I68" s="116">
        <f t="shared" si="14"/>
        <v>983275</v>
      </c>
      <c r="J68" s="116">
        <f t="shared" si="14"/>
        <v>767169</v>
      </c>
      <c r="K68" s="116">
        <f t="shared" si="14"/>
        <v>2943662</v>
      </c>
      <c r="L68" s="116">
        <f t="shared" si="14"/>
        <v>6191196</v>
      </c>
      <c r="M68" s="116">
        <f t="shared" si="14"/>
        <v>254726685</v>
      </c>
      <c r="N68" s="116">
        <f t="shared" si="14"/>
        <v>94059455</v>
      </c>
    </row>
    <row r="70" spans="1:14">
      <c r="A70" s="115" t="s">
        <v>340</v>
      </c>
    </row>
    <row r="71" spans="1:14">
      <c r="A71" s="115" t="s">
        <v>341</v>
      </c>
      <c r="B71" s="116">
        <v>16837332</v>
      </c>
      <c r="C71" s="116">
        <v>47904708</v>
      </c>
      <c r="D71" s="116">
        <v>86126098</v>
      </c>
      <c r="E71" s="116">
        <v>186354778</v>
      </c>
      <c r="F71" s="116">
        <v>366826491</v>
      </c>
      <c r="G71" s="116">
        <v>230033675</v>
      </c>
      <c r="H71" s="116">
        <v>266061669</v>
      </c>
      <c r="I71" s="116">
        <v>295396336</v>
      </c>
      <c r="J71" s="116">
        <v>252758810</v>
      </c>
      <c r="K71" s="116">
        <v>289966450</v>
      </c>
      <c r="L71" s="116">
        <v>293361060</v>
      </c>
      <c r="M71" s="116">
        <v>209345702</v>
      </c>
      <c r="N71" s="116">
        <v>190974775</v>
      </c>
    </row>
    <row r="72" spans="1:14">
      <c r="A72" s="115" t="s">
        <v>342</v>
      </c>
      <c r="B72" s="116">
        <v>6701677409</v>
      </c>
      <c r="C72" s="116">
        <v>14992472822</v>
      </c>
      <c r="D72" s="116">
        <v>15250266889</v>
      </c>
      <c r="E72" s="116">
        <v>16456806911</v>
      </c>
      <c r="F72" s="116">
        <v>16859399925</v>
      </c>
      <c r="G72" s="116">
        <v>17680850579</v>
      </c>
      <c r="H72" s="116">
        <v>19181480293</v>
      </c>
      <c r="I72" s="116">
        <v>19097108389</v>
      </c>
      <c r="J72" s="116">
        <v>19299621377</v>
      </c>
      <c r="K72" s="116">
        <v>19505972064</v>
      </c>
      <c r="L72" s="116">
        <v>16018639455</v>
      </c>
      <c r="M72" s="116">
        <v>1006703844</v>
      </c>
      <c r="N72" s="116">
        <v>982142664</v>
      </c>
    </row>
    <row r="73" spans="1:14">
      <c r="A73" s="115" t="s">
        <v>345</v>
      </c>
      <c r="B73" s="116">
        <f>B72+B71</f>
        <v>6718514741</v>
      </c>
      <c r="C73" s="116">
        <f t="shared" ref="C73:N73" si="15">C72+C71</f>
        <v>15040377530</v>
      </c>
      <c r="D73" s="116">
        <f t="shared" si="15"/>
        <v>15336392987</v>
      </c>
      <c r="E73" s="116">
        <f t="shared" si="15"/>
        <v>16643161689</v>
      </c>
      <c r="F73" s="116">
        <f t="shared" si="15"/>
        <v>17226226416</v>
      </c>
      <c r="G73" s="116">
        <f t="shared" si="15"/>
        <v>17910884254</v>
      </c>
      <c r="H73" s="116">
        <f t="shared" si="15"/>
        <v>19447541962</v>
      </c>
      <c r="I73" s="116">
        <f t="shared" si="15"/>
        <v>19392504725</v>
      </c>
      <c r="J73" s="116">
        <f t="shared" si="15"/>
        <v>19552380187</v>
      </c>
      <c r="K73" s="116">
        <f t="shared" si="15"/>
        <v>19795938514</v>
      </c>
      <c r="L73" s="116">
        <f t="shared" si="15"/>
        <v>16312000515</v>
      </c>
      <c r="M73" s="116">
        <f t="shared" si="15"/>
        <v>1216049546</v>
      </c>
      <c r="N73" s="116">
        <f t="shared" si="15"/>
        <v>1173117439</v>
      </c>
    </row>
    <row r="77" spans="1:14">
      <c r="A77" s="115" t="s">
        <v>346</v>
      </c>
      <c r="B77" s="116">
        <v>7147975929</v>
      </c>
      <c r="C77" s="116">
        <v>15535487739</v>
      </c>
      <c r="D77" s="116">
        <v>15352270097</v>
      </c>
      <c r="E77" s="116">
        <v>16649629221</v>
      </c>
      <c r="F77" s="116">
        <v>17245997350</v>
      </c>
      <c r="G77" s="116">
        <v>17931107377</v>
      </c>
      <c r="H77" s="116">
        <v>19476196093</v>
      </c>
      <c r="I77" s="116">
        <v>19579824344</v>
      </c>
      <c r="J77" s="116">
        <v>19566136870</v>
      </c>
      <c r="K77" s="116">
        <v>19812608290</v>
      </c>
      <c r="L77" s="116">
        <v>18318256572</v>
      </c>
      <c r="M77" s="116">
        <v>19934437910</v>
      </c>
      <c r="N77" s="116">
        <v>19374912211</v>
      </c>
    </row>
    <row r="78" spans="1:14">
      <c r="A78" s="115" t="s">
        <v>347</v>
      </c>
      <c r="B78" s="116">
        <f>B73</f>
        <v>6718514741</v>
      </c>
      <c r="C78" s="116">
        <f t="shared" ref="C78:N78" si="16">C73</f>
        <v>15040377530</v>
      </c>
      <c r="D78" s="116">
        <f t="shared" si="16"/>
        <v>15336392987</v>
      </c>
      <c r="E78" s="116">
        <f t="shared" si="16"/>
        <v>16643161689</v>
      </c>
      <c r="F78" s="116">
        <f t="shared" si="16"/>
        <v>17226226416</v>
      </c>
      <c r="G78" s="116">
        <f t="shared" si="16"/>
        <v>17910884254</v>
      </c>
      <c r="H78" s="116">
        <f t="shared" si="16"/>
        <v>19447541962</v>
      </c>
      <c r="I78" s="116">
        <f t="shared" si="16"/>
        <v>19392504725</v>
      </c>
      <c r="J78" s="116">
        <f t="shared" si="16"/>
        <v>19552380187</v>
      </c>
      <c r="K78" s="116">
        <f t="shared" si="16"/>
        <v>19795938514</v>
      </c>
      <c r="L78" s="116">
        <f t="shared" si="16"/>
        <v>16312000515</v>
      </c>
      <c r="M78" s="116">
        <f t="shared" si="16"/>
        <v>1216049546</v>
      </c>
      <c r="N78" s="116">
        <f t="shared" si="16"/>
        <v>1173117439</v>
      </c>
    </row>
    <row r="79" spans="1:14">
      <c r="A79" s="115" t="s">
        <v>348</v>
      </c>
      <c r="B79" s="116">
        <f>B77-B78</f>
        <v>429461188</v>
      </c>
      <c r="C79" s="116">
        <f t="shared" ref="C79:N79" si="17">C77-C78</f>
        <v>495110209</v>
      </c>
      <c r="D79" s="116">
        <f t="shared" si="17"/>
        <v>15877110</v>
      </c>
      <c r="E79" s="116">
        <f t="shared" si="17"/>
        <v>6467532</v>
      </c>
      <c r="F79" s="116">
        <f t="shared" si="17"/>
        <v>19770934</v>
      </c>
      <c r="G79" s="116">
        <f t="shared" si="17"/>
        <v>20223123</v>
      </c>
      <c r="H79" s="116">
        <f t="shared" si="17"/>
        <v>28654131</v>
      </c>
      <c r="I79" s="116">
        <f t="shared" si="17"/>
        <v>187319619</v>
      </c>
      <c r="J79" s="116">
        <f t="shared" si="17"/>
        <v>13756683</v>
      </c>
      <c r="K79" s="116">
        <f t="shared" si="17"/>
        <v>16669776</v>
      </c>
      <c r="L79" s="116">
        <f t="shared" si="17"/>
        <v>2006256057</v>
      </c>
      <c r="M79" s="116">
        <f t="shared" si="17"/>
        <v>18718388364</v>
      </c>
      <c r="N79" s="116">
        <f t="shared" si="17"/>
        <v>18201794772</v>
      </c>
    </row>
    <row r="86" spans="1:18">
      <c r="A86" s="115" t="s">
        <v>349</v>
      </c>
      <c r="B86" s="116"/>
      <c r="C86" s="116"/>
      <c r="D86" s="116">
        <v>2471227385</v>
      </c>
      <c r="E86" s="116">
        <v>1583274541</v>
      </c>
      <c r="F86" s="116">
        <v>1694877229</v>
      </c>
      <c r="G86" s="116">
        <v>1648646780</v>
      </c>
      <c r="H86" s="116">
        <v>2476536173</v>
      </c>
      <c r="I86" s="116">
        <v>3055845408</v>
      </c>
      <c r="J86" s="116">
        <v>2618273207</v>
      </c>
      <c r="K86" s="116">
        <v>1217200689</v>
      </c>
      <c r="L86" s="116">
        <v>2945654913</v>
      </c>
      <c r="M86" s="116">
        <v>3245821153.3092346</v>
      </c>
      <c r="N86" s="116">
        <v>3429482020.8462639</v>
      </c>
      <c r="O86" s="116">
        <v>3557504845.0987473</v>
      </c>
      <c r="P86" s="116">
        <v>3840571105.804306</v>
      </c>
      <c r="Q86" s="116">
        <v>4513118919.6473045</v>
      </c>
      <c r="R86" s="116">
        <v>4998005751.9994316</v>
      </c>
    </row>
    <row r="87" spans="1:18">
      <c r="A87" s="115" t="s">
        <v>350</v>
      </c>
      <c r="D87" s="116"/>
      <c r="E87" s="116"/>
      <c r="F87" s="116"/>
      <c r="G87" s="116"/>
      <c r="H87" s="116"/>
      <c r="I87" s="116"/>
      <c r="J87" s="116"/>
      <c r="K87" s="116"/>
      <c r="L87" s="116"/>
      <c r="M87" s="116"/>
      <c r="N87" s="116"/>
      <c r="O87" s="116">
        <v>3573483858.7486305</v>
      </c>
      <c r="P87" s="116">
        <v>3878758481.0677338</v>
      </c>
      <c r="Q87" s="116">
        <v>4588460029.2978439</v>
      </c>
      <c r="R87" s="116">
        <v>5061572229.3122978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61A2C-6611-4A8D-86F1-7DCFF9CF2511}">
  <dimension ref="A1:P58"/>
  <sheetViews>
    <sheetView zoomScale="115" zoomScaleNormal="115" workbookViewId="0">
      <pane xSplit="1" ySplit="1" topLeftCell="L38" activePane="bottomRight" state="frozen"/>
      <selection activeCell="AD6" sqref="AD6"/>
      <selection pane="topRight" activeCell="AD6" sqref="AD6"/>
      <selection pane="bottomLeft" activeCell="AD6" sqref="AD6"/>
      <selection pane="bottomRight" activeCell="AD6" sqref="AD6"/>
    </sheetView>
  </sheetViews>
  <sheetFormatPr defaultColWidth="9.140625" defaultRowHeight="16.5"/>
  <cols>
    <col min="1" max="1" width="30.42578125" style="118" customWidth="1"/>
    <col min="2" max="16" width="14.28515625" style="118" customWidth="1"/>
    <col min="17" max="16384" width="9.140625" style="118"/>
  </cols>
  <sheetData>
    <row r="1" spans="1:16">
      <c r="B1" s="115">
        <v>2010</v>
      </c>
      <c r="C1" s="115">
        <v>2011</v>
      </c>
      <c r="D1" s="115">
        <v>2012</v>
      </c>
      <c r="E1" s="115">
        <v>2013</v>
      </c>
      <c r="F1" s="115">
        <v>2014</v>
      </c>
      <c r="G1" s="115">
        <v>2015</v>
      </c>
      <c r="H1" s="115">
        <v>2016</v>
      </c>
      <c r="I1" s="115">
        <v>2017</v>
      </c>
      <c r="J1" s="115">
        <v>2018</v>
      </c>
      <c r="K1" s="115">
        <v>2019</v>
      </c>
      <c r="L1" s="115">
        <v>2020</v>
      </c>
      <c r="M1" s="115">
        <v>2021</v>
      </c>
      <c r="N1" s="115">
        <v>2022</v>
      </c>
      <c r="O1" s="115">
        <v>2023</v>
      </c>
      <c r="P1" s="115">
        <v>2024</v>
      </c>
    </row>
    <row r="2" spans="1:16">
      <c r="A2" s="118" t="s">
        <v>351</v>
      </c>
      <c r="B2" s="115"/>
      <c r="C2" s="115"/>
      <c r="D2" s="115"/>
      <c r="E2" s="115"/>
      <c r="F2" s="115"/>
      <c r="G2" s="115"/>
      <c r="H2" s="115"/>
      <c r="I2" s="115"/>
      <c r="J2" s="115"/>
      <c r="K2" s="115"/>
      <c r="L2" s="115"/>
      <c r="M2" s="115"/>
      <c r="N2" s="115"/>
      <c r="O2" s="115"/>
      <c r="P2" s="115"/>
    </row>
    <row r="3" spans="1:16">
      <c r="A3" s="118" t="s">
        <v>323</v>
      </c>
      <c r="B3" s="116">
        <f>'D3 RIN Balance Sheet'!B12</f>
        <v>0</v>
      </c>
      <c r="C3" s="116">
        <f>'D3 RIN Balance Sheet'!C12</f>
        <v>0</v>
      </c>
      <c r="D3" s="116">
        <f>'D3 RIN Balance Sheet'!D12</f>
        <v>20069</v>
      </c>
      <c r="E3" s="116">
        <f>'D3 RIN Balance Sheet'!E12</f>
        <v>129717</v>
      </c>
      <c r="F3" s="116">
        <f>'D3 RIN Balance Sheet'!F12</f>
        <v>11799669.525199842</v>
      </c>
      <c r="G3" s="116">
        <f>'D3 RIN Balance Sheet'!G12</f>
        <v>26126570.475454479</v>
      </c>
      <c r="H3" s="116">
        <f>'D3 RIN Balance Sheet'!H12</f>
        <v>-1473393.0659379065</v>
      </c>
      <c r="I3" s="116">
        <f>'D3 RIN Balance Sheet'!I12</f>
        <v>-21155233.883696884</v>
      </c>
      <c r="J3" s="116">
        <f>'D3 RIN Balance Sheet'!J12</f>
        <v>-3492728.8441342115</v>
      </c>
      <c r="K3" s="116">
        <f>'D3 RIN Balance Sheet'!K12</f>
        <v>-32232119.661492348</v>
      </c>
      <c r="L3" s="116">
        <f>'D3 RIN Balance Sheet'!L12</f>
        <v>-29431809.174464822</v>
      </c>
      <c r="M3" s="116">
        <f>'D3 RIN Balance Sheet'!M12</f>
        <v>-20178316.521314502</v>
      </c>
      <c r="N3" s="116">
        <f>'D3 RIN Balance Sheet'!N12</f>
        <v>-23810284.754832506</v>
      </c>
      <c r="O3" s="116">
        <f>'D3 RIN Balance Sheet'!O12</f>
        <v>-56056404.717015982</v>
      </c>
      <c r="P3" s="116">
        <f>'D3 RIN Balance Sheet'!P12</f>
        <v>893068132.37624502</v>
      </c>
    </row>
    <row r="4" spans="1:16">
      <c r="A4" s="118" t="s">
        <v>324</v>
      </c>
      <c r="B4" s="116">
        <f>'D4 RIN Balance Sheet'!B12</f>
        <v>63519472</v>
      </c>
      <c r="C4" s="116">
        <f>'D4 RIN Balance Sheet'!C12</f>
        <v>259411089</v>
      </c>
      <c r="D4" s="116">
        <f>'D4 RIN Balance Sheet'!D12</f>
        <v>-32525993</v>
      </c>
      <c r="E4" s="116">
        <f>'D4 RIN Balance Sheet'!E12</f>
        <v>259814081</v>
      </c>
      <c r="F4" s="116">
        <f>'D4 RIN Balance Sheet'!F12</f>
        <v>-132770724.17572689</v>
      </c>
      <c r="G4" s="116">
        <f>'D4 RIN Balance Sheet'!G12</f>
        <v>-159819294.49620914</v>
      </c>
      <c r="H4" s="116">
        <f>'D4 RIN Balance Sheet'!H12</f>
        <v>558076129.33542204</v>
      </c>
      <c r="I4" s="116">
        <f>'D4 RIN Balance Sheet'!I12</f>
        <v>-235175213.70369577</v>
      </c>
      <c r="J4" s="116">
        <f>'D4 RIN Balance Sheet'!J12</f>
        <v>-430440402.94516373</v>
      </c>
      <c r="K4" s="116">
        <f>'D4 RIN Balance Sheet'!K12</f>
        <v>-747597578.14957476</v>
      </c>
      <c r="L4" s="116">
        <f>'D4 RIN Balance Sheet'!L12</f>
        <v>-216438312.1744647</v>
      </c>
      <c r="M4" s="116">
        <f>'D4 RIN Balance Sheet'!M12</f>
        <v>-151174037.57372475</v>
      </c>
      <c r="N4" s="116">
        <f>'D4 RIN Balance Sheet'!N12</f>
        <v>-169039405.99974537</v>
      </c>
      <c r="O4" s="116">
        <f>'D4 RIN Balance Sheet'!O12</f>
        <v>556207283.62031364</v>
      </c>
      <c r="P4" s="116">
        <f>'D4 RIN Balance Sheet'!P12</f>
        <v>8012583738.8372765</v>
      </c>
    </row>
    <row r="5" spans="1:16">
      <c r="A5" s="118" t="s">
        <v>325</v>
      </c>
      <c r="B5" s="116">
        <f>'D5 RIN Balance Sheet'!B12</f>
        <v>3636534</v>
      </c>
      <c r="C5" s="116">
        <f>'D5 RIN Balance Sheet'!C12</f>
        <v>49931685</v>
      </c>
      <c r="D5" s="116">
        <f>'D5 RIN Balance Sheet'!D12</f>
        <v>115879435</v>
      </c>
      <c r="E5" s="116">
        <f>'D5 RIN Balance Sheet'!E12</f>
        <v>-122205226</v>
      </c>
      <c r="F5" s="116">
        <f>'D5 RIN Balance Sheet'!F12</f>
        <v>3554653.1757269502</v>
      </c>
      <c r="G5" s="116">
        <f>'D5 RIN Balance Sheet'!G12</f>
        <v>44813442.496209264</v>
      </c>
      <c r="H5" s="116">
        <f>'D5 RIN Balance Sheet'!H12</f>
        <v>-83990576.335422069</v>
      </c>
      <c r="I5" s="116">
        <f>'D5 RIN Balance Sheet'!I12</f>
        <v>-25986873.296304256</v>
      </c>
      <c r="J5" s="116">
        <f>'D5 RIN Balance Sheet'!J12</f>
        <v>-77171362.054836512</v>
      </c>
      <c r="K5" s="116">
        <f>'D5 RIN Balance Sheet'!K12</f>
        <v>-307113280.88175583</v>
      </c>
      <c r="L5" s="116">
        <f>'D5 RIN Balance Sheet'!L12</f>
        <v>-97094205.825535238</v>
      </c>
      <c r="M5" s="116">
        <f>'D5 RIN Balance Sheet'!M12</f>
        <v>-31802636.426275671</v>
      </c>
      <c r="N5" s="116">
        <f>'D5 RIN Balance Sheet'!N12</f>
        <v>-29214968.00025475</v>
      </c>
      <c r="O5" s="116">
        <f>'D5 RIN Balance Sheet'!O12</f>
        <v>-10714845.620313823</v>
      </c>
      <c r="P5" s="116">
        <f>'D5 RIN Balance Sheet'!P12</f>
        <v>187336652.16272354</v>
      </c>
    </row>
    <row r="6" spans="1:16">
      <c r="A6" s="118" t="s">
        <v>326</v>
      </c>
      <c r="B6" s="116">
        <f>'D6 RIN Balance Sheet'!B12</f>
        <v>2745309755</v>
      </c>
      <c r="C6" s="116">
        <f>'D6 RIN Balance Sheet'!C12</f>
        <v>11944446795</v>
      </c>
      <c r="D6" s="116">
        <f>'D6 RIN Balance Sheet'!D12</f>
        <v>11293218753</v>
      </c>
      <c r="E6" s="116">
        <f>'D6 RIN Balance Sheet'!E12</f>
        <v>10862410689</v>
      </c>
      <c r="F6" s="116">
        <f>'D6 RIN Balance Sheet'!F12</f>
        <v>11181958343</v>
      </c>
      <c r="G6" s="116">
        <f>'D6 RIN Balance Sheet'!G12</f>
        <v>11590424036</v>
      </c>
      <c r="H6" s="116">
        <f>'D6 RIN Balance Sheet'!H12</f>
        <v>11420022019</v>
      </c>
      <c r="I6" s="116">
        <f>'D6 RIN Balance Sheet'!I12</f>
        <v>10286477262</v>
      </c>
      <c r="J6" s="116">
        <f>'D6 RIN Balance Sheet'!J12</f>
        <v>9579802087</v>
      </c>
      <c r="K6" s="116">
        <f>'D6 RIN Balance Sheet'!K12</f>
        <v>8736567685</v>
      </c>
      <c r="L6" s="116">
        <f>'D6 RIN Balance Sheet'!L12</f>
        <v>7444432808</v>
      </c>
      <c r="M6" s="116">
        <f>'D6 RIN Balance Sheet'!M12</f>
        <v>8730426173</v>
      </c>
      <c r="N6" s="116">
        <f>'D6 RIN Balance Sheet'!N12</f>
        <v>8092403971</v>
      </c>
      <c r="O6" s="116">
        <f>'D6 RIN Balance Sheet'!O12</f>
        <v>7028907751</v>
      </c>
      <c r="P6" s="116">
        <f>'D6 RIN Balance Sheet'!P12</f>
        <v>13420548303</v>
      </c>
    </row>
    <row r="7" spans="1:16">
      <c r="A7" s="118" t="s">
        <v>327</v>
      </c>
      <c r="B7" s="116">
        <f>'D7 RIN Balance Sheet'!B12</f>
        <v>0</v>
      </c>
      <c r="C7" s="116">
        <f>'D7 RIN Balance Sheet'!C12</f>
        <v>0</v>
      </c>
      <c r="D7" s="116">
        <f>'D7 RIN Balance Sheet'!D12</f>
        <v>1741</v>
      </c>
      <c r="E7" s="116">
        <f>'D7 RIN Balance Sheet'!E12</f>
        <v>62808</v>
      </c>
      <c r="F7" s="116">
        <f>'D7 RIN Balance Sheet'!F12</f>
        <v>-90241.525199843134</v>
      </c>
      <c r="G7" s="116">
        <f>'D7 RIN Balance Sheet'!G12</f>
        <v>147009.52454550605</v>
      </c>
      <c r="H7" s="116">
        <f>'D7 RIN Balance Sheet'!H12</f>
        <v>-94097.934062106535</v>
      </c>
      <c r="I7" s="116">
        <f>'D7 RIN Balance Sheet'!I12</f>
        <v>64032.883696883917</v>
      </c>
      <c r="J7" s="116">
        <f>'D7 RIN Balance Sheet'!J12</f>
        <v>552472.84413422272</v>
      </c>
      <c r="K7" s="116">
        <f>'D7 RIN Balance Sheet'!K12</f>
        <v>-860978.33850763366</v>
      </c>
      <c r="L7" s="116">
        <f>'D7 RIN Balance Sheet'!L12</f>
        <v>-96896.825535196811</v>
      </c>
      <c r="M7" s="116">
        <f>'D7 RIN Balance Sheet'!M12</f>
        <v>-2287.4786854833364</v>
      </c>
      <c r="N7" s="116">
        <f>'D7 RIN Balance Sheet'!N12</f>
        <v>-11620.245167501271</v>
      </c>
      <c r="O7" s="116">
        <f>'D7 RIN Balance Sheet'!O12</f>
        <v>-7977.2829839773476</v>
      </c>
      <c r="P7" s="116">
        <f>'D7 RIN Balance Sheet'!P12</f>
        <v>196127.62375502288</v>
      </c>
    </row>
    <row r="8" spans="1:16">
      <c r="B8" s="115"/>
      <c r="C8" s="115"/>
      <c r="D8" s="115"/>
      <c r="E8" s="115"/>
      <c r="F8" s="115"/>
      <c r="G8" s="115"/>
      <c r="H8" s="115"/>
      <c r="I8" s="115"/>
      <c r="J8" s="115"/>
      <c r="K8" s="115"/>
      <c r="L8" s="115"/>
      <c r="M8" s="115"/>
      <c r="N8" s="115"/>
      <c r="O8" s="115"/>
      <c r="P8" s="115"/>
    </row>
    <row r="9" spans="1:16">
      <c r="A9" s="118" t="s">
        <v>352</v>
      </c>
      <c r="B9" s="119"/>
      <c r="C9" s="119"/>
      <c r="D9" s="119"/>
      <c r="E9" s="119"/>
      <c r="F9" s="119"/>
      <c r="G9" s="119"/>
      <c r="H9" s="119"/>
      <c r="I9" s="119"/>
    </row>
    <row r="10" spans="1:16">
      <c r="A10" s="118" t="s">
        <v>353</v>
      </c>
      <c r="B10" s="119"/>
      <c r="C10" s="119"/>
      <c r="D10" s="119">
        <v>21810</v>
      </c>
      <c r="E10" s="119">
        <v>194266</v>
      </c>
      <c r="F10" s="119">
        <v>11971137</v>
      </c>
      <c r="G10" s="119">
        <v>38672858</v>
      </c>
      <c r="H10" s="119">
        <v>38793644</v>
      </c>
      <c r="I10" s="119">
        <v>21404526</v>
      </c>
      <c r="J10" s="119">
        <f>'D3 RIN Balance Sheet'!J12+'D7 RIN Balance Sheet'!J12</f>
        <v>-2940255.9999999888</v>
      </c>
      <c r="K10" s="119">
        <f>'D3 RIN Balance Sheet'!K12+'D7 RIN Balance Sheet'!K12</f>
        <v>-33093097.999999981</v>
      </c>
      <c r="L10" s="119">
        <f>'D3 RIN Balance Sheet'!L12+'D7 RIN Balance Sheet'!L12</f>
        <v>-29528706.000000019</v>
      </c>
      <c r="M10" s="119">
        <f>'D3 RIN Balance Sheet'!M12+'D7 RIN Balance Sheet'!M12</f>
        <v>-20180603.999999985</v>
      </c>
      <c r="N10" s="119">
        <f>'D3 RIN Balance Sheet'!N12+'D7 RIN Balance Sheet'!N12</f>
        <v>-23821905.000000007</v>
      </c>
      <c r="O10" s="119">
        <f>'D3 RIN Balance Sheet'!O12+'D7 RIN Balance Sheet'!O12</f>
        <v>-56064381.999999955</v>
      </c>
      <c r="P10" s="119">
        <f>'D3 RIN Balance Sheet'!P12+'D7 RIN Balance Sheet'!P12</f>
        <v>893264260</v>
      </c>
    </row>
    <row r="11" spans="1:16">
      <c r="A11" s="118" t="s">
        <v>354</v>
      </c>
      <c r="B11" s="119"/>
      <c r="C11" s="119"/>
      <c r="D11" s="119">
        <v>264535851</v>
      </c>
      <c r="E11" s="119">
        <v>521898462</v>
      </c>
      <c r="F11" s="119">
        <v>409981084</v>
      </c>
      <c r="G11" s="119">
        <v>272409710</v>
      </c>
      <c r="H11" s="119">
        <v>872426739</v>
      </c>
      <c r="I11" s="119">
        <v>715063109</v>
      </c>
      <c r="J11" s="119">
        <f>'D4 RIN Balance Sheet'!J12+'D7 RIN Balance Sheet'!J12</f>
        <v>-429887930.10102952</v>
      </c>
      <c r="K11" s="119">
        <f>'D4 RIN Balance Sheet'!K12+'D7 RIN Balance Sheet'!K12</f>
        <v>-748458556.48808241</v>
      </c>
      <c r="L11" s="119">
        <f>'D4 RIN Balance Sheet'!L12+'D7 RIN Balance Sheet'!L12</f>
        <v>-216535208.99999991</v>
      </c>
      <c r="M11" s="119">
        <f>'D4 RIN Balance Sheet'!M12+'D7 RIN Balance Sheet'!M12</f>
        <v>-151176325.05241024</v>
      </c>
      <c r="N11" s="119">
        <f>'D4 RIN Balance Sheet'!N12+'D7 RIN Balance Sheet'!N12</f>
        <v>-169051026.24491286</v>
      </c>
      <c r="O11" s="119">
        <f>'D4 RIN Balance Sheet'!O12+'D7 RIN Balance Sheet'!O12</f>
        <v>556199306.33732963</v>
      </c>
      <c r="P11" s="119">
        <f>'D4 RIN Balance Sheet'!P12+'D7 RIN Balance Sheet'!P12</f>
        <v>8012779866.4610319</v>
      </c>
    </row>
    <row r="12" spans="1:16">
      <c r="A12" s="118" t="s">
        <v>355</v>
      </c>
      <c r="B12" s="119"/>
      <c r="C12" s="119"/>
      <c r="D12" s="119">
        <v>431258854</v>
      </c>
      <c r="E12" s="119">
        <v>565118145</v>
      </c>
      <c r="F12" s="119">
        <v>477339429</v>
      </c>
      <c r="G12" s="119">
        <v>411137437</v>
      </c>
      <c r="H12" s="119">
        <v>926167271</v>
      </c>
      <c r="I12" s="119">
        <v>739925183</v>
      </c>
      <c r="J12" s="119">
        <f>'D3 RIN Balance Sheet'!J12+'D4 RIN Balance Sheet'!J12+'D5 RIN Balance Sheet'!J12+'D7 RIN Balance Sheet'!J12</f>
        <v>-510552021.00000024</v>
      </c>
      <c r="K12" s="119">
        <f>'D3 RIN Balance Sheet'!K12+'D4 RIN Balance Sheet'!K12+'D5 RIN Balance Sheet'!K12+'D7 RIN Balance Sheet'!K12</f>
        <v>-1087803957.0313306</v>
      </c>
      <c r="L12" s="119">
        <f>'D3 RIN Balance Sheet'!L12+'D4 RIN Balance Sheet'!L12+'D5 RIN Balance Sheet'!L12+'D7 RIN Balance Sheet'!L12</f>
        <v>-343061223.99999994</v>
      </c>
      <c r="M12" s="119">
        <f>'D3 RIN Balance Sheet'!M12+'D4 RIN Balance Sheet'!M12+'D5 RIN Balance Sheet'!M12+'D7 RIN Balance Sheet'!M12</f>
        <v>-203157278.00000042</v>
      </c>
      <c r="N12" s="119">
        <f>'D3 RIN Balance Sheet'!N12+'D4 RIN Balance Sheet'!N12+'D5 RIN Balance Sheet'!N12+'D7 RIN Balance Sheet'!N12</f>
        <v>-222076279.00000012</v>
      </c>
      <c r="O12" s="119">
        <f>'D3 RIN Balance Sheet'!O12+'D4 RIN Balance Sheet'!O12+'D5 RIN Balance Sheet'!O12+'D7 RIN Balance Sheet'!O12</f>
        <v>489428055.99999988</v>
      </c>
      <c r="P12" s="119">
        <f>'D3 RIN Balance Sheet'!P12+'D4 RIN Balance Sheet'!P12+'D5 RIN Balance Sheet'!P12+'D7 RIN Balance Sheet'!P12</f>
        <v>9093184651</v>
      </c>
    </row>
    <row r="13" spans="1:16">
      <c r="A13" s="118" t="s">
        <v>356</v>
      </c>
      <c r="B13" s="119"/>
      <c r="C13" s="119"/>
      <c r="D13" s="119">
        <v>2546748740</v>
      </c>
      <c r="E13" s="119">
        <v>1652130158</v>
      </c>
      <c r="F13" s="119">
        <v>1836329759</v>
      </c>
      <c r="G13" s="119">
        <v>1655725924</v>
      </c>
      <c r="H13" s="119">
        <v>2870934029</v>
      </c>
      <c r="I13" s="119">
        <v>3270005871</v>
      </c>
      <c r="J13" s="119">
        <f>'D3 RIN Balance Sheet'!J12+'D4 RIN Balance Sheet'!J12+'D5 RIN Balance Sheet'!J12+'D6 RIN Balance Sheet'!J12+'D7 RIN Balance Sheet'!J12</f>
        <v>9069250065.9999981</v>
      </c>
      <c r="K13" s="119">
        <f>'D3 RIN Balance Sheet'!K12+'D4 RIN Balance Sheet'!K12+'D5 RIN Balance Sheet'!K12+'D6 RIN Balance Sheet'!K12+'D7 RIN Balance Sheet'!K12</f>
        <v>7648763727.9686689</v>
      </c>
      <c r="L13" s="119">
        <f>'D3 RIN Balance Sheet'!L12+'D4 RIN Balance Sheet'!L12+'D5 RIN Balance Sheet'!L12+'D6 RIN Balance Sheet'!L12+'D7 RIN Balance Sheet'!L12</f>
        <v>7101371584</v>
      </c>
      <c r="M13" s="119">
        <f>'D3 RIN Balance Sheet'!M12+'D4 RIN Balance Sheet'!M12+'D5 RIN Balance Sheet'!M12+'D6 RIN Balance Sheet'!M12+'D7 RIN Balance Sheet'!M12</f>
        <v>8527268895</v>
      </c>
      <c r="N13" s="119">
        <f>'D3 RIN Balance Sheet'!N12+'D4 RIN Balance Sheet'!N12+'D5 RIN Balance Sheet'!N12+'D6 RIN Balance Sheet'!N12+'D7 RIN Balance Sheet'!N12</f>
        <v>7870327692</v>
      </c>
      <c r="O13" s="119">
        <f>'D3 RIN Balance Sheet'!O12+'D4 RIN Balance Sheet'!O12+'D5 RIN Balance Sheet'!O12+'D6 RIN Balance Sheet'!O12+'D7 RIN Balance Sheet'!O12</f>
        <v>7518335807</v>
      </c>
      <c r="P13" s="119">
        <f>'D3 RIN Balance Sheet'!P12+'D4 RIN Balance Sheet'!P12+'D5 RIN Balance Sheet'!P12+'D6 RIN Balance Sheet'!P12+'D7 RIN Balance Sheet'!P12</f>
        <v>22513732954</v>
      </c>
    </row>
    <row r="14" spans="1:16">
      <c r="B14" s="119"/>
      <c r="C14" s="119"/>
      <c r="D14" s="119"/>
      <c r="E14" s="119"/>
      <c r="F14" s="119"/>
      <c r="G14" s="119"/>
      <c r="H14" s="119"/>
      <c r="I14" s="119"/>
    </row>
    <row r="15" spans="1:16">
      <c r="A15" s="118" t="s">
        <v>357</v>
      </c>
      <c r="B15" s="119"/>
      <c r="C15" s="119"/>
      <c r="D15" s="119"/>
      <c r="E15" s="119"/>
      <c r="F15" s="119"/>
      <c r="G15" s="119"/>
      <c r="H15" s="119"/>
      <c r="I15" s="119"/>
    </row>
    <row r="16" spans="1:16">
      <c r="A16" s="118" t="s">
        <v>353</v>
      </c>
      <c r="B16" s="119"/>
      <c r="C16" s="119"/>
      <c r="D16" s="119">
        <v>0</v>
      </c>
      <c r="E16" s="119">
        <v>31</v>
      </c>
      <c r="F16" s="119">
        <v>7615</v>
      </c>
      <c r="G16" s="119">
        <v>22823</v>
      </c>
      <c r="H16" s="119">
        <v>4454758</v>
      </c>
      <c r="I16" s="119">
        <v>19976793</v>
      </c>
      <c r="J16" s="119">
        <v>2964921</v>
      </c>
      <c r="K16" s="119"/>
      <c r="L16" s="119">
        <f>FORECAST(L10,$D16:$I16,$D$10:$I$10)</f>
        <v>-539233.77094804449</v>
      </c>
      <c r="M16" s="119">
        <f>FORECAST(M10,$D16:$I16,$D$10:$I$10)</f>
        <v>359069.33196096029</v>
      </c>
      <c r="N16" s="119">
        <f>FORECAST(N10,$D16:$I16,$D$10:$I$10)</f>
        <v>9159.586974686943</v>
      </c>
      <c r="O16" s="119">
        <f>FORECAST(O10,$D16:$I16,$D$10:$I$10)</f>
        <v>-3089171.7250469485</v>
      </c>
      <c r="P16" s="119">
        <f>FORECAST(P10,$D16:$I16,$D$10:$I$10)</f>
        <v>88136283.965208545</v>
      </c>
    </row>
    <row r="17" spans="1:16">
      <c r="A17" s="118" t="s">
        <v>354</v>
      </c>
      <c r="B17" s="119">
        <v>227120812</v>
      </c>
      <c r="C17" s="119">
        <v>45802515</v>
      </c>
      <c r="D17" s="119">
        <v>28488338</v>
      </c>
      <c r="E17" s="119">
        <v>23535850</v>
      </c>
      <c r="F17" s="119">
        <v>20276804</v>
      </c>
      <c r="G17" s="119">
        <v>5555088</v>
      </c>
      <c r="H17" s="119">
        <v>40944372</v>
      </c>
      <c r="I17" s="119">
        <v>75247335</v>
      </c>
      <c r="J17" s="119">
        <v>19737837</v>
      </c>
      <c r="K17" s="119"/>
      <c r="L17" s="119">
        <f>FORECAST(L11,$D17:$I17,$D$11:$I$11)</f>
        <v>-16806920.75763163</v>
      </c>
      <c r="M17" s="119">
        <f>FORECAST(M11,$D17:$I17,$D$11:$I$11)</f>
        <v>-12381821.38596903</v>
      </c>
      <c r="N17" s="119">
        <f>FORECAST(N11,$D17:$I17,$D$11:$I$11)</f>
        <v>-13592021.503202168</v>
      </c>
      <c r="O17" s="119">
        <f>FORECAST(O11,$D17:$I17,$D$11:$I$11)</f>
        <v>35510787.436761796</v>
      </c>
      <c r="P17" s="119">
        <f>FORECAST(P11,$D17:$I17,$D$11:$I$11)</f>
        <v>540355851.4653039</v>
      </c>
    </row>
    <row r="18" spans="1:16">
      <c r="A18" s="118" t="s">
        <v>355</v>
      </c>
      <c r="B18" s="119">
        <v>229693190</v>
      </c>
      <c r="C18" s="119">
        <v>37394607</v>
      </c>
      <c r="D18" s="119">
        <v>19405830</v>
      </c>
      <c r="E18" s="119">
        <v>26605634</v>
      </c>
      <c r="F18" s="119">
        <v>21654525</v>
      </c>
      <c r="G18" s="119">
        <v>4897514</v>
      </c>
      <c r="H18" s="119">
        <v>66462857</v>
      </c>
      <c r="I18" s="119">
        <v>137768294</v>
      </c>
      <c r="J18" s="119">
        <v>28987972</v>
      </c>
      <c r="K18" s="119"/>
      <c r="L18" s="119">
        <f>FORECAST(L12,$D18:$I18,$D$12:$I$12)</f>
        <v>-114704128.74448976</v>
      </c>
      <c r="M18" s="119">
        <f>FORECAST(M12,$D18:$I18,$D$12:$I$12)</f>
        <v>-90635225.873193651</v>
      </c>
      <c r="N18" s="119">
        <f>FORECAST(N12,$D18:$I18,$D$12:$I$12)</f>
        <v>-93890027.546128228</v>
      </c>
      <c r="O18" s="119">
        <f>FORECAST(O12,$D18:$I18,$D$12:$I$12)</f>
        <v>28516303.520625047</v>
      </c>
      <c r="P18" s="119">
        <f>FORECAST(P12,$D18:$I18,$D$12:$I$12)</f>
        <v>1508696010.6271627</v>
      </c>
    </row>
    <row r="19" spans="1:16">
      <c r="A19" s="118" t="s">
        <v>356</v>
      </c>
      <c r="B19" s="119">
        <v>163353609</v>
      </c>
      <c r="C19" s="119">
        <v>68763484</v>
      </c>
      <c r="D19" s="119">
        <v>75236441</v>
      </c>
      <c r="E19" s="119">
        <v>68855617</v>
      </c>
      <c r="F19" s="119">
        <v>141478021</v>
      </c>
      <c r="G19" s="119">
        <v>10419624</v>
      </c>
      <c r="H19" s="119">
        <v>390514451</v>
      </c>
      <c r="I19" s="119">
        <v>681328963</v>
      </c>
      <c r="J19" s="119">
        <v>124917352</v>
      </c>
      <c r="K19" s="119"/>
      <c r="L19" s="119">
        <f>FORECAST(L13,$D19:$I19,$D$13:$I$13)</f>
        <v>1797928116.5012474</v>
      </c>
      <c r="M19" s="119">
        <f>FORECAST(M13,$D19:$I19,$D$13:$I$13)</f>
        <v>2264685481.2189145</v>
      </c>
      <c r="N19" s="119">
        <f>FORECAST(N13,$D19:$I19,$D$13:$I$13)</f>
        <v>2049640440.9335876</v>
      </c>
      <c r="O19" s="119">
        <f>FORECAST(O13,$D19:$I19,$D$13:$I$13)</f>
        <v>1934418395.5750885</v>
      </c>
      <c r="P19" s="119">
        <f>FORECAST(P13,$D19:$I19,$D$13:$I$13)</f>
        <v>6843055224.632513</v>
      </c>
    </row>
    <row r="20" spans="1:16">
      <c r="B20" s="119"/>
      <c r="C20" s="119"/>
      <c r="D20" s="120">
        <f t="shared" ref="D20:I20" si="0">D19/D13</f>
        <v>2.9542153027628474E-2</v>
      </c>
      <c r="E20" s="120">
        <f t="shared" si="0"/>
        <v>4.167687192597086E-2</v>
      </c>
      <c r="F20" s="120">
        <f t="shared" si="0"/>
        <v>7.7043907994522681E-2</v>
      </c>
      <c r="G20" s="120">
        <f t="shared" si="0"/>
        <v>6.293085014232102E-3</v>
      </c>
      <c r="H20" s="120">
        <f t="shared" si="0"/>
        <v>0.13602348471101006</v>
      </c>
      <c r="I20" s="120">
        <f t="shared" si="0"/>
        <v>0.20835710695272938</v>
      </c>
    </row>
    <row r="21" spans="1:16">
      <c r="A21" s="118" t="s">
        <v>358</v>
      </c>
      <c r="B21" s="119"/>
      <c r="C21" s="119"/>
      <c r="D21" s="119"/>
      <c r="E21" s="119"/>
      <c r="F21" s="119"/>
      <c r="G21" s="119"/>
      <c r="H21" s="119"/>
      <c r="I21" s="119"/>
    </row>
    <row r="22" spans="1:16">
      <c r="A22" s="118" t="s">
        <v>353</v>
      </c>
      <c r="B22" s="119"/>
      <c r="C22" s="119"/>
      <c r="D22" s="119">
        <f>D10-(D16*D46)</f>
        <v>21810</v>
      </c>
      <c r="E22" s="119">
        <f t="shared" ref="E22:K25" si="1">E10-(E16*E46)</f>
        <v>194216.69433395448</v>
      </c>
      <c r="F22" s="119">
        <f t="shared" si="1"/>
        <v>11963517.81170935</v>
      </c>
      <c r="G22" s="119">
        <f t="shared" si="1"/>
        <v>38650035</v>
      </c>
      <c r="H22" s="119">
        <f t="shared" si="1"/>
        <v>34338886</v>
      </c>
      <c r="I22" s="119">
        <f t="shared" si="1"/>
        <v>1427718.0392632447</v>
      </c>
      <c r="J22" s="119">
        <f t="shared" si="1"/>
        <v>-5905220.6645643869</v>
      </c>
      <c r="K22" s="119">
        <f t="shared" si="1"/>
        <v>-33093097.999999981</v>
      </c>
      <c r="L22" s="119">
        <f t="shared" ref="L22:P25" si="2">L10-L16</f>
        <v>-28989472.229051974</v>
      </c>
      <c r="M22" s="119">
        <f t="shared" si="2"/>
        <v>-20539673.331960946</v>
      </c>
      <c r="N22" s="119">
        <f t="shared" si="2"/>
        <v>-23831064.586974695</v>
      </c>
      <c r="O22" s="119">
        <f t="shared" si="2"/>
        <v>-52975210.274953008</v>
      </c>
      <c r="P22" s="119">
        <f t="shared" si="2"/>
        <v>805127976.03479147</v>
      </c>
    </row>
    <row r="23" spans="1:16">
      <c r="A23" s="118" t="s">
        <v>354</v>
      </c>
      <c r="B23" s="119"/>
      <c r="C23" s="119"/>
      <c r="D23" s="119">
        <f>D11-(D17*D47)</f>
        <v>221793772.75637659</v>
      </c>
      <c r="E23" s="119">
        <f t="shared" si="1"/>
        <v>485951203.32065111</v>
      </c>
      <c r="F23" s="119">
        <f t="shared" si="1"/>
        <v>378820839.79224986</v>
      </c>
      <c r="G23" s="119">
        <f t="shared" si="1"/>
        <v>263891286.51947758</v>
      </c>
      <c r="H23" s="119">
        <f t="shared" si="1"/>
        <v>809723346.71824265</v>
      </c>
      <c r="I23" s="119">
        <f t="shared" si="1"/>
        <v>599490122.60074651</v>
      </c>
      <c r="J23" s="119">
        <f t="shared" si="1"/>
        <v>-460176816.00058383</v>
      </c>
      <c r="K23" s="119">
        <f t="shared" si="1"/>
        <v>-748458556.48808241</v>
      </c>
      <c r="L23" s="119">
        <f t="shared" si="2"/>
        <v>-199728288.24236828</v>
      </c>
      <c r="M23" s="119">
        <f t="shared" si="2"/>
        <v>-138794503.6664412</v>
      </c>
      <c r="N23" s="119">
        <f t="shared" si="2"/>
        <v>-155459004.74171069</v>
      </c>
      <c r="O23" s="119">
        <f t="shared" si="2"/>
        <v>520688518.90056783</v>
      </c>
      <c r="P23" s="119">
        <f t="shared" si="2"/>
        <v>7472424014.9957275</v>
      </c>
    </row>
    <row r="24" spans="1:16">
      <c r="A24" s="118" t="s">
        <v>355</v>
      </c>
      <c r="B24" s="119"/>
      <c r="C24" s="119"/>
      <c r="D24" s="119">
        <f>D12-(D18*D48)</f>
        <v>405433003.21263731</v>
      </c>
      <c r="E24" s="119">
        <f t="shared" si="1"/>
        <v>527330841.19290888</v>
      </c>
      <c r="F24" s="119">
        <f t="shared" si="1"/>
        <v>444919647.37938058</v>
      </c>
      <c r="G24" s="119">
        <f t="shared" si="1"/>
        <v>403945402.55926228</v>
      </c>
      <c r="H24" s="119">
        <f t="shared" si="1"/>
        <v>827486318.01698685</v>
      </c>
      <c r="I24" s="119">
        <f t="shared" si="1"/>
        <v>537405293.44122922</v>
      </c>
      <c r="J24" s="119">
        <f t="shared" si="1"/>
        <v>-552880715.65550387</v>
      </c>
      <c r="K24" s="119">
        <f t="shared" si="1"/>
        <v>-1087803957.0313306</v>
      </c>
      <c r="L24" s="119">
        <f t="shared" si="2"/>
        <v>-228357095.25551018</v>
      </c>
      <c r="M24" s="119">
        <f t="shared" si="2"/>
        <v>-112522052.12680677</v>
      </c>
      <c r="N24" s="119">
        <f t="shared" si="2"/>
        <v>-128186251.45387189</v>
      </c>
      <c r="O24" s="119">
        <f t="shared" si="2"/>
        <v>460911752.47937483</v>
      </c>
      <c r="P24" s="119">
        <f t="shared" si="2"/>
        <v>7584488640.3728371</v>
      </c>
    </row>
    <row r="25" spans="1:16">
      <c r="A25" s="118" t="s">
        <v>356</v>
      </c>
      <c r="B25" s="119"/>
      <c r="C25" s="119"/>
      <c r="D25" s="119">
        <f>D13-(D19*D49)</f>
        <v>2468515173.8976746</v>
      </c>
      <c r="E25" s="119">
        <f t="shared" si="1"/>
        <v>1578518373.5819666</v>
      </c>
      <c r="F25" s="119">
        <f t="shared" si="1"/>
        <v>1685295054.2725091</v>
      </c>
      <c r="G25" s="119">
        <f t="shared" si="1"/>
        <v>1644584085.490386</v>
      </c>
      <c r="H25" s="119">
        <f t="shared" si="1"/>
        <v>2446026757.3256488</v>
      </c>
      <c r="I25" s="119">
        <f t="shared" si="1"/>
        <v>2533115817.2049184</v>
      </c>
      <c r="J25" s="119">
        <f t="shared" si="1"/>
        <v>8934311359.9213543</v>
      </c>
      <c r="K25" s="119">
        <f t="shared" si="1"/>
        <v>7648763727.9686689</v>
      </c>
      <c r="L25" s="119">
        <f t="shared" si="2"/>
        <v>5303443467.4987526</v>
      </c>
      <c r="M25" s="119">
        <f t="shared" si="2"/>
        <v>6262583413.781086</v>
      </c>
      <c r="N25" s="119">
        <f t="shared" si="2"/>
        <v>5820687251.066412</v>
      </c>
      <c r="O25" s="119">
        <f t="shared" si="2"/>
        <v>5583917411.4249115</v>
      </c>
      <c r="P25" s="119">
        <f t="shared" si="2"/>
        <v>15670677729.367487</v>
      </c>
    </row>
    <row r="27" spans="1:16">
      <c r="A27" s="118" t="s">
        <v>359</v>
      </c>
    </row>
    <row r="28" spans="1:16">
      <c r="A28" s="118" t="s">
        <v>353</v>
      </c>
      <c r="B28" s="119">
        <f>'RVO Forecast'!B14*0.2</f>
        <v>0</v>
      </c>
      <c r="C28" s="119">
        <f>'RVO Forecast'!C14*0.2</f>
        <v>0</v>
      </c>
      <c r="D28" s="119">
        <f>'RVO Forecast'!D14*0.2</f>
        <v>160000</v>
      </c>
      <c r="E28" s="119">
        <f>'RVO Forecast'!E14*0.2</f>
        <v>6600000</v>
      </c>
      <c r="F28" s="119">
        <f>'RVO Forecast'!F14*0.2</f>
        <v>24600000</v>
      </c>
      <c r="G28" s="119">
        <f>'RVO Forecast'!G14*0.2</f>
        <v>46000000</v>
      </c>
      <c r="H28" s="119">
        <f>'RVO Forecast'!H14*0.2</f>
        <v>62200000</v>
      </c>
      <c r="I28" s="119">
        <f>'RVO Forecast'!I14*0.2</f>
        <v>57600000</v>
      </c>
      <c r="J28" s="119">
        <f>'RVO Forecast'!J14*0.2</f>
        <v>83600000</v>
      </c>
      <c r="K28" s="119">
        <f>'RVO Forecast'!K14*0.2</f>
        <v>102000000</v>
      </c>
      <c r="L28" s="119">
        <f>'RVO Forecast'!L14*0.2</f>
        <v>112000000</v>
      </c>
      <c r="M28" s="119">
        <f>'RVO Forecast'!M14*0.2</f>
        <v>126000000</v>
      </c>
      <c r="N28" s="119">
        <f>'RVO Forecast'!N14*0.2</f>
        <v>168000000</v>
      </c>
      <c r="O28" s="119">
        <f>'RVO Forecast'!O14*0.2</f>
        <v>218000000</v>
      </c>
      <c r="P28" s="119">
        <f>'RVO Forecast'!P14*0.2</f>
        <v>276000000</v>
      </c>
    </row>
    <row r="29" spans="1:16">
      <c r="A29" s="118" t="s">
        <v>354</v>
      </c>
      <c r="B29" s="119"/>
      <c r="C29" s="119"/>
      <c r="D29" s="119"/>
      <c r="E29" s="119"/>
      <c r="F29" s="119"/>
      <c r="G29" s="119"/>
      <c r="H29" s="119"/>
      <c r="I29" s="121">
        <f t="shared" ref="I29:P29" si="3">3150000000*0.2</f>
        <v>630000000</v>
      </c>
      <c r="J29" s="121">
        <f t="shared" si="3"/>
        <v>630000000</v>
      </c>
      <c r="K29" s="121">
        <f t="shared" si="3"/>
        <v>630000000</v>
      </c>
      <c r="L29" s="121">
        <f t="shared" si="3"/>
        <v>630000000</v>
      </c>
      <c r="M29" s="121">
        <f t="shared" si="3"/>
        <v>630000000</v>
      </c>
      <c r="N29" s="121">
        <f t="shared" si="3"/>
        <v>630000000</v>
      </c>
      <c r="O29" s="121">
        <f t="shared" si="3"/>
        <v>630000000</v>
      </c>
      <c r="P29" s="121">
        <f t="shared" si="3"/>
        <v>630000000</v>
      </c>
    </row>
    <row r="30" spans="1:16">
      <c r="A30" s="118" t="s">
        <v>355</v>
      </c>
      <c r="B30" s="119">
        <f>'RVO Forecast'!B18*0.2</f>
        <v>270000000</v>
      </c>
      <c r="C30" s="119">
        <f>'RVO Forecast'!C18*0.2</f>
        <v>400000000</v>
      </c>
      <c r="D30" s="119">
        <f>'RVO Forecast'!D18*0.2</f>
        <v>534000000</v>
      </c>
      <c r="E30" s="119">
        <f>'RVO Forecast'!E18*0.2</f>
        <v>534000000</v>
      </c>
      <c r="F30" s="119">
        <f>'RVO Forecast'!F18*0.2</f>
        <v>576000000</v>
      </c>
      <c r="G30" s="119">
        <f>'RVO Forecast'!G18*0.2</f>
        <v>722000000</v>
      </c>
      <c r="H30" s="119">
        <f>'RVO Forecast'!H18*0.2</f>
        <v>856000000</v>
      </c>
      <c r="I30" s="119">
        <f>'RVO Forecast'!I18*0.2</f>
        <v>858000000</v>
      </c>
      <c r="J30" s="119">
        <f>'RVO Forecast'!J18*0.2</f>
        <v>984000000</v>
      </c>
      <c r="K30" s="119">
        <f>'RVO Forecast'!K18*0.2</f>
        <v>926000000</v>
      </c>
      <c r="L30" s="119">
        <f>'RVO Forecast'!L18*0.2</f>
        <v>1010000000.0000002</v>
      </c>
      <c r="M30" s="119">
        <f>'RVO Forecast'!M18*0.2</f>
        <v>1126000000</v>
      </c>
      <c r="N30" s="119">
        <f>'RVO Forecast'!N18*0.2</f>
        <v>1188000000</v>
      </c>
      <c r="O30" s="119">
        <f>'RVO Forecast'!O18*0.2</f>
        <v>1308000000</v>
      </c>
      <c r="P30" s="119">
        <f>'RVO Forecast'!P18*0.2</f>
        <v>1466000000</v>
      </c>
    </row>
    <row r="31" spans="1:16">
      <c r="A31" s="118" t="s">
        <v>356</v>
      </c>
      <c r="B31" s="119">
        <f>'RVO Forecast'!B8*0.2</f>
        <v>2790000000</v>
      </c>
      <c r="C31" s="119">
        <f>'RVO Forecast'!C8*0.2</f>
        <v>3040000000</v>
      </c>
      <c r="D31" s="119">
        <f>'RVO Forecast'!D8*0.2</f>
        <v>3310000000</v>
      </c>
      <c r="E31" s="119">
        <f>'RVO Forecast'!E8*0.2</f>
        <v>3256000000</v>
      </c>
      <c r="F31" s="119">
        <f>'RVO Forecast'!F8*0.2</f>
        <v>3386000000</v>
      </c>
      <c r="G31" s="119">
        <f>'RVO Forecast'!G8*0.2</f>
        <v>3622000000</v>
      </c>
      <c r="H31" s="119">
        <f>'RVO Forecast'!H8*0.2</f>
        <v>3856000000</v>
      </c>
      <c r="I31" s="119">
        <f>'RVO Forecast'!I8*0.2</f>
        <v>3858000000</v>
      </c>
      <c r="J31" s="119">
        <f>'RVO Forecast'!J8*0.2</f>
        <v>3984000000</v>
      </c>
      <c r="K31" s="119">
        <f>'RVO Forecast'!K8*0.2</f>
        <v>3426000000</v>
      </c>
      <c r="L31" s="119">
        <f>'RVO Forecast'!L49*0.2</f>
        <v>2758000000</v>
      </c>
      <c r="M31" s="119">
        <f>'RVO Forecast'!M49*0.2</f>
        <v>3000000000</v>
      </c>
      <c r="N31" s="119">
        <f>'RVO Forecast'!N49*0.2</f>
        <v>3050000000</v>
      </c>
      <c r="O31" s="119">
        <f>'RVO Forecast'!O49*0.2</f>
        <v>3000000000</v>
      </c>
      <c r="P31" s="119">
        <f>'RVO Forecast'!P49*0.2</f>
        <v>3000000000</v>
      </c>
    </row>
    <row r="33" spans="1:16">
      <c r="A33" s="118" t="s">
        <v>360</v>
      </c>
    </row>
    <row r="34" spans="1:16">
      <c r="A34" s="118" t="s">
        <v>353</v>
      </c>
      <c r="B34" s="119">
        <f t="shared" ref="B34:P34" si="4">IF(B22&lt;B28,B22,B28)</f>
        <v>0</v>
      </c>
      <c r="C34" s="119">
        <f t="shared" si="4"/>
        <v>0</v>
      </c>
      <c r="D34" s="119">
        <f t="shared" si="4"/>
        <v>21810</v>
      </c>
      <c r="E34" s="119">
        <f t="shared" si="4"/>
        <v>194216.69433395448</v>
      </c>
      <c r="F34" s="119">
        <f t="shared" si="4"/>
        <v>11963517.81170935</v>
      </c>
      <c r="G34" s="119">
        <f t="shared" si="4"/>
        <v>38650035</v>
      </c>
      <c r="H34" s="119">
        <f t="shared" si="4"/>
        <v>34338886</v>
      </c>
      <c r="I34" s="119">
        <f t="shared" si="4"/>
        <v>1427718.0392632447</v>
      </c>
      <c r="J34" s="119">
        <f t="shared" si="4"/>
        <v>-5905220.6645643869</v>
      </c>
      <c r="K34" s="119">
        <f t="shared" si="4"/>
        <v>-33093097.999999981</v>
      </c>
      <c r="L34" s="119">
        <f t="shared" si="4"/>
        <v>-28989472.229051974</v>
      </c>
      <c r="M34" s="119">
        <f t="shared" si="4"/>
        <v>-20539673.331960946</v>
      </c>
      <c r="N34" s="119">
        <f t="shared" si="4"/>
        <v>-23831064.586974695</v>
      </c>
      <c r="O34" s="119">
        <f t="shared" si="4"/>
        <v>-52975210.274953008</v>
      </c>
      <c r="P34" s="119">
        <f t="shared" si="4"/>
        <v>276000000</v>
      </c>
    </row>
    <row r="35" spans="1:16">
      <c r="A35" s="118" t="s">
        <v>354</v>
      </c>
      <c r="B35" s="119">
        <f t="shared" ref="B35:P35" si="5">B23</f>
        <v>0</v>
      </c>
      <c r="C35" s="119">
        <f t="shared" si="5"/>
        <v>0</v>
      </c>
      <c r="D35" s="119">
        <f t="shared" si="5"/>
        <v>221793772.75637659</v>
      </c>
      <c r="E35" s="119">
        <f t="shared" si="5"/>
        <v>485951203.32065111</v>
      </c>
      <c r="F35" s="119">
        <f t="shared" si="5"/>
        <v>378820839.79224986</v>
      </c>
      <c r="G35" s="119">
        <f t="shared" si="5"/>
        <v>263891286.51947758</v>
      </c>
      <c r="H35" s="119">
        <f t="shared" si="5"/>
        <v>809723346.71824265</v>
      </c>
      <c r="I35" s="119">
        <f t="shared" si="5"/>
        <v>599490122.60074651</v>
      </c>
      <c r="J35" s="119">
        <f t="shared" si="5"/>
        <v>-460176816.00058383</v>
      </c>
      <c r="K35" s="119">
        <f t="shared" si="5"/>
        <v>-748458556.48808241</v>
      </c>
      <c r="L35" s="119">
        <f t="shared" si="5"/>
        <v>-199728288.24236828</v>
      </c>
      <c r="M35" s="119">
        <f t="shared" si="5"/>
        <v>-138794503.6664412</v>
      </c>
      <c r="N35" s="119">
        <f t="shared" si="5"/>
        <v>-155459004.74171069</v>
      </c>
      <c r="O35" s="119">
        <f t="shared" si="5"/>
        <v>520688518.90056783</v>
      </c>
      <c r="P35" s="119">
        <f t="shared" si="5"/>
        <v>7472424014.9957275</v>
      </c>
    </row>
    <row r="36" spans="1:16">
      <c r="A36" s="118" t="s">
        <v>355</v>
      </c>
      <c r="B36" s="119">
        <f t="shared" ref="B36:P37" si="6">IF(B24&lt;B30,B24,B30)</f>
        <v>0</v>
      </c>
      <c r="C36" s="119">
        <f t="shared" si="6"/>
        <v>0</v>
      </c>
      <c r="D36" s="119">
        <f t="shared" si="6"/>
        <v>405433003.21263731</v>
      </c>
      <c r="E36" s="119">
        <f t="shared" si="6"/>
        <v>527330841.19290888</v>
      </c>
      <c r="F36" s="119">
        <f t="shared" si="6"/>
        <v>444919647.37938058</v>
      </c>
      <c r="G36" s="119">
        <f t="shared" si="6"/>
        <v>403945402.55926228</v>
      </c>
      <c r="H36" s="119">
        <f t="shared" si="6"/>
        <v>827486318.01698685</v>
      </c>
      <c r="I36" s="119">
        <f t="shared" si="6"/>
        <v>537405293.44122922</v>
      </c>
      <c r="J36" s="119">
        <f t="shared" si="6"/>
        <v>-552880715.65550387</v>
      </c>
      <c r="K36" s="119">
        <f t="shared" si="6"/>
        <v>-1087803957.0313306</v>
      </c>
      <c r="L36" s="119">
        <f t="shared" si="6"/>
        <v>-228357095.25551018</v>
      </c>
      <c r="M36" s="119">
        <f t="shared" si="6"/>
        <v>-112522052.12680677</v>
      </c>
      <c r="N36" s="119">
        <f t="shared" si="6"/>
        <v>-128186251.45387189</v>
      </c>
      <c r="O36" s="119">
        <f t="shared" si="6"/>
        <v>460911752.47937483</v>
      </c>
      <c r="P36" s="119">
        <f t="shared" si="6"/>
        <v>1466000000</v>
      </c>
    </row>
    <row r="37" spans="1:16">
      <c r="A37" s="118" t="s">
        <v>356</v>
      </c>
      <c r="B37" s="119">
        <f t="shared" si="6"/>
        <v>0</v>
      </c>
      <c r="C37" s="119">
        <f t="shared" si="6"/>
        <v>0</v>
      </c>
      <c r="D37" s="119">
        <f>IF(D25&lt;D31,D25,D31)</f>
        <v>2468515173.8976746</v>
      </c>
      <c r="E37" s="119">
        <f t="shared" si="6"/>
        <v>1578518373.5819666</v>
      </c>
      <c r="F37" s="119">
        <f t="shared" si="6"/>
        <v>1685295054.2725091</v>
      </c>
      <c r="G37" s="119">
        <f t="shared" si="6"/>
        <v>1644584085.490386</v>
      </c>
      <c r="H37" s="119">
        <f t="shared" si="6"/>
        <v>2446026757.3256488</v>
      </c>
      <c r="I37" s="119">
        <f t="shared" si="6"/>
        <v>2533115817.2049184</v>
      </c>
      <c r="J37" s="119">
        <f>IF(J25&lt;J31,J25,J31)</f>
        <v>3984000000</v>
      </c>
      <c r="K37" s="119">
        <f t="shared" si="6"/>
        <v>3426000000</v>
      </c>
      <c r="L37" s="119">
        <f t="shared" si="6"/>
        <v>2758000000</v>
      </c>
      <c r="M37" s="119">
        <f t="shared" si="6"/>
        <v>3000000000</v>
      </c>
      <c r="N37" s="119">
        <f t="shared" si="6"/>
        <v>3050000000</v>
      </c>
      <c r="O37" s="119">
        <f t="shared" si="6"/>
        <v>3000000000</v>
      </c>
      <c r="P37" s="119">
        <f t="shared" si="6"/>
        <v>3000000000</v>
      </c>
    </row>
    <row r="38" spans="1:16">
      <c r="A38" s="115"/>
      <c r="D38" s="119">
        <v>2471227385</v>
      </c>
      <c r="E38" s="119">
        <v>1583274541</v>
      </c>
      <c r="F38" s="119">
        <v>1694877229</v>
      </c>
      <c r="G38" s="119">
        <v>1648646780</v>
      </c>
      <c r="H38" s="119">
        <v>2476536173</v>
      </c>
      <c r="I38" s="119">
        <v>3055845408</v>
      </c>
    </row>
    <row r="39" spans="1:16">
      <c r="A39" s="115"/>
    </row>
    <row r="40" spans="1:16">
      <c r="A40" s="115" t="s">
        <v>23</v>
      </c>
      <c r="B40" s="118" t="s">
        <v>361</v>
      </c>
    </row>
    <row r="41" spans="1:16">
      <c r="A41" s="115" t="s">
        <v>24</v>
      </c>
      <c r="B41" s="118" t="s">
        <v>362</v>
      </c>
    </row>
    <row r="42" spans="1:16">
      <c r="A42" s="115" t="s">
        <v>25</v>
      </c>
      <c r="B42" s="118" t="s">
        <v>363</v>
      </c>
    </row>
    <row r="43" spans="1:16">
      <c r="A43" s="115" t="s">
        <v>364</v>
      </c>
      <c r="B43" s="118" t="s">
        <v>365</v>
      </c>
    </row>
    <row r="44" spans="1:16">
      <c r="A44" s="115"/>
    </row>
    <row r="45" spans="1:16">
      <c r="A45" s="115"/>
    </row>
    <row r="46" spans="1:16">
      <c r="A46" s="115" t="s">
        <v>67</v>
      </c>
      <c r="C46" s="118" t="e">
        <v>#DIV/0!</v>
      </c>
      <c r="D46" s="118">
        <v>1.0339923197269236</v>
      </c>
      <c r="E46" s="118">
        <v>1.5905053563066065</v>
      </c>
      <c r="F46" s="118">
        <v>1.0005500053380845</v>
      </c>
      <c r="G46" s="118">
        <v>1</v>
      </c>
      <c r="H46" s="118">
        <v>1</v>
      </c>
      <c r="I46" s="118">
        <v>1.0000007489058307</v>
      </c>
      <c r="J46" s="118">
        <v>1.000014727058292</v>
      </c>
      <c r="K46" s="118">
        <v>1.0000131010839168</v>
      </c>
      <c r="L46" s="118">
        <v>1.0000088788033032</v>
      </c>
      <c r="M46" s="118" t="e">
        <v>#DIV/0!</v>
      </c>
      <c r="N46" s="118" t="e">
        <v>#DIV/0!</v>
      </c>
      <c r="O46" s="118">
        <v>9.9850325862049699E-2</v>
      </c>
      <c r="P46" s="118">
        <v>0</v>
      </c>
    </row>
    <row r="47" spans="1:16">
      <c r="A47" s="115" t="s">
        <v>24</v>
      </c>
      <c r="C47" s="118">
        <v>1.5067384340767047</v>
      </c>
      <c r="D47" s="118">
        <v>1.5003359705863997</v>
      </c>
      <c r="E47" s="118">
        <v>1.5273405753074083</v>
      </c>
      <c r="F47" s="118">
        <v>1.536743374732535</v>
      </c>
      <c r="G47" s="118">
        <v>1.5334452812489063</v>
      </c>
      <c r="H47" s="118">
        <v>1.5314288440364234</v>
      </c>
      <c r="I47" s="118">
        <v>1.5359080344739582</v>
      </c>
      <c r="J47" s="118">
        <v>1.534559531500554</v>
      </c>
      <c r="K47" s="118">
        <v>1.7165300189373913</v>
      </c>
      <c r="L47" s="118">
        <v>1.7353862996656704</v>
      </c>
      <c r="M47" s="118" t="e">
        <v>#DIV/0!</v>
      </c>
      <c r="N47" s="118" t="e">
        <v>#DIV/0!</v>
      </c>
      <c r="O47" s="118">
        <v>1.3648756229799628</v>
      </c>
      <c r="P47" s="118">
        <v>1.2932701255019146</v>
      </c>
    </row>
    <row r="48" spans="1:16">
      <c r="A48" s="115" t="s">
        <v>25</v>
      </c>
      <c r="C48" s="118">
        <v>1.4346191056816189</v>
      </c>
      <c r="D48" s="118">
        <v>1.3308294871882662</v>
      </c>
      <c r="E48" s="118">
        <v>1.4202745105450636</v>
      </c>
      <c r="F48" s="118">
        <v>1.4971365855690391</v>
      </c>
      <c r="G48" s="118">
        <v>1.4685071733817852</v>
      </c>
      <c r="H48" s="118">
        <v>1.4847534011818524</v>
      </c>
      <c r="I48" s="118">
        <v>1.4700036102557148</v>
      </c>
      <c r="J48" s="118">
        <v>1.4602157976247407</v>
      </c>
      <c r="K48" s="118">
        <v>1.5739222939672994</v>
      </c>
      <c r="L48" s="118">
        <v>1.5900252900876541</v>
      </c>
      <c r="M48" s="118" t="e">
        <v>#DIV/0!</v>
      </c>
      <c r="N48" s="118" t="e">
        <v>#DIV/0!</v>
      </c>
      <c r="O48" s="118">
        <v>1.1336100342368347</v>
      </c>
      <c r="P48" s="118">
        <v>1.9060202854933777</v>
      </c>
    </row>
    <row r="49" spans="1:16">
      <c r="A49" s="115" t="s">
        <v>364</v>
      </c>
      <c r="C49" s="118">
        <v>1.0390460361231737</v>
      </c>
      <c r="D49" s="118">
        <v>1.0398360829205817</v>
      </c>
      <c r="E49" s="118">
        <v>1.0690745014750713</v>
      </c>
      <c r="F49" s="118">
        <v>1.0675488931774837</v>
      </c>
      <c r="G49" s="118">
        <v>1.0693129147091995</v>
      </c>
      <c r="H49" s="118">
        <v>1.0880705453697828</v>
      </c>
      <c r="I49" s="118">
        <v>1.0815481123104429</v>
      </c>
      <c r="J49" s="118">
        <v>1.0802238753719711</v>
      </c>
      <c r="K49" s="118">
        <v>1.1086547245629095</v>
      </c>
      <c r="L49" s="118">
        <v>1.1216825525685821</v>
      </c>
      <c r="M49" s="118" t="e">
        <v>#DIV/0!</v>
      </c>
      <c r="N49" s="118" t="e">
        <v>#DIV/0!</v>
      </c>
      <c r="O49" s="118">
        <v>0.21557422630781398</v>
      </c>
      <c r="P49" s="118">
        <v>0.91074441195535538</v>
      </c>
    </row>
    <row r="50" spans="1:16">
      <c r="A50" s="115"/>
    </row>
    <row r="51" spans="1:16">
      <c r="A51" s="115"/>
    </row>
    <row r="52" spans="1:16">
      <c r="A52" s="115"/>
    </row>
    <row r="53" spans="1:16">
      <c r="A53" s="115"/>
    </row>
    <row r="54" spans="1:16">
      <c r="A54" s="115"/>
    </row>
    <row r="55" spans="1:16">
      <c r="A55" s="115"/>
    </row>
    <row r="56" spans="1:16">
      <c r="A56" s="115"/>
    </row>
    <row r="57" spans="1:16">
      <c r="A57" s="115"/>
    </row>
    <row r="58" spans="1:16">
      <c r="A58" s="11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48648-A6EE-4BE5-9F4D-1B8C77830374}">
  <dimension ref="A1:P19"/>
  <sheetViews>
    <sheetView zoomScale="98" zoomScaleNormal="98" workbookViewId="0">
      <pane xSplit="1" ySplit="1" topLeftCell="G2" activePane="bottomRight" state="frozen"/>
      <selection activeCell="AD6" sqref="AD6"/>
      <selection pane="topRight" activeCell="AD6" sqref="AD6"/>
      <selection pane="bottomLeft" activeCell="AD6" sqref="AD6"/>
      <selection pane="bottomRight" activeCell="AD6" sqref="AD6"/>
    </sheetView>
  </sheetViews>
  <sheetFormatPr defaultColWidth="9.140625" defaultRowHeight="16.5"/>
  <cols>
    <col min="1" max="1" width="30.85546875" style="118" customWidth="1"/>
    <col min="2" max="16" width="14.28515625" style="118" customWidth="1"/>
    <col min="17" max="16384" width="9.140625" style="118"/>
  </cols>
  <sheetData>
    <row r="1" spans="1:16">
      <c r="B1" s="118">
        <v>2010</v>
      </c>
      <c r="C1" s="118">
        <v>2011</v>
      </c>
      <c r="D1" s="118">
        <v>2012</v>
      </c>
      <c r="E1" s="118">
        <v>2013</v>
      </c>
      <c r="F1" s="118">
        <v>2014</v>
      </c>
      <c r="G1" s="118">
        <v>2015</v>
      </c>
      <c r="H1" s="118">
        <v>2016</v>
      </c>
      <c r="I1" s="118">
        <v>2017</v>
      </c>
      <c r="J1" s="118">
        <v>2018</v>
      </c>
      <c r="K1" s="118">
        <v>2019</v>
      </c>
      <c r="L1" s="118">
        <v>2020</v>
      </c>
      <c r="M1" s="118">
        <v>2021</v>
      </c>
      <c r="N1" s="118">
        <v>2022</v>
      </c>
      <c r="O1" s="118">
        <v>2023</v>
      </c>
      <c r="P1" s="118">
        <v>2024</v>
      </c>
    </row>
    <row r="2" spans="1:16">
      <c r="A2" s="115"/>
    </row>
    <row r="3" spans="1:16">
      <c r="A3" s="115" t="s">
        <v>322</v>
      </c>
      <c r="B3" s="119">
        <f>'[1]D3 RIN Forecast'!B$15</f>
        <v>0</v>
      </c>
      <c r="C3" s="119">
        <f>'[1]D3 RIN Forecast'!C$15</f>
        <v>0</v>
      </c>
      <c r="D3" s="119">
        <f>'[1]D3 RIN Forecast'!D$15</f>
        <v>20069</v>
      </c>
      <c r="E3" s="119">
        <f>'[1]D3 RIN Forecast'!E$15</f>
        <v>422740</v>
      </c>
      <c r="F3" s="119">
        <f>'[1]D3 RIN Forecast'!F$15</f>
        <v>33360560</v>
      </c>
      <c r="G3" s="119">
        <f>'[1]D3 RIN Forecast'!G$15</f>
        <v>142040241</v>
      </c>
      <c r="H3" s="119">
        <f>'[1]D3 RIN Forecast'!H$15</f>
        <v>192361795</v>
      </c>
      <c r="I3" s="119">
        <f>'[1]D3 RIN Forecast'!I$15</f>
        <v>250624473</v>
      </c>
      <c r="J3" s="122">
        <f>'[1]D3 RIN Forecast'!J$15</f>
        <v>312348198</v>
      </c>
      <c r="K3" s="122">
        <f>'[1]D3 RIN Forecast'!K$15</f>
        <v>414122810</v>
      </c>
      <c r="L3" s="122">
        <f>'[1]D3 RIN Forecast'!L$15</f>
        <v>505872211</v>
      </c>
      <c r="M3" s="122">
        <f>'[1]D3 RIN Forecast'!M$15</f>
        <v>568414154</v>
      </c>
      <c r="N3" s="122">
        <f>'[1]D3 RIN Forecast'!N$15</f>
        <v>668618747</v>
      </c>
      <c r="O3" s="122">
        <f>'[1]D3 RIN Forecast'!O$15</f>
        <v>704232859</v>
      </c>
      <c r="P3" s="122">
        <f>'[1]D3 RIN Forecast'!P$15</f>
        <v>921163090</v>
      </c>
    </row>
    <row r="4" spans="1:16">
      <c r="A4" s="115" t="s">
        <v>283</v>
      </c>
      <c r="B4" s="118">
        <v>0</v>
      </c>
      <c r="C4" s="119">
        <f>'Small Refinery Exemptions'!B48</f>
        <v>0</v>
      </c>
      <c r="D4" s="119">
        <f>'Small Refinery Exemptions'!C48</f>
        <v>0</v>
      </c>
      <c r="E4" s="119">
        <f>'Small Refinery Exemptions'!D48</f>
        <v>0</v>
      </c>
      <c r="F4" s="119">
        <f>'Small Refinery Exemptions'!E48</f>
        <v>40904.474800156866</v>
      </c>
      <c r="G4" s="119">
        <f>'Small Refinery Exemptions'!F48</f>
        <v>436224.52454550605</v>
      </c>
      <c r="H4" s="119">
        <f>'Small Refinery Exemptions'!G48</f>
        <v>2114202.0659378935</v>
      </c>
      <c r="I4" s="119">
        <f>'Small Refinery Exemptions'!H48</f>
        <v>9981867.8836968839</v>
      </c>
      <c r="J4" s="119">
        <f>'Small Refinery Exemptions'!I48</f>
        <v>29292675.844134223</v>
      </c>
      <c r="K4" s="119">
        <f>'Small Refinery Exemptions'!J48</f>
        <v>27374866.661492366</v>
      </c>
      <c r="L4" s="122">
        <f>'Small Refinery Exemptions'!K48</f>
        <v>30493103.174464803</v>
      </c>
      <c r="M4" s="122">
        <f>'Small Refinery Exemptions'!L48</f>
        <v>20703712.521314517</v>
      </c>
      <c r="N4" s="122">
        <f>'Small Refinery Exemptions'!M48</f>
        <v>26685379.754832499</v>
      </c>
      <c r="O4" s="122">
        <f>'Small Refinery Exemptions'!N48</f>
        <v>22567022.717016023</v>
      </c>
      <c r="P4" s="122">
        <f>'Small Refinery Exemptions'!O48</f>
        <v>26872038.623755019</v>
      </c>
    </row>
    <row r="5" spans="1:16">
      <c r="A5" s="115" t="s">
        <v>328</v>
      </c>
      <c r="B5" s="119">
        <f>'RIN Retirements'!B26</f>
        <v>0</v>
      </c>
      <c r="C5" s="119">
        <f>'RIN Retirements'!C26</f>
        <v>0</v>
      </c>
      <c r="D5" s="119">
        <f>'RIN Retirements'!D26</f>
        <v>0</v>
      </c>
      <c r="E5" s="119">
        <f>'RIN Retirements'!E26</f>
        <v>0</v>
      </c>
      <c r="F5" s="119">
        <f>'RIN Retirements'!F26</f>
        <v>342326</v>
      </c>
      <c r="G5" s="119">
        <f>'RIN Retirements'!G26</f>
        <v>2024139</v>
      </c>
      <c r="H5" s="119">
        <f>'RIN Retirements'!H26</f>
        <v>2061978</v>
      </c>
      <c r="I5" s="119">
        <f>'RIN Retirements'!I26</f>
        <v>45292</v>
      </c>
      <c r="J5" s="122">
        <f>'RIN Retirements'!J26</f>
        <v>9969</v>
      </c>
      <c r="K5" s="122">
        <f>'RIN Retirements'!K26</f>
        <v>1331600</v>
      </c>
      <c r="L5" s="122">
        <f>'RIN Retirements'!L26</f>
        <v>713562</v>
      </c>
      <c r="M5" s="122">
        <f>'RIN Retirements'!M26</f>
        <v>5205881</v>
      </c>
      <c r="N5" s="122">
        <f>'RIN Retirements'!N26</f>
        <v>5286255</v>
      </c>
      <c r="O5" s="122">
        <f>'RIN Retirements'!O26</f>
        <v>1587010</v>
      </c>
      <c r="P5" s="122">
        <f>'RIN Retirements'!P26</f>
        <v>1130290</v>
      </c>
    </row>
    <row r="6" spans="1:16">
      <c r="A6" s="115" t="s">
        <v>329</v>
      </c>
      <c r="B6" s="119">
        <f>'RIN Retirements'!B48</f>
        <v>0</v>
      </c>
      <c r="C6" s="119">
        <f>'RIN Retirements'!C48</f>
        <v>0</v>
      </c>
      <c r="D6" s="119">
        <f>'RIN Retirements'!D48</f>
        <v>0</v>
      </c>
      <c r="E6" s="119">
        <f>'RIN Retirements'!E48</f>
        <v>0</v>
      </c>
      <c r="F6" s="119">
        <f>'RIN Retirements'!F48</f>
        <v>34590</v>
      </c>
      <c r="G6" s="119">
        <f>'RIN Retirements'!G48</f>
        <v>611836</v>
      </c>
      <c r="H6" s="119">
        <f>'RIN Retirements'!H48</f>
        <v>309260</v>
      </c>
      <c r="I6" s="119">
        <f>'RIN Retirements'!I48</f>
        <v>1863175</v>
      </c>
      <c r="J6" s="122">
        <f>'RIN Retirements'!J48</f>
        <v>2598125</v>
      </c>
      <c r="K6" s="122">
        <f>'RIN Retirements'!K48</f>
        <v>7027632</v>
      </c>
      <c r="L6" s="122">
        <f>'RIN Retirements'!L48</f>
        <v>272168</v>
      </c>
      <c r="M6" s="122">
        <f>'RIN Retirements'!M48</f>
        <v>188487</v>
      </c>
      <c r="N6" s="122">
        <f>'RIN Retirements'!N48</f>
        <v>411566</v>
      </c>
      <c r="O6" s="122">
        <f>'RIN Retirements'!O48</f>
        <v>338727</v>
      </c>
      <c r="P6" s="122">
        <f>'RIN Retirements'!P48</f>
        <v>24650</v>
      </c>
    </row>
    <row r="7" spans="1:16">
      <c r="A7" s="115" t="s">
        <v>330</v>
      </c>
      <c r="B7" s="119">
        <f>B3-SUM(B4:B6)</f>
        <v>0</v>
      </c>
      <c r="C7" s="119">
        <f>C3-SUM(C4:C6)</f>
        <v>0</v>
      </c>
      <c r="D7" s="119">
        <f>D3-SUM(D4:D6)</f>
        <v>20069</v>
      </c>
      <c r="E7" s="119">
        <f>E3-SUM(E5:E6)</f>
        <v>422740</v>
      </c>
      <c r="F7" s="119">
        <f t="shared" ref="F7:L7" si="0">F3-SUM(F4:F6)</f>
        <v>32942739.525199842</v>
      </c>
      <c r="G7" s="119">
        <f t="shared" si="0"/>
        <v>138968041.47545448</v>
      </c>
      <c r="H7" s="119">
        <f t="shared" si="0"/>
        <v>187876354.93406209</v>
      </c>
      <c r="I7" s="119">
        <f t="shared" si="0"/>
        <v>238734138.11630312</v>
      </c>
      <c r="J7" s="122">
        <f t="shared" si="0"/>
        <v>280447428.15586579</v>
      </c>
      <c r="K7" s="122">
        <f t="shared" si="0"/>
        <v>378388711.33850765</v>
      </c>
      <c r="L7" s="122">
        <f t="shared" si="0"/>
        <v>474393377.82553518</v>
      </c>
      <c r="M7" s="122">
        <f>M3-SUM(M4:M6)</f>
        <v>542316073.4786855</v>
      </c>
      <c r="N7" s="122">
        <f>N3-SUM(N4:N6)</f>
        <v>636235546.24516749</v>
      </c>
      <c r="O7" s="122">
        <f>O3-SUM(O4:O6)</f>
        <v>679740099.28298402</v>
      </c>
      <c r="P7" s="122">
        <f>P3-SUM(P4:P6)</f>
        <v>893136111.37624502</v>
      </c>
    </row>
    <row r="8" spans="1:16">
      <c r="A8" s="115"/>
      <c r="J8" s="123"/>
      <c r="K8" s="123"/>
      <c r="L8" s="123"/>
      <c r="M8" s="123"/>
      <c r="N8" s="123"/>
      <c r="O8" s="123"/>
      <c r="P8" s="123"/>
    </row>
    <row r="9" spans="1:16">
      <c r="A9" s="115" t="s">
        <v>331</v>
      </c>
      <c r="B9" s="119">
        <f>'RIN Retirements'!B4</f>
        <v>0</v>
      </c>
      <c r="C9" s="119">
        <f>'RIN Retirements'!C4</f>
        <v>0</v>
      </c>
      <c r="D9" s="119">
        <f>'RIN Retirements'!D4</f>
        <v>0</v>
      </c>
      <c r="E9" s="119">
        <f>'RIN Retirements'!E4</f>
        <v>293023</v>
      </c>
      <c r="F9" s="119">
        <f>'RIN Retirements'!F4</f>
        <v>21143070</v>
      </c>
      <c r="G9" s="119">
        <f>'RIN Retirements'!G4</f>
        <v>112841471</v>
      </c>
      <c r="H9" s="119">
        <f>'RIN Retirements'!H4</f>
        <v>189349748</v>
      </c>
      <c r="I9" s="119">
        <f>'RIN Retirements'!I4</f>
        <v>259889372</v>
      </c>
      <c r="J9" s="122">
        <f>'RIN Retirements'!J4</f>
        <v>283940157</v>
      </c>
      <c r="K9" s="122">
        <f>'RIN Retirements'!K4</f>
        <v>410620831</v>
      </c>
      <c r="L9" s="122">
        <f>'RIN Retirements'!L4</f>
        <v>503825187</v>
      </c>
      <c r="M9" s="122">
        <f>'RIN Retirements'!M4</f>
        <v>562494390</v>
      </c>
      <c r="N9" s="122">
        <f>'RIN Retirements'!N4</f>
        <v>660045831</v>
      </c>
      <c r="O9" s="122">
        <f>'RIN Retirements'!O4</f>
        <v>735796504</v>
      </c>
      <c r="P9" s="122">
        <f>'RIN Retirements'!P4</f>
        <v>67979</v>
      </c>
    </row>
    <row r="10" spans="1:16">
      <c r="A10" s="115" t="s">
        <v>366</v>
      </c>
      <c r="I10" s="119"/>
      <c r="J10" s="119"/>
    </row>
    <row r="11" spans="1:16">
      <c r="A11" s="115"/>
    </row>
    <row r="12" spans="1:16">
      <c r="A12" s="118" t="s">
        <v>332</v>
      </c>
      <c r="B12" s="119">
        <f>B7-B9</f>
        <v>0</v>
      </c>
      <c r="C12" s="119">
        <f t="shared" ref="C12:P12" si="1">C7-C9</f>
        <v>0</v>
      </c>
      <c r="D12" s="119">
        <f t="shared" si="1"/>
        <v>20069</v>
      </c>
      <c r="E12" s="119">
        <f t="shared" si="1"/>
        <v>129717</v>
      </c>
      <c r="F12" s="119">
        <f t="shared" si="1"/>
        <v>11799669.525199842</v>
      </c>
      <c r="G12" s="119">
        <f t="shared" si="1"/>
        <v>26126570.475454479</v>
      </c>
      <c r="H12" s="119">
        <f t="shared" si="1"/>
        <v>-1473393.0659379065</v>
      </c>
      <c r="I12" s="119">
        <f t="shared" si="1"/>
        <v>-21155233.883696884</v>
      </c>
      <c r="J12" s="119">
        <f t="shared" si="1"/>
        <v>-3492728.8441342115</v>
      </c>
      <c r="K12" s="119">
        <f t="shared" si="1"/>
        <v>-32232119.661492348</v>
      </c>
      <c r="L12" s="119">
        <f t="shared" si="1"/>
        <v>-29431809.174464822</v>
      </c>
      <c r="M12" s="122">
        <f t="shared" si="1"/>
        <v>-20178316.521314502</v>
      </c>
      <c r="N12" s="122">
        <f t="shared" si="1"/>
        <v>-23810284.754832506</v>
      </c>
      <c r="O12" s="122">
        <f t="shared" si="1"/>
        <v>-56056404.717015982</v>
      </c>
      <c r="P12" s="122">
        <f t="shared" si="1"/>
        <v>893068132.37624502</v>
      </c>
    </row>
    <row r="13" spans="1:16">
      <c r="A13" s="118" t="s">
        <v>367</v>
      </c>
      <c r="B13" s="119">
        <f>B12+B4</f>
        <v>0</v>
      </c>
      <c r="C13" s="119">
        <f t="shared" ref="C13:P13" si="2">C12+C4</f>
        <v>0</v>
      </c>
      <c r="D13" s="119">
        <f t="shared" si="2"/>
        <v>20069</v>
      </c>
      <c r="E13" s="119">
        <f t="shared" si="2"/>
        <v>129717</v>
      </c>
      <c r="F13" s="119">
        <f t="shared" si="2"/>
        <v>11840573.999999998</v>
      </c>
      <c r="G13" s="119">
        <f t="shared" si="2"/>
        <v>26562794.999999985</v>
      </c>
      <c r="H13" s="119">
        <f t="shared" si="2"/>
        <v>640808.99999998696</v>
      </c>
      <c r="I13" s="119">
        <f t="shared" si="2"/>
        <v>-11173366</v>
      </c>
      <c r="J13" s="119">
        <f t="shared" si="2"/>
        <v>25799947.000000011</v>
      </c>
      <c r="K13" s="119">
        <f t="shared" si="2"/>
        <v>-4857252.9999999814</v>
      </c>
      <c r="L13" s="119">
        <f t="shared" si="2"/>
        <v>1061293.9999999814</v>
      </c>
      <c r="M13" s="119">
        <f t="shared" si="2"/>
        <v>525396.0000000149</v>
      </c>
      <c r="N13" s="119">
        <f t="shared" si="2"/>
        <v>2875094.9999999925</v>
      </c>
      <c r="O13" s="119">
        <f t="shared" si="2"/>
        <v>-33489381.999999959</v>
      </c>
      <c r="P13" s="119">
        <f t="shared" si="2"/>
        <v>919940171</v>
      </c>
    </row>
    <row r="15" spans="1:16">
      <c r="A15" s="115" t="s">
        <v>332</v>
      </c>
    </row>
    <row r="16" spans="1:16">
      <c r="A16" s="115" t="s">
        <v>333</v>
      </c>
    </row>
    <row r="17" spans="1:1">
      <c r="A17" s="115" t="s">
        <v>334</v>
      </c>
    </row>
    <row r="18" spans="1:1">
      <c r="A18" s="115"/>
    </row>
    <row r="19" spans="1:1">
      <c r="A19" s="115" t="s">
        <v>335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CE54E-C02B-41FD-ACE0-D665962C7935}">
  <dimension ref="A1:P19"/>
  <sheetViews>
    <sheetView zoomScaleNormal="100" workbookViewId="0">
      <pane xSplit="1" ySplit="2" topLeftCell="I3" activePane="bottomRight" state="frozen"/>
      <selection activeCell="AD6" sqref="AD6"/>
      <selection pane="topRight" activeCell="AD6" sqref="AD6"/>
      <selection pane="bottomLeft" activeCell="AD6" sqref="AD6"/>
      <selection pane="bottomRight" activeCell="AD6" sqref="AD6"/>
    </sheetView>
  </sheetViews>
  <sheetFormatPr defaultColWidth="9.140625" defaultRowHeight="16.5"/>
  <cols>
    <col min="1" max="1" width="30.85546875" style="118" customWidth="1"/>
    <col min="2" max="16" width="14.28515625" style="118" customWidth="1"/>
    <col min="17" max="16384" width="9.140625" style="118"/>
  </cols>
  <sheetData>
    <row r="1" spans="1:16">
      <c r="B1" s="118">
        <v>2010</v>
      </c>
      <c r="C1" s="118">
        <v>2011</v>
      </c>
      <c r="D1" s="118">
        <v>2012</v>
      </c>
      <c r="E1" s="118">
        <v>2013</v>
      </c>
      <c r="F1" s="118">
        <v>2014</v>
      </c>
      <c r="G1" s="118">
        <v>2015</v>
      </c>
      <c r="H1" s="118">
        <v>2016</v>
      </c>
      <c r="I1" s="118">
        <v>2017</v>
      </c>
      <c r="J1" s="118">
        <v>2018</v>
      </c>
      <c r="K1" s="118">
        <v>2019</v>
      </c>
      <c r="L1" s="118">
        <v>2020</v>
      </c>
      <c r="M1" s="118">
        <v>2021</v>
      </c>
      <c r="N1" s="118">
        <v>2022</v>
      </c>
      <c r="O1" s="118">
        <v>2023</v>
      </c>
      <c r="P1" s="118">
        <v>2024</v>
      </c>
    </row>
    <row r="2" spans="1:16">
      <c r="A2" s="115"/>
    </row>
    <row r="3" spans="1:16">
      <c r="A3" s="115" t="s">
        <v>322</v>
      </c>
      <c r="B3" s="119">
        <f>'[1]D4 RIN Forecast'!B$27</f>
        <v>323276448</v>
      </c>
      <c r="C3" s="119">
        <f>'[1]D4 RIN Forecast'!C$27</f>
        <v>1691614024</v>
      </c>
      <c r="D3" s="119">
        <f>'[1]D4 RIN Forecast'!D$27</f>
        <v>1737333997</v>
      </c>
      <c r="E3" s="119">
        <f>'[1]D4 RIN Forecast'!E$27</f>
        <v>2740474431</v>
      </c>
      <c r="F3" s="119">
        <f>'[1]D4 RIN Forecast'!F$27</f>
        <v>2709972461</v>
      </c>
      <c r="G3" s="119">
        <f>'[1]D4 RIN Forecast'!G$27</f>
        <v>2795798365</v>
      </c>
      <c r="H3" s="119">
        <f>'[1]D4 RIN Forecast'!H$27</f>
        <v>4008319745</v>
      </c>
      <c r="I3" s="119">
        <f>'[1]D4 RIN Forecast'!I$27</f>
        <v>3848913464</v>
      </c>
      <c r="J3" s="119">
        <f>'[1]D4 RIN Forecast'!J$27</f>
        <v>3873220242</v>
      </c>
      <c r="K3" s="119">
        <f>'[1]D4 RIN Forecast'!K$27</f>
        <v>4146607014</v>
      </c>
      <c r="L3" s="119">
        <f>'[1]D4 RIN Forecast'!L$27</f>
        <v>4490232144</v>
      </c>
      <c r="M3" s="119">
        <f>'[1]D4 RIN Forecast'!M$27</f>
        <v>4872998352</v>
      </c>
      <c r="N3" s="119">
        <f>'[1]D4 RIN Forecast'!N$27</f>
        <v>5786573550</v>
      </c>
      <c r="O3" s="119">
        <f>'[1]D4 RIN Forecast'!O$27</f>
        <v>7964744893</v>
      </c>
      <c r="P3" s="119">
        <f>'[1]D4 RIN Forecast'!P$27</f>
        <v>9158971248</v>
      </c>
    </row>
    <row r="4" spans="1:16">
      <c r="A4" s="115" t="s">
        <v>283</v>
      </c>
      <c r="B4" s="122"/>
      <c r="C4" s="119">
        <f>'Small Refinery Exemptions'!B49</f>
        <v>0</v>
      </c>
      <c r="D4" s="119">
        <f>'Small Refinery Exemptions'!C49</f>
        <v>0</v>
      </c>
      <c r="E4" s="119">
        <f>'Small Refinery Exemptions'!D49</f>
        <v>0</v>
      </c>
      <c r="F4" s="119">
        <f>'Small Refinery Exemptions'!E49</f>
        <v>22961026.175726954</v>
      </c>
      <c r="G4" s="119">
        <f>'Small Refinery Exemptions'!F49</f>
        <v>33496527.496209256</v>
      </c>
      <c r="H4" s="119">
        <f>'Small Refinery Exemptions'!G49</f>
        <v>47227052.664577924</v>
      </c>
      <c r="I4" s="119">
        <f>'Small Refinery Exemptions'!H49</f>
        <v>127691631.70369574</v>
      </c>
      <c r="J4" s="119">
        <f>'Small Refinery Exemptions'!I49</f>
        <v>293156570.94516349</v>
      </c>
      <c r="K4" s="119">
        <f>'Small Refinery Exemptions'!J49</f>
        <v>303178781.14957476</v>
      </c>
      <c r="L4" s="119">
        <f>'Small Refinery Exemptions'!K49</f>
        <v>229993103.17446476</v>
      </c>
      <c r="M4" s="119">
        <f>'Small Refinery Exemptions'!L49</f>
        <v>156387835.57372433</v>
      </c>
      <c r="N4" s="119">
        <f>'Small Refinery Exemptions'!M49</f>
        <v>184229779.99974525</v>
      </c>
      <c r="O4" s="119">
        <f>'Small Refinery Exemptions'!N49</f>
        <v>160405806.37968621</v>
      </c>
      <c r="P4" s="119">
        <f>'Small Refinery Exemptions'!O49</f>
        <v>155475536.16272354</v>
      </c>
    </row>
    <row r="5" spans="1:16">
      <c r="A5" s="115" t="s">
        <v>328</v>
      </c>
      <c r="B5" s="119">
        <f>'RIN Retirements'!B30</f>
        <v>13812123</v>
      </c>
      <c r="C5" s="119">
        <f>'RIN Retirements'!C30</f>
        <v>46787035</v>
      </c>
      <c r="D5" s="119">
        <f>'RIN Retirements'!D30</f>
        <v>8948629</v>
      </c>
      <c r="E5" s="119">
        <f>'RIN Retirements'!E30</f>
        <v>9467178</v>
      </c>
      <c r="F5" s="119">
        <f>'RIN Retirements'!F30</f>
        <v>7016765</v>
      </c>
      <c r="G5" s="119">
        <f>'RIN Retirements'!G30</f>
        <v>2880290</v>
      </c>
      <c r="H5" s="119">
        <f>'RIN Retirements'!H30</f>
        <v>6188858</v>
      </c>
      <c r="I5" s="119">
        <f>'RIN Retirements'!I30</f>
        <v>19001829</v>
      </c>
      <c r="J5" s="119">
        <f>'RIN Retirements'!J30</f>
        <v>17769931</v>
      </c>
      <c r="K5" s="119">
        <f>'RIN Retirements'!K30</f>
        <v>6487441</v>
      </c>
      <c r="L5" s="119">
        <f>'RIN Retirements'!L30</f>
        <v>31465401</v>
      </c>
      <c r="M5" s="119">
        <f>'RIN Retirements'!M30</f>
        <v>4051418</v>
      </c>
      <c r="N5" s="119">
        <f>'RIN Retirements'!N30</f>
        <v>7849315</v>
      </c>
      <c r="O5" s="119">
        <f>'RIN Retirements'!O30</f>
        <v>2738536</v>
      </c>
      <c r="P5" s="119">
        <f>'RIN Retirements'!P30</f>
        <v>2139574</v>
      </c>
    </row>
    <row r="6" spans="1:16">
      <c r="A6" s="115" t="s">
        <v>329</v>
      </c>
      <c r="B6" s="119">
        <f>'RIN Retirements'!B60</f>
        <v>23234306</v>
      </c>
      <c r="C6" s="119">
        <f>'RIN Retirements'!C60</f>
        <v>65552508</v>
      </c>
      <c r="D6" s="119">
        <f>'RIN Retirements'!D60</f>
        <v>81894839</v>
      </c>
      <c r="E6" s="119">
        <f>'RIN Retirements'!E60</f>
        <v>92149481</v>
      </c>
      <c r="F6" s="119">
        <f>'RIN Retirements'!F60</f>
        <v>91863865</v>
      </c>
      <c r="G6" s="119">
        <f>'RIN Retirements'!G60</f>
        <v>42404725</v>
      </c>
      <c r="H6" s="119">
        <f>'RIN Retirements'!H60</f>
        <v>115007941</v>
      </c>
      <c r="I6" s="119">
        <f>'RIN Retirements'!I60</f>
        <v>92523704</v>
      </c>
      <c r="J6" s="119">
        <f>'RIN Retirements'!J60</f>
        <v>61896826</v>
      </c>
      <c r="K6" s="119">
        <f>'RIN Retirements'!K60</f>
        <v>119105486</v>
      </c>
      <c r="L6" s="119">
        <f>'RIN Retirements'!L60</f>
        <v>156678533</v>
      </c>
      <c r="M6" s="119">
        <f>'RIN Retirements'!M60</f>
        <v>57856494</v>
      </c>
      <c r="N6" s="119">
        <f>'RIN Retirements'!N60</f>
        <v>125079266</v>
      </c>
      <c r="O6" s="119">
        <f>'RIN Retirements'!O60</f>
        <v>128065357</v>
      </c>
      <c r="P6" s="119">
        <f>'RIN Retirements'!P60</f>
        <v>16273483</v>
      </c>
    </row>
    <row r="7" spans="1:16">
      <c r="A7" s="115" t="s">
        <v>330</v>
      </c>
      <c r="B7" s="119">
        <f>B3-SUM(B4:B6)</f>
        <v>286230019</v>
      </c>
      <c r="C7" s="119">
        <f t="shared" ref="C7:P7" si="0">C3-SUM(C4:C6)</f>
        <v>1579274481</v>
      </c>
      <c r="D7" s="119">
        <f t="shared" si="0"/>
        <v>1646490529</v>
      </c>
      <c r="E7" s="119">
        <f t="shared" si="0"/>
        <v>2638857772</v>
      </c>
      <c r="F7" s="119">
        <f t="shared" si="0"/>
        <v>2588130804.8242731</v>
      </c>
      <c r="G7" s="119">
        <f t="shared" si="0"/>
        <v>2717016822.5037909</v>
      </c>
      <c r="H7" s="119">
        <f t="shared" si="0"/>
        <v>3839895893.335422</v>
      </c>
      <c r="I7" s="119">
        <f t="shared" si="0"/>
        <v>3609696299.2963042</v>
      </c>
      <c r="J7" s="119">
        <f t="shared" si="0"/>
        <v>3500396914.0548363</v>
      </c>
      <c r="K7" s="119">
        <f t="shared" si="0"/>
        <v>3717835305.8504252</v>
      </c>
      <c r="L7" s="119">
        <f t="shared" si="0"/>
        <v>4072095106.8255353</v>
      </c>
      <c r="M7" s="119">
        <f t="shared" si="0"/>
        <v>4654702604.4262753</v>
      </c>
      <c r="N7" s="119">
        <f t="shared" si="0"/>
        <v>5469415189.0002546</v>
      </c>
      <c r="O7" s="119">
        <f t="shared" si="0"/>
        <v>7673535193.6203136</v>
      </c>
      <c r="P7" s="119">
        <f t="shared" si="0"/>
        <v>8985082654.8372765</v>
      </c>
    </row>
    <row r="8" spans="1:16">
      <c r="A8" s="115"/>
    </row>
    <row r="9" spans="1:16">
      <c r="A9" s="115" t="s">
        <v>331</v>
      </c>
      <c r="B9" s="119">
        <f>'RIN Retirements'!B8</f>
        <v>222710547</v>
      </c>
      <c r="C9" s="119">
        <f>'RIN Retirements'!C8</f>
        <v>1319863392</v>
      </c>
      <c r="D9" s="119">
        <f>'RIN Retirements'!D8</f>
        <v>1679016522</v>
      </c>
      <c r="E9" s="119">
        <f>'RIN Retirements'!E8</f>
        <v>2379043691</v>
      </c>
      <c r="F9" s="119">
        <f>'RIN Retirements'!F8</f>
        <v>2720901529</v>
      </c>
      <c r="G9" s="119">
        <f>'RIN Retirements'!G8</f>
        <v>2876836117</v>
      </c>
      <c r="H9" s="119">
        <f>'RIN Retirements'!H8</f>
        <v>3281819764</v>
      </c>
      <c r="I9" s="119">
        <f>'RIN Retirements'!I8</f>
        <v>3844871513</v>
      </c>
      <c r="J9" s="119">
        <f>'RIN Retirements'!J8</f>
        <v>3930837317</v>
      </c>
      <c r="K9" s="119">
        <f>'RIN Retirements'!K8</f>
        <v>4465432884</v>
      </c>
      <c r="L9" s="119">
        <f>'RIN Retirements'!L8</f>
        <v>4288533419</v>
      </c>
      <c r="M9" s="119">
        <f>'RIN Retirements'!M8</f>
        <v>4805876642</v>
      </c>
      <c r="N9" s="119">
        <f>'RIN Retirements'!N8</f>
        <v>5638454595</v>
      </c>
      <c r="O9" s="119">
        <f>'RIN Retirements'!O8</f>
        <v>7117327910</v>
      </c>
      <c r="P9" s="119">
        <f>'RIN Retirements'!P8</f>
        <v>972498916</v>
      </c>
    </row>
    <row r="10" spans="1:16">
      <c r="A10" s="115" t="s">
        <v>366</v>
      </c>
      <c r="I10" s="119"/>
      <c r="J10" s="119"/>
      <c r="K10" s="119"/>
      <c r="L10" s="119"/>
      <c r="M10" s="119"/>
    </row>
    <row r="11" spans="1:16">
      <c r="A11" s="115"/>
    </row>
    <row r="12" spans="1:16">
      <c r="A12" s="118" t="s">
        <v>332</v>
      </c>
      <c r="B12" s="119">
        <f>B7-B9</f>
        <v>63519472</v>
      </c>
      <c r="C12" s="119">
        <f t="shared" ref="C12:P12" si="1">C7-C9</f>
        <v>259411089</v>
      </c>
      <c r="D12" s="119">
        <f t="shared" si="1"/>
        <v>-32525993</v>
      </c>
      <c r="E12" s="119">
        <f t="shared" si="1"/>
        <v>259814081</v>
      </c>
      <c r="F12" s="119">
        <f t="shared" si="1"/>
        <v>-132770724.17572689</v>
      </c>
      <c r="G12" s="119">
        <f t="shared" si="1"/>
        <v>-159819294.49620914</v>
      </c>
      <c r="H12" s="119">
        <f t="shared" si="1"/>
        <v>558076129.33542204</v>
      </c>
      <c r="I12" s="119">
        <f t="shared" si="1"/>
        <v>-235175213.70369577</v>
      </c>
      <c r="J12" s="119">
        <f t="shared" si="1"/>
        <v>-430440402.94516373</v>
      </c>
      <c r="K12" s="119">
        <f t="shared" si="1"/>
        <v>-747597578.14957476</v>
      </c>
      <c r="L12" s="119">
        <f t="shared" si="1"/>
        <v>-216438312.1744647</v>
      </c>
      <c r="M12" s="119">
        <f t="shared" si="1"/>
        <v>-151174037.57372475</v>
      </c>
      <c r="N12" s="119">
        <f t="shared" si="1"/>
        <v>-169039405.99974537</v>
      </c>
      <c r="O12" s="119">
        <f t="shared" si="1"/>
        <v>556207283.62031364</v>
      </c>
      <c r="P12" s="119">
        <f t="shared" si="1"/>
        <v>8012583738.8372765</v>
      </c>
    </row>
    <row r="15" spans="1:16">
      <c r="A15" s="115" t="s">
        <v>332</v>
      </c>
    </row>
    <row r="16" spans="1:16">
      <c r="A16" s="115" t="s">
        <v>333</v>
      </c>
    </row>
    <row r="17" spans="1:1">
      <c r="A17" s="115" t="s">
        <v>334</v>
      </c>
    </row>
    <row r="18" spans="1:1">
      <c r="A18" s="115"/>
    </row>
    <row r="19" spans="1:1">
      <c r="A19" s="115" t="s">
        <v>335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5FDAB-71DF-41F5-A64C-E338F400E203}">
  <dimension ref="A1:P19"/>
  <sheetViews>
    <sheetView zoomScaleNormal="100" workbookViewId="0">
      <pane xSplit="1" ySplit="2" topLeftCell="J3" activePane="bottomRight" state="frozen"/>
      <selection activeCell="AD6" sqref="AD6"/>
      <selection pane="topRight" activeCell="AD6" sqref="AD6"/>
      <selection pane="bottomLeft" activeCell="AD6" sqref="AD6"/>
      <selection pane="bottomRight" activeCell="AD6" sqref="AD6"/>
    </sheetView>
  </sheetViews>
  <sheetFormatPr defaultColWidth="9.140625" defaultRowHeight="16.5"/>
  <cols>
    <col min="1" max="1" width="30.85546875" style="118" customWidth="1"/>
    <col min="2" max="16" width="14.28515625" style="118" customWidth="1"/>
    <col min="17" max="16384" width="9.140625" style="118"/>
  </cols>
  <sheetData>
    <row r="1" spans="1:16">
      <c r="B1" s="118">
        <v>2010</v>
      </c>
      <c r="C1" s="118">
        <v>2011</v>
      </c>
      <c r="D1" s="118">
        <v>2012</v>
      </c>
      <c r="E1" s="118">
        <v>2013</v>
      </c>
      <c r="F1" s="118">
        <v>2014</v>
      </c>
      <c r="G1" s="118">
        <v>2015</v>
      </c>
      <c r="H1" s="118">
        <v>2016</v>
      </c>
      <c r="I1" s="118">
        <v>2017</v>
      </c>
      <c r="J1" s="118">
        <v>2018</v>
      </c>
      <c r="K1" s="118">
        <v>2019</v>
      </c>
      <c r="L1" s="118">
        <v>2020</v>
      </c>
      <c r="M1" s="118">
        <v>2021</v>
      </c>
      <c r="N1" s="118">
        <v>2022</v>
      </c>
      <c r="O1" s="118">
        <v>2023</v>
      </c>
      <c r="P1" s="118">
        <v>2024</v>
      </c>
    </row>
    <row r="2" spans="1:16">
      <c r="A2" s="115"/>
    </row>
    <row r="3" spans="1:16">
      <c r="A3" s="115" t="s">
        <v>322</v>
      </c>
      <c r="B3" s="119">
        <f>'[1]D5 RIN Forecast'!B$28</f>
        <v>28611632</v>
      </c>
      <c r="C3" s="119">
        <f>'[1]D5 RIN Forecast'!C$28</f>
        <v>228558018</v>
      </c>
      <c r="D3" s="119">
        <f>'[1]D5 RIN Forecast'!D$28</f>
        <v>627072689</v>
      </c>
      <c r="E3" s="119">
        <f>'[1]D5 RIN Forecast'!E$28</f>
        <v>557824688</v>
      </c>
      <c r="F3" s="119">
        <f>'[1]D5 RIN Forecast'!F$28</f>
        <v>143540533</v>
      </c>
      <c r="G3" s="119">
        <f>'[1]D5 RIN Forecast'!G$28</f>
        <v>147091443</v>
      </c>
      <c r="H3" s="119">
        <f>'[1]D5 RIN Forecast'!H$28</f>
        <v>98103017</v>
      </c>
      <c r="I3" s="119">
        <f>'[1]D5 RIN Forecast'!I$28</f>
        <v>143646572</v>
      </c>
      <c r="J3" s="119">
        <f>'[1]D5 RIN Forecast'!J$28</f>
        <v>179304816</v>
      </c>
      <c r="K3" s="119">
        <f>'[1]D5 RIN Forecast'!K$28</f>
        <v>322343569</v>
      </c>
      <c r="L3" s="119">
        <f>'[1]D5 RIN Forecast'!L$28</f>
        <v>335236581</v>
      </c>
      <c r="M3" s="119">
        <f>'[1]D5 RIN Forecast'!M$28</f>
        <v>233872099</v>
      </c>
      <c r="N3" s="119">
        <f>'[1]D5 RIN Forecast'!N$28</f>
        <v>342763665</v>
      </c>
      <c r="O3" s="119">
        <f>'[1]D5 RIN Forecast'!O$28</f>
        <v>262944960</v>
      </c>
      <c r="P3" s="119">
        <f>'[1]D5 RIN Forecast'!P$28</f>
        <v>243155929</v>
      </c>
    </row>
    <row r="4" spans="1:16">
      <c r="A4" s="115" t="s">
        <v>283</v>
      </c>
      <c r="B4" s="119"/>
      <c r="C4" s="119">
        <f>'Small Refinery Exemptions'!B50</f>
        <v>0</v>
      </c>
      <c r="D4" s="119">
        <f>'Small Refinery Exemptions'!C50</f>
        <v>0</v>
      </c>
      <c r="E4" s="119">
        <f>'Small Refinery Exemptions'!D50</f>
        <v>0</v>
      </c>
      <c r="F4" s="119">
        <f>'Small Refinery Exemptions'!E50</f>
        <v>9035773.8242730461</v>
      </c>
      <c r="G4" s="119">
        <f>'Small Refinery Exemptions'!F50</f>
        <v>796472.50379074365</v>
      </c>
      <c r="H4" s="119">
        <f>'Small Refinery Exemptions'!G50</f>
        <v>388647.33542207628</v>
      </c>
      <c r="I4" s="119">
        <f>'Small Refinery Exemptions'!H50</f>
        <v>19480768.296304256</v>
      </c>
      <c r="J4" s="119">
        <f>'Small Refinery Exemptions'!I50</f>
        <v>83136929.054836512</v>
      </c>
      <c r="K4" s="119">
        <f>'Small Refinery Exemptions'!J50</f>
        <v>294684112.88175583</v>
      </c>
      <c r="L4" s="119">
        <f>'Small Refinery Exemptions'!K50</f>
        <v>99846896.825535238</v>
      </c>
      <c r="M4" s="119">
        <f>'Small Refinery Exemptions'!L50</f>
        <v>32108164.426275671</v>
      </c>
      <c r="N4" s="119">
        <f>'Small Refinery Exemptions'!M50</f>
        <v>31773220.00025475</v>
      </c>
      <c r="O4" s="119">
        <f>'Small Refinery Exemptions'!N50</f>
        <v>20839193.620313823</v>
      </c>
      <c r="P4" s="119">
        <f>'Small Refinery Exemptions'!O50</f>
        <v>7484463.8372764625</v>
      </c>
    </row>
    <row r="5" spans="1:16">
      <c r="A5" s="115" t="s">
        <v>328</v>
      </c>
      <c r="B5" s="119">
        <f>'RIN Retirements'!B34</f>
        <v>65268</v>
      </c>
      <c r="C5" s="119">
        <f>'RIN Retirements'!C34</f>
        <v>3600279</v>
      </c>
      <c r="D5" s="119">
        <f>'RIN Retirements'!D34</f>
        <v>29709496</v>
      </c>
      <c r="E5" s="119">
        <f>'RIN Retirements'!E34</f>
        <v>6246169</v>
      </c>
      <c r="F5" s="119">
        <f>'RIN Retirements'!F34</f>
        <v>124707</v>
      </c>
      <c r="G5" s="119">
        <f>'RIN Retirements'!G34</f>
        <v>262346</v>
      </c>
      <c r="H5" s="119">
        <f>'RIN Retirements'!H34</f>
        <v>132964</v>
      </c>
      <c r="I5" s="119">
        <f>'RIN Retirements'!I34</f>
        <v>92528</v>
      </c>
      <c r="J5" s="119">
        <f>'RIN Retirements'!J34</f>
        <v>896380</v>
      </c>
      <c r="K5" s="119">
        <f>'RIN Retirements'!K34</f>
        <v>212781</v>
      </c>
      <c r="L5" s="119">
        <f>'RIN Retirements'!L34</f>
        <v>15024</v>
      </c>
      <c r="M5" s="119">
        <f>'RIN Retirements'!M34</f>
        <v>865752</v>
      </c>
      <c r="N5" s="119">
        <f>'RIN Retirements'!N34</f>
        <v>7009152</v>
      </c>
      <c r="O5" s="119">
        <f>'RIN Retirements'!O34</f>
        <v>2433356</v>
      </c>
      <c r="P5" s="119">
        <f>'RIN Retirements'!P34</f>
        <v>2103</v>
      </c>
    </row>
    <row r="6" spans="1:16">
      <c r="A6" s="115" t="s">
        <v>329</v>
      </c>
      <c r="B6" s="119">
        <f>'RIN Retirements'!B72</f>
        <v>101388</v>
      </c>
      <c r="C6" s="119">
        <f>'RIN Retirements'!C72</f>
        <v>1709550</v>
      </c>
      <c r="D6" s="119">
        <f>'RIN Retirements'!D72</f>
        <v>212008</v>
      </c>
      <c r="E6" s="119">
        <f>'RIN Retirements'!E72</f>
        <v>173205</v>
      </c>
      <c r="F6" s="119">
        <f>'RIN Retirements'!F72</f>
        <v>95719</v>
      </c>
      <c r="G6" s="119">
        <f>'RIN Retirements'!G72</f>
        <v>15781</v>
      </c>
      <c r="H6" s="119">
        <f>'RIN Retirements'!H72</f>
        <v>15077</v>
      </c>
      <c r="I6" s="119">
        <f>'RIN Retirements'!I72</f>
        <v>28524</v>
      </c>
      <c r="J6" s="119">
        <f>'RIN Retirements'!J72</f>
        <v>202693</v>
      </c>
      <c r="K6" s="119">
        <f>'RIN Retirements'!K72</f>
        <v>2741046</v>
      </c>
      <c r="L6" s="119">
        <f>'RIN Retirements'!L72</f>
        <v>232474</v>
      </c>
      <c r="M6" s="119">
        <f>'RIN Retirements'!M72</f>
        <v>150852</v>
      </c>
      <c r="N6" s="119">
        <f>'RIN Retirements'!N72</f>
        <v>5644647</v>
      </c>
      <c r="O6" s="119">
        <f>'RIN Retirements'!O72</f>
        <v>1038178</v>
      </c>
      <c r="P6" s="119">
        <f>'RIN Retirements'!P72</f>
        <v>2369109</v>
      </c>
    </row>
    <row r="7" spans="1:16">
      <c r="A7" s="115" t="s">
        <v>330</v>
      </c>
      <c r="B7" s="119">
        <f>B3-SUM(B4:B6)</f>
        <v>28444976</v>
      </c>
      <c r="C7" s="119">
        <f t="shared" ref="C7:P7" si="0">C3-SUM(C4:C6)</f>
        <v>223248189</v>
      </c>
      <c r="D7" s="119">
        <f t="shared" si="0"/>
        <v>597151185</v>
      </c>
      <c r="E7" s="119">
        <f t="shared" si="0"/>
        <v>551405314</v>
      </c>
      <c r="F7" s="119">
        <f t="shared" si="0"/>
        <v>134284333.17572695</v>
      </c>
      <c r="G7" s="119">
        <f t="shared" si="0"/>
        <v>146016843.49620926</v>
      </c>
      <c r="H7" s="119">
        <f t="shared" si="0"/>
        <v>97566328.664577931</v>
      </c>
      <c r="I7" s="119">
        <f t="shared" si="0"/>
        <v>124044751.70369574</v>
      </c>
      <c r="J7" s="119">
        <f t="shared" si="0"/>
        <v>95068813.945163488</v>
      </c>
      <c r="K7" s="119">
        <f t="shared" si="0"/>
        <v>24705629.118244171</v>
      </c>
      <c r="L7" s="119">
        <f t="shared" si="0"/>
        <v>235142186.17446476</v>
      </c>
      <c r="M7" s="119">
        <f t="shared" si="0"/>
        <v>200747330.57372433</v>
      </c>
      <c r="N7" s="119">
        <f t="shared" si="0"/>
        <v>298336645.99974525</v>
      </c>
      <c r="O7" s="119">
        <f t="shared" si="0"/>
        <v>238634232.37968618</v>
      </c>
      <c r="P7" s="119">
        <f t="shared" si="0"/>
        <v>233300253.16272354</v>
      </c>
    </row>
    <row r="8" spans="1:16">
      <c r="A8" s="115"/>
    </row>
    <row r="9" spans="1:16">
      <c r="A9" s="115" t="s">
        <v>331</v>
      </c>
      <c r="B9" s="119">
        <f>'RIN Retirements'!B12</f>
        <v>24808442</v>
      </c>
      <c r="C9" s="119">
        <f>'RIN Retirements'!C12</f>
        <v>173316504</v>
      </c>
      <c r="D9" s="119">
        <f>'RIN Retirements'!D12</f>
        <v>481271750</v>
      </c>
      <c r="E9" s="119">
        <f>'RIN Retirements'!E12</f>
        <v>673610540</v>
      </c>
      <c r="F9" s="119">
        <f>'RIN Retirements'!F12</f>
        <v>130729680</v>
      </c>
      <c r="G9" s="119">
        <f>'RIN Retirements'!G12</f>
        <v>101203401</v>
      </c>
      <c r="H9" s="119">
        <f>'RIN Retirements'!H12</f>
        <v>181556905</v>
      </c>
      <c r="I9" s="119">
        <f>'RIN Retirements'!I12</f>
        <v>150031625</v>
      </c>
      <c r="J9" s="119">
        <f>'RIN Retirements'!J12</f>
        <v>172240176</v>
      </c>
      <c r="K9" s="119">
        <f>'RIN Retirements'!K12</f>
        <v>331818910</v>
      </c>
      <c r="L9" s="119">
        <f>'RIN Retirements'!L12</f>
        <v>332236392</v>
      </c>
      <c r="M9" s="119">
        <f>'RIN Retirements'!M12</f>
        <v>232549967</v>
      </c>
      <c r="N9" s="119">
        <f>'RIN Retirements'!N12</f>
        <v>327551614</v>
      </c>
      <c r="O9" s="119">
        <f>'RIN Retirements'!O12</f>
        <v>249349078</v>
      </c>
      <c r="P9" s="119">
        <f>'RIN Retirements'!P12</f>
        <v>45963601</v>
      </c>
    </row>
    <row r="10" spans="1:16">
      <c r="A10" s="115" t="s">
        <v>366</v>
      </c>
      <c r="I10" s="119"/>
      <c r="J10" s="119"/>
      <c r="K10" s="119"/>
      <c r="L10" s="119"/>
      <c r="M10" s="119"/>
      <c r="N10" s="119"/>
      <c r="O10" s="119"/>
      <c r="P10" s="119"/>
    </row>
    <row r="11" spans="1:16">
      <c r="A11" s="115"/>
    </row>
    <row r="12" spans="1:16">
      <c r="A12" s="118" t="s">
        <v>332</v>
      </c>
      <c r="B12" s="119">
        <f>B7-B9</f>
        <v>3636534</v>
      </c>
      <c r="C12" s="119">
        <f t="shared" ref="C12:P12" si="1">C7-C9</f>
        <v>49931685</v>
      </c>
      <c r="D12" s="119">
        <f t="shared" si="1"/>
        <v>115879435</v>
      </c>
      <c r="E12" s="119">
        <f t="shared" si="1"/>
        <v>-122205226</v>
      </c>
      <c r="F12" s="119">
        <f t="shared" si="1"/>
        <v>3554653.1757269502</v>
      </c>
      <c r="G12" s="119">
        <f t="shared" si="1"/>
        <v>44813442.496209264</v>
      </c>
      <c r="H12" s="119">
        <f t="shared" si="1"/>
        <v>-83990576.335422069</v>
      </c>
      <c r="I12" s="119">
        <f t="shared" si="1"/>
        <v>-25986873.296304256</v>
      </c>
      <c r="J12" s="119">
        <f t="shared" si="1"/>
        <v>-77171362.054836512</v>
      </c>
      <c r="K12" s="119">
        <f t="shared" si="1"/>
        <v>-307113280.88175583</v>
      </c>
      <c r="L12" s="119">
        <f t="shared" si="1"/>
        <v>-97094205.825535238</v>
      </c>
      <c r="M12" s="119">
        <f t="shared" si="1"/>
        <v>-31802636.426275671</v>
      </c>
      <c r="N12" s="119">
        <f t="shared" si="1"/>
        <v>-29214968.00025475</v>
      </c>
      <c r="O12" s="119">
        <f t="shared" si="1"/>
        <v>-10714845.620313823</v>
      </c>
      <c r="P12" s="119">
        <f t="shared" si="1"/>
        <v>187336652.16272354</v>
      </c>
    </row>
    <row r="15" spans="1:16">
      <c r="A15" s="115" t="s">
        <v>332</v>
      </c>
    </row>
    <row r="16" spans="1:16">
      <c r="A16" s="115" t="s">
        <v>333</v>
      </c>
    </row>
    <row r="17" spans="1:1">
      <c r="A17" s="115" t="s">
        <v>334</v>
      </c>
    </row>
    <row r="18" spans="1:1">
      <c r="A18" s="115"/>
    </row>
    <row r="19" spans="1:1">
      <c r="A19" s="115" t="s">
        <v>335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91E58-466D-4D18-8C84-363EF4F62A9D}">
  <dimension ref="A1:P19"/>
  <sheetViews>
    <sheetView workbookViewId="0">
      <selection activeCell="AD6" sqref="AD6"/>
    </sheetView>
  </sheetViews>
  <sheetFormatPr defaultColWidth="9.140625" defaultRowHeight="16.5"/>
  <cols>
    <col min="1" max="1" width="30.85546875" style="118" customWidth="1"/>
    <col min="2" max="10" width="14.28515625" style="118" hidden="1" customWidth="1"/>
    <col min="11" max="16" width="14.28515625" style="118" customWidth="1"/>
    <col min="17" max="16384" width="9.140625" style="118"/>
  </cols>
  <sheetData>
    <row r="1" spans="1:16">
      <c r="B1" s="118">
        <v>2010</v>
      </c>
      <c r="C1" s="118">
        <v>2011</v>
      </c>
      <c r="D1" s="118">
        <v>2012</v>
      </c>
      <c r="E1" s="118">
        <v>2013</v>
      </c>
      <c r="F1" s="118">
        <v>2014</v>
      </c>
      <c r="G1" s="118">
        <v>2015</v>
      </c>
      <c r="H1" s="118">
        <v>2016</v>
      </c>
      <c r="I1" s="118">
        <v>2017</v>
      </c>
      <c r="J1" s="118">
        <v>2018</v>
      </c>
      <c r="K1" s="118">
        <v>2019</v>
      </c>
      <c r="L1" s="118">
        <v>2020</v>
      </c>
      <c r="M1" s="118">
        <v>2021</v>
      </c>
      <c r="N1" s="118">
        <v>2022</v>
      </c>
      <c r="O1" s="118">
        <v>2023</v>
      </c>
      <c r="P1" s="118">
        <v>2024</v>
      </c>
    </row>
    <row r="2" spans="1:16">
      <c r="A2" s="115"/>
    </row>
    <row r="3" spans="1:16">
      <c r="A3" s="115" t="s">
        <v>322</v>
      </c>
      <c r="B3" s="119">
        <f>'[1]D6 RIN Forecast'!B$23</f>
        <v>6796087849</v>
      </c>
      <c r="C3" s="119">
        <f>'[1]D6 RIN Forecast'!C$23</f>
        <v>13615315697</v>
      </c>
      <c r="D3" s="119">
        <f>'[1]D6 RIN Forecast'!D$23</f>
        <v>12987841601</v>
      </c>
      <c r="E3" s="119">
        <f>'[1]D6 RIN Forecast'!E$23</f>
        <v>13350511585</v>
      </c>
      <c r="F3" s="119">
        <f>'[1]D6 RIN Forecast'!F$23</f>
        <v>14359064491</v>
      </c>
      <c r="G3" s="119">
        <f>'[1]D6 RIN Forecast'!G$23</f>
        <v>14845902013</v>
      </c>
      <c r="H3" s="119">
        <f>'[1]D6 RIN Forecast'!H$23</f>
        <v>15175717036</v>
      </c>
      <c r="I3" s="119">
        <f>'[1]D6 RIN Forecast'!I$23</f>
        <v>15109202482</v>
      </c>
      <c r="J3" s="119">
        <f>'[1]D6 RIN Forecast'!J$23</f>
        <v>15148806254</v>
      </c>
      <c r="K3" s="119">
        <f>'[1]D6 RIN Forecast'!K$23</f>
        <v>14928211250</v>
      </c>
      <c r="L3" s="119">
        <f>'[1]D6 RIN Forecast'!L$23</f>
        <v>12986850360</v>
      </c>
      <c r="M3" s="119">
        <f>'[1]D6 RIN Forecast'!M$23</f>
        <v>14258274476</v>
      </c>
      <c r="N3" s="119">
        <f>'[1]D6 RIN Forecast'!N$23</f>
        <v>14542634779</v>
      </c>
      <c r="O3" s="119">
        <f>'[1]D6 RIN Forecast'!O$23</f>
        <v>14794782637</v>
      </c>
      <c r="P3" s="119">
        <f>'[1]D6 RIN Forecast'!P$23</f>
        <v>14890536490</v>
      </c>
    </row>
    <row r="4" spans="1:16">
      <c r="A4" s="115" t="s">
        <v>283</v>
      </c>
      <c r="B4" s="119"/>
      <c r="C4" s="119">
        <f>'Small Refinery Exemptions'!B51</f>
        <v>0</v>
      </c>
      <c r="D4" s="119">
        <f>'Small Refinery Exemptions'!C51</f>
        <v>0</v>
      </c>
      <c r="E4" s="119">
        <f>'Small Refinery Exemptions'!D51</f>
        <v>0</v>
      </c>
      <c r="F4" s="119">
        <f>'Small Refinery Exemptions'!E51</f>
        <v>160776000</v>
      </c>
      <c r="G4" s="119">
        <f>'Small Refinery Exemptions'!F51</f>
        <v>176639999.99999997</v>
      </c>
      <c r="H4" s="119">
        <f>'Small Refinery Exemptions'!G51</f>
        <v>242530000.00000006</v>
      </c>
      <c r="I4" s="119">
        <f>'Small Refinery Exemptions'!H51</f>
        <v>632638000</v>
      </c>
      <c r="J4" s="119">
        <f>'Small Refinery Exemptions'!I51</f>
        <v>1418560000</v>
      </c>
      <c r="K4" s="119">
        <f>'Small Refinery Exemptions'!J51</f>
        <v>1415836000</v>
      </c>
      <c r="L4" s="119">
        <f>'Small Refinery Exemptions'!K51</f>
        <v>1098580000</v>
      </c>
      <c r="M4" s="119">
        <f>'Small Refinery Exemptions'!L51</f>
        <v>563346000</v>
      </c>
      <c r="N4" s="119">
        <f>'Small Refinery Exemptions'!M51</f>
        <v>662571000</v>
      </c>
      <c r="O4" s="119">
        <f>'Small Refinery Exemptions'!N51</f>
        <v>534705000</v>
      </c>
      <c r="P4" s="119">
        <f>'Small Refinery Exemptions'!O51</f>
        <v>479920000</v>
      </c>
    </row>
    <row r="5" spans="1:16">
      <c r="A5" s="115" t="s">
        <v>328</v>
      </c>
      <c r="B5" s="119">
        <f>'RIN Retirements'!B38</f>
        <v>11236084</v>
      </c>
      <c r="C5" s="119">
        <f>'RIN Retirements'!C38</f>
        <v>28086050</v>
      </c>
      <c r="D5" s="119">
        <f>'RIN Retirements'!D38</f>
        <v>6953540</v>
      </c>
      <c r="E5" s="119">
        <f>'RIN Retirements'!E38</f>
        <v>24901865</v>
      </c>
      <c r="F5" s="119">
        <f>'RIN Retirements'!F38</f>
        <v>14410773</v>
      </c>
      <c r="G5" s="119">
        <f>'RIN Retirements'!G38</f>
        <v>4319127</v>
      </c>
      <c r="H5" s="119">
        <f>'RIN Retirements'!H38</f>
        <v>18796313</v>
      </c>
      <c r="I5" s="119">
        <f>'RIN Retirements'!I38</f>
        <v>19443026</v>
      </c>
      <c r="J5" s="119">
        <f>'RIN Retirements'!J38</f>
        <v>9303861</v>
      </c>
      <c r="K5" s="119">
        <f>'RIN Retirements'!K38</f>
        <v>10397656</v>
      </c>
      <c r="L5" s="119">
        <f>'RIN Retirements'!L38</f>
        <v>5690923</v>
      </c>
      <c r="M5" s="119">
        <f>'RIN Retirements'!M38</f>
        <v>15146142</v>
      </c>
      <c r="N5" s="119">
        <f>'RIN Retirements'!N38</f>
        <v>13628002</v>
      </c>
      <c r="O5" s="119">
        <f>'RIN Retirements'!O38</f>
        <v>8301447</v>
      </c>
      <c r="P5" s="119">
        <f>'RIN Retirements'!P38</f>
        <v>17141957</v>
      </c>
    </row>
    <row r="6" spans="1:16">
      <c r="A6" s="115" t="s">
        <v>329</v>
      </c>
      <c r="B6" s="119">
        <f>'RIN Retirements'!B84</f>
        <v>75733574</v>
      </c>
      <c r="C6" s="119">
        <f>'RIN Retirements'!C84</f>
        <v>322919460</v>
      </c>
      <c r="D6" s="119">
        <f>'RIN Retirements'!D84</f>
        <v>8652786</v>
      </c>
      <c r="E6" s="119">
        <f>'RIN Retirements'!E84</f>
        <v>84155340</v>
      </c>
      <c r="F6" s="119">
        <f>'RIN Retirements'!F84</f>
        <v>281017846</v>
      </c>
      <c r="G6" s="119">
        <f>'RIN Retirements'!G84</f>
        <v>197682733</v>
      </c>
      <c r="H6" s="119">
        <f>'RIN Retirements'!H84</f>
        <v>212548940</v>
      </c>
      <c r="I6" s="119">
        <f>'RIN Retirements'!I84</f>
        <v>325772681</v>
      </c>
      <c r="J6" s="119">
        <f>'RIN Retirements'!J84</f>
        <v>210302989</v>
      </c>
      <c r="K6" s="119">
        <f>'RIN Retirements'!K84</f>
        <v>299977025</v>
      </c>
      <c r="L6" s="119">
        <f>'RIN Retirements'!L84</f>
        <v>149613210</v>
      </c>
      <c r="M6" s="119">
        <f>'RIN Retirements'!M84</f>
        <v>143479519</v>
      </c>
      <c r="N6" s="119">
        <f>'RIN Retirements'!N84</f>
        <v>135577211</v>
      </c>
      <c r="O6" s="119">
        <f>'RIN Retirements'!O84</f>
        <v>105540529</v>
      </c>
      <c r="P6" s="119">
        <f>'RIN Retirements'!P84</f>
        <v>427314</v>
      </c>
    </row>
    <row r="7" spans="1:16">
      <c r="A7" s="115" t="s">
        <v>330</v>
      </c>
      <c r="B7" s="119">
        <f>B3-SUM(B4:B6)</f>
        <v>6709118191</v>
      </c>
      <c r="C7" s="119">
        <f t="shared" ref="C7:P7" si="0">C3-SUM(C4:C6)</f>
        <v>13264310187</v>
      </c>
      <c r="D7" s="119">
        <f t="shared" si="0"/>
        <v>12972235275</v>
      </c>
      <c r="E7" s="119">
        <f t="shared" si="0"/>
        <v>13241454380</v>
      </c>
      <c r="F7" s="119">
        <f t="shared" si="0"/>
        <v>13902859872</v>
      </c>
      <c r="G7" s="119">
        <f t="shared" si="0"/>
        <v>14467260153</v>
      </c>
      <c r="H7" s="119">
        <f t="shared" si="0"/>
        <v>14701841783</v>
      </c>
      <c r="I7" s="119">
        <f t="shared" si="0"/>
        <v>14131348775</v>
      </c>
      <c r="J7" s="119">
        <f t="shared" si="0"/>
        <v>13510639404</v>
      </c>
      <c r="K7" s="119">
        <f t="shared" si="0"/>
        <v>13202000569</v>
      </c>
      <c r="L7" s="119">
        <f t="shared" si="0"/>
        <v>11732966227</v>
      </c>
      <c r="M7" s="119">
        <f t="shared" si="0"/>
        <v>13536302815</v>
      </c>
      <c r="N7" s="119">
        <f t="shared" si="0"/>
        <v>13730858566</v>
      </c>
      <c r="O7" s="119">
        <f t="shared" si="0"/>
        <v>14146235661</v>
      </c>
      <c r="P7" s="119">
        <f t="shared" si="0"/>
        <v>14393047219</v>
      </c>
    </row>
    <row r="8" spans="1:16">
      <c r="A8" s="115"/>
    </row>
    <row r="9" spans="1:16">
      <c r="A9" s="115" t="s">
        <v>331</v>
      </c>
      <c r="B9" s="119">
        <f>'RIN Retirements'!B16</f>
        <v>3963808436</v>
      </c>
      <c r="C9" s="119">
        <f>'RIN Retirements'!C8</f>
        <v>1319863392</v>
      </c>
      <c r="D9" s="119">
        <f>'RIN Retirements'!D8</f>
        <v>1679016522</v>
      </c>
      <c r="E9" s="119">
        <f>'RIN Retirements'!E8</f>
        <v>2379043691</v>
      </c>
      <c r="F9" s="119">
        <f>'RIN Retirements'!F8</f>
        <v>2720901529</v>
      </c>
      <c r="G9" s="119">
        <f>'RIN Retirements'!G8</f>
        <v>2876836117</v>
      </c>
      <c r="H9" s="119">
        <f>'RIN Retirements'!H8</f>
        <v>3281819764</v>
      </c>
      <c r="I9" s="119">
        <f>'RIN Retirements'!I8</f>
        <v>3844871513</v>
      </c>
      <c r="J9" s="119">
        <f>'RIN Retirements'!J8</f>
        <v>3930837317</v>
      </c>
      <c r="K9" s="119">
        <f>'RIN Retirements'!K8</f>
        <v>4465432884</v>
      </c>
      <c r="L9" s="119">
        <f>'RIN Retirements'!L8</f>
        <v>4288533419</v>
      </c>
      <c r="M9" s="119">
        <f>'RIN Retirements'!M8</f>
        <v>4805876642</v>
      </c>
      <c r="N9" s="119">
        <f>'RIN Retirements'!N8</f>
        <v>5638454595</v>
      </c>
      <c r="O9" s="119">
        <f>'RIN Retirements'!O8</f>
        <v>7117327910</v>
      </c>
      <c r="P9" s="119">
        <f>'RIN Retirements'!P8</f>
        <v>972498916</v>
      </c>
    </row>
    <row r="10" spans="1:16">
      <c r="A10" s="115" t="s">
        <v>366</v>
      </c>
      <c r="I10" s="119"/>
      <c r="J10" s="119"/>
      <c r="K10" s="119"/>
      <c r="L10" s="119"/>
      <c r="M10" s="119"/>
    </row>
    <row r="11" spans="1:16">
      <c r="A11" s="115"/>
    </row>
    <row r="12" spans="1:16">
      <c r="A12" s="118" t="s">
        <v>332</v>
      </c>
      <c r="B12" s="119">
        <f>B7-B9</f>
        <v>2745309755</v>
      </c>
      <c r="C12" s="119">
        <f t="shared" ref="C12:P12" si="1">C7-C9</f>
        <v>11944446795</v>
      </c>
      <c r="D12" s="119">
        <f t="shared" si="1"/>
        <v>11293218753</v>
      </c>
      <c r="E12" s="119">
        <f t="shared" si="1"/>
        <v>10862410689</v>
      </c>
      <c r="F12" s="119">
        <f t="shared" si="1"/>
        <v>11181958343</v>
      </c>
      <c r="G12" s="119">
        <f t="shared" si="1"/>
        <v>11590424036</v>
      </c>
      <c r="H12" s="119">
        <f t="shared" si="1"/>
        <v>11420022019</v>
      </c>
      <c r="I12" s="119">
        <f t="shared" si="1"/>
        <v>10286477262</v>
      </c>
      <c r="J12" s="119">
        <f t="shared" si="1"/>
        <v>9579802087</v>
      </c>
      <c r="K12" s="119">
        <f t="shared" si="1"/>
        <v>8736567685</v>
      </c>
      <c r="L12" s="119">
        <f t="shared" si="1"/>
        <v>7444432808</v>
      </c>
      <c r="M12" s="119">
        <f t="shared" si="1"/>
        <v>8730426173</v>
      </c>
      <c r="N12" s="119">
        <f t="shared" si="1"/>
        <v>8092403971</v>
      </c>
      <c r="O12" s="119">
        <f t="shared" si="1"/>
        <v>7028907751</v>
      </c>
      <c r="P12" s="119">
        <f t="shared" si="1"/>
        <v>13420548303</v>
      </c>
    </row>
    <row r="15" spans="1:16">
      <c r="A15" s="115" t="s">
        <v>332</v>
      </c>
    </row>
    <row r="16" spans="1:16">
      <c r="A16" s="115" t="s">
        <v>333</v>
      </c>
    </row>
    <row r="17" spans="1:1">
      <c r="A17" s="115" t="s">
        <v>334</v>
      </c>
    </row>
    <row r="18" spans="1:1">
      <c r="A18" s="115"/>
    </row>
    <row r="19" spans="1:1">
      <c r="A19" s="115" t="s">
        <v>335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FB61F-59BF-41CD-AE1F-46828B302B6A}">
  <dimension ref="A1:P19"/>
  <sheetViews>
    <sheetView workbookViewId="0">
      <selection activeCell="AD6" sqref="AD6"/>
    </sheetView>
  </sheetViews>
  <sheetFormatPr defaultColWidth="9.140625" defaultRowHeight="16.5"/>
  <cols>
    <col min="1" max="1" width="30.85546875" style="118" customWidth="1"/>
    <col min="2" max="9" width="14.28515625" style="118" hidden="1" customWidth="1"/>
    <col min="10" max="14" width="14.28515625" style="118" customWidth="1"/>
    <col min="15" max="16384" width="9.140625" style="118"/>
  </cols>
  <sheetData>
    <row r="1" spans="1:16">
      <c r="B1" s="118">
        <v>2010</v>
      </c>
      <c r="C1" s="118">
        <v>2011</v>
      </c>
      <c r="D1" s="118">
        <v>2012</v>
      </c>
      <c r="E1" s="118">
        <v>2013</v>
      </c>
      <c r="F1" s="118">
        <v>2014</v>
      </c>
      <c r="G1" s="118">
        <v>2015</v>
      </c>
      <c r="H1" s="118">
        <v>2016</v>
      </c>
      <c r="I1" s="118">
        <v>2017</v>
      </c>
      <c r="J1" s="118">
        <v>2018</v>
      </c>
      <c r="K1" s="118">
        <v>2019</v>
      </c>
      <c r="L1" s="118">
        <v>2020</v>
      </c>
      <c r="M1" s="118">
        <v>2021</v>
      </c>
      <c r="N1" s="118">
        <v>2022</v>
      </c>
      <c r="O1" s="118">
        <v>2023</v>
      </c>
      <c r="P1" s="118">
        <v>2024</v>
      </c>
    </row>
    <row r="2" spans="1:16">
      <c r="A2" s="115"/>
    </row>
    <row r="3" spans="1:16">
      <c r="A3" s="115" t="s">
        <v>322</v>
      </c>
      <c r="B3" s="119">
        <f>'[1]D7 RIN Forecast'!B$13</f>
        <v>0</v>
      </c>
      <c r="C3" s="119">
        <f>'[1]D7 RIN Forecast'!C$13</f>
        <v>0</v>
      </c>
      <c r="D3" s="119">
        <f>'[1]D7 RIN Forecast'!D$13</f>
        <v>1741</v>
      </c>
      <c r="E3" s="119">
        <f>'[1]D7 RIN Forecast'!E$13</f>
        <v>395777</v>
      </c>
      <c r="F3" s="119">
        <f>'[1]D7 RIN Forecast'!F$13</f>
        <v>59305</v>
      </c>
      <c r="G3" s="119">
        <f>'[1]D7 RIN Forecast'!G$13</f>
        <v>275315</v>
      </c>
      <c r="H3" s="119">
        <f>'[1]D7 RIN Forecast'!H$13</f>
        <v>534429</v>
      </c>
      <c r="I3" s="119">
        <f>'[1]D7 RIN Forecast'!I$13</f>
        <v>1743894</v>
      </c>
      <c r="J3" s="119">
        <f>'[1]D7 RIN Forecast'!J$13</f>
        <v>2451256</v>
      </c>
      <c r="K3" s="119">
        <f>'[1]D7 RIN Forecast'!K$13</f>
        <v>1315943</v>
      </c>
      <c r="L3" s="119">
        <f>'[1]D7 RIN Forecast'!L$13</f>
        <v>55892</v>
      </c>
      <c r="M3" s="119">
        <f>'[1]D7 RIN Forecast'!M$13</f>
        <v>247518</v>
      </c>
      <c r="N3" s="119">
        <f>'[1]D7 RIN Forecast'!N$13</f>
        <v>236352</v>
      </c>
      <c r="O3" s="119">
        <f>'[1]D7 RIN Forecast'!O$13</f>
        <v>208643</v>
      </c>
      <c r="P3" s="119">
        <f>'[1]D7 RIN Forecast'!P$13</f>
        <v>227964</v>
      </c>
    </row>
    <row r="4" spans="1:16">
      <c r="A4" s="115" t="s">
        <v>283</v>
      </c>
      <c r="B4" s="122"/>
      <c r="C4" s="119">
        <f>'Small Refinery Exemptions'!B52</f>
        <v>0</v>
      </c>
      <c r="D4" s="119">
        <f>'Small Refinery Exemptions'!C52</f>
        <v>0</v>
      </c>
      <c r="E4" s="119">
        <f>'Small Refinery Exemptions'!D52</f>
        <v>0</v>
      </c>
      <c r="F4" s="119">
        <f>'Small Refinery Exemptions'!E52</f>
        <v>38295.525199843134</v>
      </c>
      <c r="G4" s="119">
        <f>'Small Refinery Exemptions'!F52</f>
        <v>775.47545449394966</v>
      </c>
      <c r="H4" s="119">
        <f>'Small Refinery Exemptions'!G52</f>
        <v>4097.9340621065348</v>
      </c>
      <c r="I4" s="119">
        <f>'Small Refinery Exemptions'!H52</f>
        <v>27732.116303116083</v>
      </c>
      <c r="J4" s="119">
        <f>'Small Refinery Exemptions'!I52</f>
        <v>203824.15586577728</v>
      </c>
      <c r="K4" s="119">
        <f>'Small Refinery Exemptions'!J52</f>
        <v>214833.33850763366</v>
      </c>
      <c r="L4" s="119">
        <f>'Small Refinery Exemptions'!K52</f>
        <v>96896.825535196811</v>
      </c>
      <c r="M4" s="119">
        <f>'Small Refinery Exemptions'!L52</f>
        <v>2287.4786854833364</v>
      </c>
      <c r="N4" s="119">
        <f>'Small Refinery Exemptions'!M52</f>
        <v>11620.245167501271</v>
      </c>
      <c r="O4" s="119">
        <f>'Small Refinery Exemptions'!N52</f>
        <v>7977.2829839773476</v>
      </c>
      <c r="P4" s="119">
        <f>'Small Refinery Exemptions'!O52</f>
        <v>7961.3762449771166</v>
      </c>
    </row>
    <row r="5" spans="1:16">
      <c r="A5" s="115" t="s">
        <v>328</v>
      </c>
      <c r="B5" s="119">
        <f>'RIN Retirements'!B42</f>
        <v>0</v>
      </c>
      <c r="C5" s="119">
        <f>'RIN Retirements'!C42</f>
        <v>0</v>
      </c>
      <c r="D5" s="119">
        <f>'RIN Retirements'!D42</f>
        <v>0</v>
      </c>
      <c r="E5" s="119">
        <f>'RIN Retirements'!E42</f>
        <v>8332</v>
      </c>
      <c r="F5" s="119">
        <f>'RIN Retirements'!F42</f>
        <v>4997</v>
      </c>
      <c r="G5" s="119">
        <f>'RIN Retirements'!G42</f>
        <v>27530</v>
      </c>
      <c r="H5" s="119">
        <f>'RIN Retirements'!H42</f>
        <v>53441</v>
      </c>
      <c r="I5" s="119">
        <f>'RIN Retirements'!I42</f>
        <v>75602</v>
      </c>
      <c r="J5" s="119">
        <f>'RIN Retirements'!J42</f>
        <v>0</v>
      </c>
      <c r="K5" s="119">
        <f>'RIN Retirements'!K42</f>
        <v>0</v>
      </c>
      <c r="L5" s="119">
        <f>'RIN Retirements'!L42</f>
        <v>0</v>
      </c>
      <c r="M5" s="119">
        <f>'RIN Retirements'!M42</f>
        <v>0</v>
      </c>
      <c r="N5" s="119">
        <f>'RIN Retirements'!N42</f>
        <v>0</v>
      </c>
      <c r="O5" s="119">
        <f>'RIN Retirements'!O42</f>
        <v>0</v>
      </c>
      <c r="P5" s="119">
        <f>'RIN Retirements'!P42</f>
        <v>23875</v>
      </c>
    </row>
    <row r="6" spans="1:16">
      <c r="A6" s="115" t="s">
        <v>329</v>
      </c>
      <c r="B6" s="119">
        <f>'RIN Retirements'!B96</f>
        <v>0</v>
      </c>
      <c r="C6" s="119">
        <f>'RIN Retirements'!C96</f>
        <v>0</v>
      </c>
      <c r="D6" s="119">
        <f>'RIN Retirements'!D96</f>
        <v>0</v>
      </c>
      <c r="E6" s="119">
        <f>'RIN Retirements'!E96</f>
        <v>0</v>
      </c>
      <c r="F6" s="119">
        <f>'RIN Retirements'!F96</f>
        <v>0</v>
      </c>
      <c r="G6" s="119">
        <f>'RIN Retirements'!G96</f>
        <v>0</v>
      </c>
      <c r="H6" s="119">
        <f>'RIN Retirements'!H96</f>
        <v>0</v>
      </c>
      <c r="I6" s="119">
        <f>'RIN Retirements'!I96</f>
        <v>0</v>
      </c>
      <c r="J6" s="119">
        <f>'RIN Retirements'!J96</f>
        <v>5151</v>
      </c>
      <c r="K6" s="119">
        <f>'RIN Retirements'!K96</f>
        <v>6101</v>
      </c>
      <c r="L6" s="119">
        <f>'RIN Retirements'!L96</f>
        <v>0</v>
      </c>
      <c r="M6" s="119">
        <f>'RIN Retirements'!M96</f>
        <v>0</v>
      </c>
      <c r="N6" s="119">
        <f>'RIN Retirements'!N96</f>
        <v>0</v>
      </c>
      <c r="O6" s="119">
        <f>'RIN Retirements'!O96</f>
        <v>0</v>
      </c>
      <c r="P6" s="119">
        <f>'RIN Retirements'!P96</f>
        <v>0</v>
      </c>
    </row>
    <row r="7" spans="1:16">
      <c r="A7" s="115" t="s">
        <v>330</v>
      </c>
      <c r="B7" s="119">
        <f>B3-SUM(B4:B6)</f>
        <v>0</v>
      </c>
      <c r="C7" s="119">
        <f t="shared" ref="C7:P7" si="0">C3-SUM(C4:C6)</f>
        <v>0</v>
      </c>
      <c r="D7" s="119">
        <f t="shared" si="0"/>
        <v>1741</v>
      </c>
      <c r="E7" s="119">
        <f t="shared" si="0"/>
        <v>387445</v>
      </c>
      <c r="F7" s="119">
        <f t="shared" si="0"/>
        <v>16012.474800156866</v>
      </c>
      <c r="G7" s="119">
        <f t="shared" si="0"/>
        <v>247009.52454550605</v>
      </c>
      <c r="H7" s="119">
        <f t="shared" si="0"/>
        <v>476890.06593789347</v>
      </c>
      <c r="I7" s="119">
        <f t="shared" si="0"/>
        <v>1640559.8836968839</v>
      </c>
      <c r="J7" s="119">
        <f t="shared" si="0"/>
        <v>2242280.8441342227</v>
      </c>
      <c r="K7" s="119">
        <f t="shared" si="0"/>
        <v>1095008.6614923663</v>
      </c>
      <c r="L7" s="119">
        <f t="shared" si="0"/>
        <v>-41004.825535196811</v>
      </c>
      <c r="M7" s="119">
        <f t="shared" si="0"/>
        <v>245230.52131451666</v>
      </c>
      <c r="N7" s="119">
        <f t="shared" si="0"/>
        <v>224731.75483249873</v>
      </c>
      <c r="O7" s="119">
        <f t="shared" si="0"/>
        <v>200665.71701602265</v>
      </c>
      <c r="P7" s="119">
        <f t="shared" si="0"/>
        <v>196127.62375502288</v>
      </c>
    </row>
    <row r="8" spans="1:16">
      <c r="A8" s="115"/>
    </row>
    <row r="9" spans="1:16">
      <c r="A9" s="115" t="s">
        <v>331</v>
      </c>
      <c r="B9" s="119">
        <f>'RIN Retirements'!B20</f>
        <v>0</v>
      </c>
      <c r="C9" s="119">
        <f>'RIN Retirements'!C20</f>
        <v>0</v>
      </c>
      <c r="D9" s="119">
        <f>'RIN Retirements'!D20</f>
        <v>0</v>
      </c>
      <c r="E9" s="119">
        <f>'RIN Retirements'!E20</f>
        <v>324637</v>
      </c>
      <c r="F9" s="119">
        <f>'RIN Retirements'!F20</f>
        <v>106254</v>
      </c>
      <c r="G9" s="119">
        <f>'RIN Retirements'!G20</f>
        <v>100000</v>
      </c>
      <c r="H9" s="119">
        <f>'RIN Retirements'!H20</f>
        <v>570988</v>
      </c>
      <c r="I9" s="119">
        <f>'RIN Retirements'!I20</f>
        <v>1576527</v>
      </c>
      <c r="J9" s="119">
        <f>'RIN Retirements'!J20</f>
        <v>1689808</v>
      </c>
      <c r="K9" s="119">
        <f>'RIN Retirements'!K20</f>
        <v>1955987</v>
      </c>
      <c r="L9" s="119">
        <f>'RIN Retirements'!L20</f>
        <v>55892</v>
      </c>
      <c r="M9" s="119">
        <f>'RIN Retirements'!M20</f>
        <v>247518</v>
      </c>
      <c r="N9" s="119">
        <f>'RIN Retirements'!N20</f>
        <v>236352</v>
      </c>
      <c r="O9" s="119">
        <f>'RIN Retirements'!O20</f>
        <v>208643</v>
      </c>
      <c r="P9" s="119">
        <f>'RIN Retirements'!P20</f>
        <v>0</v>
      </c>
    </row>
    <row r="10" spans="1:16">
      <c r="A10" s="115" t="s">
        <v>366</v>
      </c>
      <c r="I10" s="119"/>
      <c r="J10" s="119"/>
      <c r="K10" s="119"/>
      <c r="L10" s="119"/>
      <c r="M10" s="119"/>
      <c r="N10" s="119"/>
      <c r="O10" s="119"/>
      <c r="P10" s="119"/>
    </row>
    <row r="11" spans="1:16">
      <c r="A11" s="115"/>
    </row>
    <row r="12" spans="1:16">
      <c r="A12" s="118" t="s">
        <v>332</v>
      </c>
      <c r="B12" s="119">
        <f>B7-B9</f>
        <v>0</v>
      </c>
      <c r="C12" s="119">
        <f t="shared" ref="C12:P12" si="1">C7-C9</f>
        <v>0</v>
      </c>
      <c r="D12" s="119">
        <f t="shared" si="1"/>
        <v>1741</v>
      </c>
      <c r="E12" s="119">
        <f t="shared" si="1"/>
        <v>62808</v>
      </c>
      <c r="F12" s="119">
        <f t="shared" si="1"/>
        <v>-90241.525199843134</v>
      </c>
      <c r="G12" s="119">
        <f t="shared" si="1"/>
        <v>147009.52454550605</v>
      </c>
      <c r="H12" s="119">
        <f t="shared" si="1"/>
        <v>-94097.934062106535</v>
      </c>
      <c r="I12" s="119">
        <f t="shared" si="1"/>
        <v>64032.883696883917</v>
      </c>
      <c r="J12" s="119">
        <f t="shared" si="1"/>
        <v>552472.84413422272</v>
      </c>
      <c r="K12" s="119">
        <f t="shared" si="1"/>
        <v>-860978.33850763366</v>
      </c>
      <c r="L12" s="119">
        <f t="shared" si="1"/>
        <v>-96896.825535196811</v>
      </c>
      <c r="M12" s="119">
        <f t="shared" si="1"/>
        <v>-2287.4786854833364</v>
      </c>
      <c r="N12" s="119">
        <f t="shared" si="1"/>
        <v>-11620.245167501271</v>
      </c>
      <c r="O12" s="119">
        <f t="shared" si="1"/>
        <v>-7977.2829839773476</v>
      </c>
      <c r="P12" s="119">
        <f t="shared" si="1"/>
        <v>196127.62375502288</v>
      </c>
    </row>
    <row r="13" spans="1:16">
      <c r="A13" s="118" t="s">
        <v>367</v>
      </c>
      <c r="B13" s="119">
        <f>B12+B4</f>
        <v>0</v>
      </c>
      <c r="C13" s="119">
        <f t="shared" ref="C13:P13" si="2">C12+C4</f>
        <v>0</v>
      </c>
      <c r="D13" s="119">
        <f t="shared" si="2"/>
        <v>1741</v>
      </c>
      <c r="E13" s="119">
        <f t="shared" si="2"/>
        <v>62808</v>
      </c>
      <c r="F13" s="119">
        <f t="shared" si="2"/>
        <v>-51946</v>
      </c>
      <c r="G13" s="119">
        <f t="shared" si="2"/>
        <v>147785</v>
      </c>
      <c r="H13" s="119">
        <f t="shared" si="2"/>
        <v>-90000</v>
      </c>
      <c r="I13" s="119">
        <f t="shared" si="2"/>
        <v>91765</v>
      </c>
      <c r="J13" s="119">
        <f t="shared" si="2"/>
        <v>756297</v>
      </c>
      <c r="K13" s="119">
        <f t="shared" si="2"/>
        <v>-646145</v>
      </c>
      <c r="L13" s="119">
        <f t="shared" si="2"/>
        <v>0</v>
      </c>
      <c r="M13" s="119">
        <f t="shared" si="2"/>
        <v>0</v>
      </c>
      <c r="N13" s="119">
        <f t="shared" si="2"/>
        <v>0</v>
      </c>
      <c r="O13" s="119">
        <f t="shared" si="2"/>
        <v>0</v>
      </c>
      <c r="P13" s="119">
        <f t="shared" si="2"/>
        <v>204089</v>
      </c>
    </row>
    <row r="15" spans="1:16">
      <c r="A15" s="115" t="s">
        <v>332</v>
      </c>
    </row>
    <row r="16" spans="1:16">
      <c r="A16" s="115" t="s">
        <v>333</v>
      </c>
    </row>
    <row r="17" spans="1:1">
      <c r="A17" s="115" t="s">
        <v>334</v>
      </c>
    </row>
    <row r="18" spans="1:1">
      <c r="A18" s="115"/>
    </row>
    <row r="19" spans="1:1">
      <c r="A19" s="115" t="s">
        <v>335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CC96F-CDF0-40B9-B84B-C71174A6F92D}">
  <dimension ref="A1:AX196"/>
  <sheetViews>
    <sheetView zoomScaleNormal="100" workbookViewId="0">
      <pane xSplit="1" ySplit="2" topLeftCell="L3" activePane="bottomRight" state="frozen"/>
      <selection activeCell="AD6" sqref="AD6"/>
      <selection pane="topRight" activeCell="AD6" sqref="AD6"/>
      <selection pane="bottomLeft" activeCell="AD6" sqref="AD6"/>
      <selection pane="bottomRight" activeCell="AD6" sqref="AD6"/>
    </sheetView>
  </sheetViews>
  <sheetFormatPr defaultColWidth="9.140625" defaultRowHeight="12.75"/>
  <cols>
    <col min="1" max="1" width="61.140625" style="1" bestFit="1" customWidth="1"/>
    <col min="2" max="11" width="15" style="1" hidden="1" customWidth="1"/>
    <col min="12" max="17" width="15" style="1" customWidth="1"/>
    <col min="18" max="18" width="9.140625" style="1"/>
    <col min="19" max="33" width="12.140625" style="1" customWidth="1"/>
    <col min="34" max="35" width="9.140625" style="1"/>
    <col min="36" max="50" width="12.140625" style="1" customWidth="1"/>
    <col min="51" max="16384" width="9.140625" style="1"/>
  </cols>
  <sheetData>
    <row r="1" spans="1:50" ht="18">
      <c r="S1" s="124" t="s">
        <v>368</v>
      </c>
      <c r="T1" s="125"/>
      <c r="U1" s="125"/>
      <c r="V1" s="125"/>
      <c r="W1" s="125"/>
      <c r="X1" s="125"/>
      <c r="Y1" s="125"/>
      <c r="Z1" s="125"/>
      <c r="AA1" s="125"/>
      <c r="AB1" s="125"/>
      <c r="AC1" s="125"/>
      <c r="AD1" s="125"/>
      <c r="AE1" s="125"/>
      <c r="AF1" s="125"/>
      <c r="AG1" s="125"/>
      <c r="AJ1" s="124" t="s">
        <v>369</v>
      </c>
      <c r="AK1" s="125"/>
      <c r="AL1" s="125"/>
      <c r="AM1" s="125"/>
      <c r="AN1" s="125"/>
      <c r="AO1" s="125"/>
      <c r="AP1" s="125"/>
      <c r="AQ1" s="125"/>
      <c r="AR1" s="125"/>
      <c r="AS1" s="125"/>
      <c r="AT1" s="125"/>
      <c r="AU1" s="125"/>
      <c r="AV1" s="125"/>
      <c r="AW1" s="125"/>
      <c r="AX1" s="125"/>
    </row>
    <row r="2" spans="1:50" ht="15.75">
      <c r="B2" s="126">
        <v>2010</v>
      </c>
      <c r="C2" s="126">
        <v>2011</v>
      </c>
      <c r="D2" s="126">
        <v>2012</v>
      </c>
      <c r="E2" s="126">
        <v>2013</v>
      </c>
      <c r="F2" s="126">
        <v>2014</v>
      </c>
      <c r="G2" s="126">
        <v>2015</v>
      </c>
      <c r="H2" s="126">
        <v>2016</v>
      </c>
      <c r="I2" s="126">
        <v>2017</v>
      </c>
      <c r="J2" s="126">
        <v>2018</v>
      </c>
      <c r="K2" s="126">
        <v>2019</v>
      </c>
      <c r="L2" s="127">
        <v>2020</v>
      </c>
      <c r="M2" s="127">
        <v>2021</v>
      </c>
      <c r="N2" s="127">
        <v>2022</v>
      </c>
      <c r="O2" s="127">
        <v>2023</v>
      </c>
      <c r="P2" s="127">
        <v>2024</v>
      </c>
      <c r="Q2" s="127"/>
      <c r="S2" s="127">
        <v>2010</v>
      </c>
      <c r="T2" s="127">
        <v>2011</v>
      </c>
      <c r="U2" s="127">
        <v>2012</v>
      </c>
      <c r="V2" s="127">
        <v>2013</v>
      </c>
      <c r="W2" s="127">
        <v>2014</v>
      </c>
      <c r="X2" s="127">
        <v>2015</v>
      </c>
      <c r="Y2" s="127">
        <v>2016</v>
      </c>
      <c r="Z2" s="127">
        <v>2017</v>
      </c>
      <c r="AA2" s="127">
        <v>2018</v>
      </c>
      <c r="AB2" s="127">
        <v>2019</v>
      </c>
      <c r="AC2" s="127">
        <v>2020</v>
      </c>
      <c r="AD2" s="127">
        <v>2021</v>
      </c>
      <c r="AE2" s="127">
        <v>2022</v>
      </c>
      <c r="AF2" s="127">
        <v>2023</v>
      </c>
      <c r="AG2" s="127">
        <v>2024</v>
      </c>
      <c r="AJ2" s="127">
        <v>2010</v>
      </c>
      <c r="AK2" s="127">
        <v>2011</v>
      </c>
      <c r="AL2" s="127">
        <v>2012</v>
      </c>
      <c r="AM2" s="127">
        <v>2013</v>
      </c>
      <c r="AN2" s="127">
        <v>2014</v>
      </c>
      <c r="AO2" s="127">
        <v>2015</v>
      </c>
      <c r="AP2" s="127">
        <v>2016</v>
      </c>
      <c r="AQ2" s="127">
        <v>2017</v>
      </c>
      <c r="AR2" s="127">
        <v>2018</v>
      </c>
      <c r="AS2" s="127">
        <v>2019</v>
      </c>
      <c r="AT2" s="127">
        <v>2020</v>
      </c>
      <c r="AU2" s="127">
        <v>2021</v>
      </c>
      <c r="AV2" s="127">
        <v>2022</v>
      </c>
      <c r="AW2" s="127">
        <v>2023</v>
      </c>
      <c r="AX2" s="127">
        <v>2024</v>
      </c>
    </row>
    <row r="3" spans="1:50" ht="16.5" thickBot="1">
      <c r="A3" s="128" t="s">
        <v>370</v>
      </c>
      <c r="B3" s="129">
        <f>B4+B8+B12+B16+B20</f>
        <v>4211327425</v>
      </c>
      <c r="C3" s="129">
        <f t="shared" ref="C3:L3" si="0">C4+C8+C12+C16+C20</f>
        <v>13327323577</v>
      </c>
      <c r="D3" s="129">
        <f t="shared" si="0"/>
        <v>16296553703</v>
      </c>
      <c r="E3" s="129">
        <f t="shared" si="0"/>
        <v>17311269123</v>
      </c>
      <c r="F3" s="129">
        <f t="shared" si="0"/>
        <v>16660418629</v>
      </c>
      <c r="G3" s="129">
        <f t="shared" si="0"/>
        <v>17838472400</v>
      </c>
      <c r="H3" s="129">
        <f t="shared" si="0"/>
        <v>17888987566</v>
      </c>
      <c r="I3" s="129">
        <f t="shared" si="0"/>
        <v>18152769160</v>
      </c>
      <c r="J3" s="129">
        <f t="shared" si="0"/>
        <v>19331642735</v>
      </c>
      <c r="K3" s="129">
        <f t="shared" si="0"/>
        <v>20591620614</v>
      </c>
      <c r="L3" s="130">
        <f t="shared" si="0"/>
        <v>17844955664</v>
      </c>
      <c r="M3" s="130">
        <f>M4+M8+M12+M16+M20</f>
        <v>19692583997</v>
      </c>
      <c r="N3" s="130">
        <f>N4+N8+N12+N16+N20</f>
        <v>21015410126</v>
      </c>
      <c r="O3" s="130">
        <f>O4+O8+O12+O16+O20</f>
        <v>22324685102</v>
      </c>
      <c r="P3" s="130">
        <f>P4+P8+P12+P16+P20</f>
        <v>1524914437</v>
      </c>
      <c r="Q3" s="130"/>
    </row>
    <row r="4" spans="1:50">
      <c r="A4" s="131" t="s">
        <v>35</v>
      </c>
      <c r="B4" s="132">
        <f t="shared" ref="B4:J4" si="1">SUM(B5:B7)</f>
        <v>0</v>
      </c>
      <c r="C4" s="132">
        <f t="shared" si="1"/>
        <v>0</v>
      </c>
      <c r="D4" s="132">
        <f t="shared" si="1"/>
        <v>0</v>
      </c>
      <c r="E4" s="132">
        <f t="shared" si="1"/>
        <v>293023</v>
      </c>
      <c r="F4" s="132">
        <f t="shared" si="1"/>
        <v>21143070</v>
      </c>
      <c r="G4" s="132">
        <f t="shared" si="1"/>
        <v>112841471</v>
      </c>
      <c r="H4" s="132">
        <f t="shared" si="1"/>
        <v>189349748</v>
      </c>
      <c r="I4" s="132">
        <f t="shared" si="1"/>
        <v>259889372</v>
      </c>
      <c r="J4" s="132">
        <f t="shared" si="1"/>
        <v>283940157</v>
      </c>
      <c r="K4" s="132">
        <f t="shared" ref="K4:P4" si="2">SUM(K5:K7)</f>
        <v>410620831</v>
      </c>
      <c r="L4" s="132">
        <f t="shared" si="2"/>
        <v>503825187</v>
      </c>
      <c r="M4" s="132">
        <f t="shared" si="2"/>
        <v>562494390</v>
      </c>
      <c r="N4" s="132">
        <f t="shared" si="2"/>
        <v>660045831</v>
      </c>
      <c r="O4" s="132">
        <f t="shared" si="2"/>
        <v>735796504</v>
      </c>
      <c r="P4" s="132">
        <f t="shared" si="2"/>
        <v>67979</v>
      </c>
      <c r="Q4" s="133"/>
      <c r="S4" s="2"/>
      <c r="T4" s="2"/>
      <c r="U4" s="2"/>
      <c r="V4" s="2"/>
      <c r="W4" s="2"/>
      <c r="X4" s="2"/>
      <c r="Y4" s="2"/>
      <c r="Z4" s="2"/>
      <c r="AA4" s="2"/>
      <c r="AB4" s="2"/>
      <c r="AC4" s="2"/>
      <c r="AD4" s="2"/>
      <c r="AE4" s="2"/>
      <c r="AF4" s="2"/>
      <c r="AG4" s="2"/>
      <c r="AH4" s="2"/>
      <c r="AI4" s="2"/>
      <c r="AJ4" s="2"/>
      <c r="AK4" s="2"/>
      <c r="AL4" s="2"/>
      <c r="AM4" s="2"/>
      <c r="AN4" s="2"/>
      <c r="AO4" s="2"/>
      <c r="AP4" s="2"/>
      <c r="AQ4" s="2"/>
      <c r="AR4" s="2"/>
    </row>
    <row r="5" spans="1:50">
      <c r="A5" s="134" t="s">
        <v>371</v>
      </c>
      <c r="B5" s="2">
        <f>S5</f>
        <v>0</v>
      </c>
      <c r="C5" s="2">
        <f t="shared" ref="C5:K7" si="3">T5+AJ5</f>
        <v>0</v>
      </c>
      <c r="D5" s="2">
        <f t="shared" si="3"/>
        <v>0</v>
      </c>
      <c r="E5" s="2">
        <f t="shared" si="3"/>
        <v>495</v>
      </c>
      <c r="F5" s="2">
        <f t="shared" si="3"/>
        <v>238252</v>
      </c>
      <c r="G5" s="2">
        <f t="shared" si="3"/>
        <v>3135237</v>
      </c>
      <c r="H5" s="2">
        <f t="shared" si="3"/>
        <v>5286096</v>
      </c>
      <c r="I5" s="2">
        <f t="shared" si="3"/>
        <v>8277468</v>
      </c>
      <c r="J5" s="2">
        <f t="shared" si="3"/>
        <v>7454889</v>
      </c>
      <c r="K5" s="2">
        <f t="shared" si="3"/>
        <v>12842945</v>
      </c>
      <c r="L5" s="135">
        <f t="shared" ref="L5:P7" si="4">L118</f>
        <v>17089332</v>
      </c>
      <c r="M5" s="135">
        <f t="shared" si="4"/>
        <v>21715482</v>
      </c>
      <c r="N5" s="135">
        <f t="shared" si="4"/>
        <v>26492184</v>
      </c>
      <c r="O5" s="135">
        <f t="shared" si="4"/>
        <v>52025191</v>
      </c>
      <c r="P5" s="135">
        <f t="shared" si="4"/>
        <v>0</v>
      </c>
      <c r="Q5" s="135"/>
      <c r="S5" s="2">
        <v>0</v>
      </c>
      <c r="T5" s="2">
        <v>0</v>
      </c>
      <c r="U5" s="2">
        <v>0</v>
      </c>
      <c r="V5" s="2">
        <v>495</v>
      </c>
      <c r="W5" s="2">
        <v>238252</v>
      </c>
      <c r="X5" s="2">
        <v>2882222</v>
      </c>
      <c r="Y5" s="2">
        <v>4483095</v>
      </c>
      <c r="Z5" s="2">
        <v>6548283</v>
      </c>
      <c r="AA5" s="2">
        <v>6312039</v>
      </c>
      <c r="AB5" s="2">
        <v>10967242</v>
      </c>
      <c r="AC5" s="3">
        <f t="shared" ref="AC5:AG7" si="5">FORECAST(L5,T5:AB5,C5:K5)</f>
        <v>14349698.055572763</v>
      </c>
      <c r="AD5" s="3">
        <f t="shared" si="5"/>
        <v>18222451.93257302</v>
      </c>
      <c r="AE5" s="3">
        <f t="shared" si="5"/>
        <v>22217324.712961506</v>
      </c>
      <c r="AF5" s="3">
        <f t="shared" si="5"/>
        <v>43569528.440583833</v>
      </c>
      <c r="AG5" s="3">
        <f t="shared" si="5"/>
        <v>53278.155465595424</v>
      </c>
      <c r="AH5" s="2"/>
      <c r="AI5" s="2"/>
      <c r="AJ5" s="2">
        <v>0</v>
      </c>
      <c r="AK5" s="2">
        <v>0</v>
      </c>
      <c r="AL5" s="2">
        <v>0</v>
      </c>
      <c r="AM5" s="2">
        <v>0</v>
      </c>
      <c r="AN5" s="2">
        <v>253015</v>
      </c>
      <c r="AO5" s="2">
        <v>803001</v>
      </c>
      <c r="AP5" s="2">
        <v>1729185</v>
      </c>
      <c r="AQ5" s="2">
        <v>1142850</v>
      </c>
      <c r="AR5" s="2">
        <v>1875703</v>
      </c>
      <c r="AS5" s="3">
        <v>0</v>
      </c>
      <c r="AT5" s="3">
        <f>L5-AC5</f>
        <v>2739633.9444272369</v>
      </c>
      <c r="AU5" s="3">
        <f>M5-AD5</f>
        <v>3493030.0674269795</v>
      </c>
      <c r="AV5" s="3">
        <f t="shared" ref="AV5:AX6" si="6">N5-AH5</f>
        <v>26492184</v>
      </c>
      <c r="AW5" s="3">
        <f t="shared" si="6"/>
        <v>52025191</v>
      </c>
      <c r="AX5" s="3">
        <f t="shared" si="6"/>
        <v>0</v>
      </c>
    </row>
    <row r="6" spans="1:50">
      <c r="A6" s="134" t="s">
        <v>372</v>
      </c>
      <c r="B6" s="2">
        <f>S6</f>
        <v>0</v>
      </c>
      <c r="C6" s="2">
        <f t="shared" si="3"/>
        <v>0</v>
      </c>
      <c r="D6" s="2">
        <f t="shared" si="3"/>
        <v>0</v>
      </c>
      <c r="E6" s="2">
        <f t="shared" si="3"/>
        <v>272459</v>
      </c>
      <c r="F6" s="2">
        <f t="shared" si="3"/>
        <v>20904818</v>
      </c>
      <c r="G6" s="2">
        <f t="shared" si="3"/>
        <v>109706234</v>
      </c>
      <c r="H6" s="2">
        <f t="shared" si="3"/>
        <v>184063652</v>
      </c>
      <c r="I6" s="2">
        <f t="shared" si="3"/>
        <v>251611904</v>
      </c>
      <c r="J6" s="2">
        <f t="shared" si="3"/>
        <v>276485268</v>
      </c>
      <c r="K6" s="2">
        <f t="shared" si="3"/>
        <v>397777886</v>
      </c>
      <c r="L6" s="135">
        <f t="shared" si="4"/>
        <v>486735855</v>
      </c>
      <c r="M6" s="135">
        <f t="shared" si="4"/>
        <v>540778908</v>
      </c>
      <c r="N6" s="135">
        <f t="shared" si="4"/>
        <v>633553647</v>
      </c>
      <c r="O6" s="135">
        <f t="shared" si="4"/>
        <v>683771313</v>
      </c>
      <c r="P6" s="135">
        <f t="shared" si="4"/>
        <v>0</v>
      </c>
      <c r="Q6" s="135"/>
      <c r="S6" s="2">
        <v>0</v>
      </c>
      <c r="T6" s="2">
        <v>0</v>
      </c>
      <c r="U6" s="2">
        <v>0</v>
      </c>
      <c r="V6" s="2">
        <v>272459</v>
      </c>
      <c r="W6" s="2">
        <v>20783114</v>
      </c>
      <c r="X6" s="2">
        <v>97996971</v>
      </c>
      <c r="Y6" s="2">
        <v>146733203</v>
      </c>
      <c r="Z6" s="2">
        <v>215199204</v>
      </c>
      <c r="AA6" s="2">
        <v>252851555</v>
      </c>
      <c r="AB6" s="2">
        <v>348721226</v>
      </c>
      <c r="AC6" s="3">
        <f t="shared" si="5"/>
        <v>425762424.74197358</v>
      </c>
      <c r="AD6" s="3">
        <f t="shared" si="5"/>
        <v>473152996.60556853</v>
      </c>
      <c r="AE6" s="3">
        <f t="shared" si="5"/>
        <v>554534958.06179273</v>
      </c>
      <c r="AF6" s="3">
        <f t="shared" si="5"/>
        <v>598723759.14595938</v>
      </c>
      <c r="AG6" s="3">
        <f t="shared" si="5"/>
        <v>-3005529.1396905184</v>
      </c>
      <c r="AH6" s="2"/>
      <c r="AI6" s="2"/>
      <c r="AJ6" s="2">
        <v>0</v>
      </c>
      <c r="AK6" s="2">
        <v>0</v>
      </c>
      <c r="AL6" s="2">
        <v>0</v>
      </c>
      <c r="AM6" s="2">
        <v>121704</v>
      </c>
      <c r="AN6" s="2">
        <v>11709263</v>
      </c>
      <c r="AO6" s="2">
        <v>37330449</v>
      </c>
      <c r="AP6" s="2">
        <v>36412700</v>
      </c>
      <c r="AQ6" s="2">
        <v>23633713</v>
      </c>
      <c r="AR6" s="2">
        <v>49056660</v>
      </c>
      <c r="AS6" s="3">
        <v>0</v>
      </c>
      <c r="AT6" s="3">
        <f>L6-AC6</f>
        <v>60973430.258026421</v>
      </c>
      <c r="AU6" s="3">
        <f>M6-AD6</f>
        <v>67625911.394431472</v>
      </c>
      <c r="AV6" s="3">
        <f t="shared" si="6"/>
        <v>633553647</v>
      </c>
      <c r="AW6" s="3">
        <f t="shared" si="6"/>
        <v>683771313</v>
      </c>
      <c r="AX6" s="3">
        <f t="shared" si="6"/>
        <v>0</v>
      </c>
    </row>
    <row r="7" spans="1:50">
      <c r="A7" s="134" t="s">
        <v>373</v>
      </c>
      <c r="B7" s="2">
        <f>S7</f>
        <v>0</v>
      </c>
      <c r="C7" s="2">
        <f t="shared" si="3"/>
        <v>0</v>
      </c>
      <c r="D7" s="2">
        <f t="shared" si="3"/>
        <v>0</v>
      </c>
      <c r="E7" s="2">
        <f t="shared" si="3"/>
        <v>20069</v>
      </c>
      <c r="F7" s="2">
        <f t="shared" si="3"/>
        <v>0</v>
      </c>
      <c r="G7" s="2">
        <f t="shared" si="3"/>
        <v>0</v>
      </c>
      <c r="H7" s="2">
        <f t="shared" si="3"/>
        <v>0</v>
      </c>
      <c r="I7" s="2">
        <f t="shared" si="3"/>
        <v>0</v>
      </c>
      <c r="J7" s="2">
        <f t="shared" si="3"/>
        <v>0</v>
      </c>
      <c r="K7" s="2">
        <f t="shared" si="3"/>
        <v>0</v>
      </c>
      <c r="L7" s="135">
        <f t="shared" si="4"/>
        <v>0</v>
      </c>
      <c r="M7" s="135">
        <f t="shared" si="4"/>
        <v>0</v>
      </c>
      <c r="N7" s="135">
        <f t="shared" si="4"/>
        <v>0</v>
      </c>
      <c r="O7" s="135">
        <f t="shared" si="4"/>
        <v>0</v>
      </c>
      <c r="P7" s="135">
        <f t="shared" si="4"/>
        <v>67979</v>
      </c>
      <c r="Q7" s="135"/>
      <c r="S7" s="2">
        <v>0</v>
      </c>
      <c r="T7" s="2">
        <v>0</v>
      </c>
      <c r="U7" s="2">
        <v>0</v>
      </c>
      <c r="V7" s="2">
        <v>20069</v>
      </c>
      <c r="W7" s="2">
        <v>0</v>
      </c>
      <c r="X7" s="2">
        <v>0</v>
      </c>
      <c r="Y7" s="2">
        <v>0</v>
      </c>
      <c r="Z7" s="2">
        <v>0</v>
      </c>
      <c r="AA7" s="2">
        <v>0</v>
      </c>
      <c r="AB7" s="2">
        <v>0</v>
      </c>
      <c r="AC7" s="3">
        <f t="shared" si="5"/>
        <v>0</v>
      </c>
      <c r="AD7" s="3">
        <f t="shared" si="5"/>
        <v>0</v>
      </c>
      <c r="AE7" s="3">
        <f t="shared" si="5"/>
        <v>0</v>
      </c>
      <c r="AF7" s="3" t="e">
        <f t="shared" si="5"/>
        <v>#DIV/0!</v>
      </c>
      <c r="AG7" s="3" t="e">
        <f t="shared" si="5"/>
        <v>#DIV/0!</v>
      </c>
      <c r="AH7" s="2"/>
      <c r="AI7" s="2"/>
      <c r="AJ7" s="2">
        <v>0</v>
      </c>
      <c r="AK7" s="2">
        <v>0</v>
      </c>
      <c r="AL7" s="2">
        <v>0</v>
      </c>
      <c r="AM7" s="2">
        <v>0</v>
      </c>
      <c r="AN7" s="2">
        <v>0</v>
      </c>
      <c r="AO7" s="2">
        <v>0</v>
      </c>
      <c r="AP7" s="2">
        <v>0</v>
      </c>
      <c r="AQ7" s="2">
        <v>0</v>
      </c>
      <c r="AR7" s="2">
        <v>0</v>
      </c>
      <c r="AS7" s="3">
        <v>0</v>
      </c>
      <c r="AT7" s="3">
        <v>0</v>
      </c>
      <c r="AU7" s="3">
        <v>0</v>
      </c>
      <c r="AV7" s="3">
        <v>0</v>
      </c>
      <c r="AW7" s="3">
        <v>1</v>
      </c>
      <c r="AX7" s="3">
        <v>2</v>
      </c>
    </row>
    <row r="8" spans="1:50">
      <c r="A8" s="136" t="s">
        <v>36</v>
      </c>
      <c r="B8" s="137">
        <f t="shared" ref="B8:N8" si="7">SUM(B9:B11)</f>
        <v>222710547</v>
      </c>
      <c r="C8" s="137">
        <f t="shared" si="7"/>
        <v>1319863392</v>
      </c>
      <c r="D8" s="137">
        <f t="shared" si="7"/>
        <v>1679016522</v>
      </c>
      <c r="E8" s="137">
        <f t="shared" si="7"/>
        <v>2379043691</v>
      </c>
      <c r="F8" s="137">
        <f t="shared" si="7"/>
        <v>2720901529</v>
      </c>
      <c r="G8" s="137">
        <f t="shared" si="7"/>
        <v>2876836117</v>
      </c>
      <c r="H8" s="137">
        <f t="shared" si="7"/>
        <v>3281819764</v>
      </c>
      <c r="I8" s="137">
        <f t="shared" si="7"/>
        <v>3844871513</v>
      </c>
      <c r="J8" s="137">
        <f t="shared" si="7"/>
        <v>3930837317</v>
      </c>
      <c r="K8" s="137">
        <f t="shared" si="7"/>
        <v>4465432884</v>
      </c>
      <c r="L8" s="137">
        <f t="shared" si="7"/>
        <v>4288533419</v>
      </c>
      <c r="M8" s="137">
        <f t="shared" si="7"/>
        <v>4805876642</v>
      </c>
      <c r="N8" s="137">
        <f t="shared" si="7"/>
        <v>5638454595</v>
      </c>
      <c r="O8" s="137">
        <f>SUM(O9:O11)</f>
        <v>7117327910</v>
      </c>
      <c r="P8" s="137">
        <f>SUM(P9:P11)</f>
        <v>972498916</v>
      </c>
      <c r="Q8" s="133"/>
      <c r="S8" s="2"/>
      <c r="T8" s="2"/>
      <c r="U8" s="2"/>
      <c r="V8" s="2"/>
      <c r="W8" s="2"/>
      <c r="X8" s="2"/>
      <c r="Y8" s="2"/>
      <c r="Z8" s="2"/>
      <c r="AA8" s="2"/>
      <c r="AB8" s="2"/>
      <c r="AC8" s="2"/>
      <c r="AD8" s="2"/>
      <c r="AE8" s="2"/>
      <c r="AF8" s="2"/>
      <c r="AG8" s="2"/>
      <c r="AH8" s="2"/>
      <c r="AI8" s="2"/>
      <c r="AJ8" s="2"/>
      <c r="AK8" s="2"/>
      <c r="AL8" s="2"/>
      <c r="AM8" s="2"/>
      <c r="AN8" s="2"/>
      <c r="AO8" s="2"/>
      <c r="AP8" s="2"/>
      <c r="AQ8" s="2"/>
      <c r="AR8" s="2"/>
    </row>
    <row r="9" spans="1:50">
      <c r="A9" s="138" t="s">
        <v>371</v>
      </c>
      <c r="B9" s="2">
        <f>S9</f>
        <v>32383105</v>
      </c>
      <c r="C9" s="2">
        <f t="shared" ref="C9:K11" si="8">T9+AJ9</f>
        <v>171114795</v>
      </c>
      <c r="D9" s="2">
        <f t="shared" si="8"/>
        <v>53892018</v>
      </c>
      <c r="E9" s="2">
        <f t="shared" si="8"/>
        <v>80408313</v>
      </c>
      <c r="F9" s="2">
        <f t="shared" si="8"/>
        <v>81558056</v>
      </c>
      <c r="G9" s="2">
        <f t="shared" si="8"/>
        <v>83871867</v>
      </c>
      <c r="H9" s="2">
        <f t="shared" si="8"/>
        <v>88692597</v>
      </c>
      <c r="I9" s="2">
        <f t="shared" si="8"/>
        <v>98079176</v>
      </c>
      <c r="J9" s="2">
        <f t="shared" si="8"/>
        <v>105103871</v>
      </c>
      <c r="K9" s="2">
        <f t="shared" si="8"/>
        <v>127324436</v>
      </c>
      <c r="L9" s="135">
        <f>L132</f>
        <v>140255096</v>
      </c>
      <c r="M9" s="135">
        <f>M132</f>
        <v>171819690</v>
      </c>
      <c r="N9" s="135">
        <f>N132</f>
        <v>151152543</v>
      </c>
      <c r="O9" s="135">
        <f>O132</f>
        <v>265471820</v>
      </c>
      <c r="P9" s="135">
        <f>P132</f>
        <v>0</v>
      </c>
      <c r="Q9" s="135"/>
      <c r="S9" s="2">
        <v>32383105</v>
      </c>
      <c r="T9" s="2">
        <v>163711920</v>
      </c>
      <c r="U9" s="2">
        <v>44915835</v>
      </c>
      <c r="V9" s="2">
        <v>76681584</v>
      </c>
      <c r="W9" s="2">
        <v>65187113</v>
      </c>
      <c r="X9" s="2">
        <v>70987813</v>
      </c>
      <c r="Y9" s="2">
        <v>81759422</v>
      </c>
      <c r="Z9" s="2">
        <v>81894445</v>
      </c>
      <c r="AA9" s="2">
        <v>86953447</v>
      </c>
      <c r="AB9" s="2">
        <v>107935547</v>
      </c>
      <c r="AC9" s="3">
        <f t="shared" ref="AC9:AG11" si="9">FORECAST(L9,T9:AB9,C9:K9)</f>
        <v>127279961.20695427</v>
      </c>
      <c r="AD9" s="3">
        <f t="shared" si="9"/>
        <v>151090058.1965808</v>
      </c>
      <c r="AE9" s="3">
        <f t="shared" si="9"/>
        <v>132480833.07822281</v>
      </c>
      <c r="AF9" s="3">
        <f t="shared" si="9"/>
        <v>238544189.81417853</v>
      </c>
      <c r="AG9" s="3">
        <f t="shared" si="9"/>
        <v>-5842598.3035873473</v>
      </c>
      <c r="AH9" s="2"/>
      <c r="AI9" s="2"/>
      <c r="AJ9" s="2">
        <v>7402875</v>
      </c>
      <c r="AK9" s="2">
        <v>8976183</v>
      </c>
      <c r="AL9" s="2">
        <v>3726729</v>
      </c>
      <c r="AM9" s="2">
        <v>16370943</v>
      </c>
      <c r="AN9" s="2">
        <v>12884054</v>
      </c>
      <c r="AO9" s="2">
        <v>6933175</v>
      </c>
      <c r="AP9" s="2">
        <v>16184731</v>
      </c>
      <c r="AQ9" s="2">
        <v>18150424</v>
      </c>
      <c r="AR9" s="2">
        <v>19388889</v>
      </c>
      <c r="AS9" s="3">
        <v>0</v>
      </c>
      <c r="AT9" s="3">
        <f t="shared" ref="AT9:AX11" si="10">M9-AC9</f>
        <v>44539728.793045729</v>
      </c>
      <c r="AU9" s="3">
        <f t="shared" si="10"/>
        <v>62484.803419202566</v>
      </c>
      <c r="AV9" s="3">
        <f t="shared" si="10"/>
        <v>132990986.92177719</v>
      </c>
      <c r="AW9" s="3">
        <f t="shared" si="10"/>
        <v>-238544189.81417853</v>
      </c>
      <c r="AX9" s="3">
        <f t="shared" si="10"/>
        <v>5842598.3035873473</v>
      </c>
    </row>
    <row r="10" spans="1:50">
      <c r="A10" s="138" t="s">
        <v>372</v>
      </c>
      <c r="B10" s="2">
        <f>S10</f>
        <v>161731886</v>
      </c>
      <c r="C10" s="2">
        <f t="shared" si="8"/>
        <v>1077109606</v>
      </c>
      <c r="D10" s="2">
        <f t="shared" si="8"/>
        <v>1522793789</v>
      </c>
      <c r="E10" s="2">
        <f t="shared" si="8"/>
        <v>2173913248</v>
      </c>
      <c r="F10" s="2">
        <f t="shared" si="8"/>
        <v>2505502955</v>
      </c>
      <c r="G10" s="2">
        <f t="shared" si="8"/>
        <v>2649612677</v>
      </c>
      <c r="H10" s="2">
        <f t="shared" si="8"/>
        <v>2991142826</v>
      </c>
      <c r="I10" s="2">
        <f t="shared" si="8"/>
        <v>3489986121</v>
      </c>
      <c r="J10" s="2">
        <f t="shared" si="8"/>
        <v>3580700481</v>
      </c>
      <c r="K10" s="2">
        <f t="shared" si="8"/>
        <v>3966402350</v>
      </c>
      <c r="L10" s="135">
        <f t="shared" ref="L10:N11" si="11">L133</f>
        <v>3636525700</v>
      </c>
      <c r="M10" s="135">
        <f t="shared" si="11"/>
        <v>4088344997</v>
      </c>
      <c r="N10" s="135">
        <f t="shared" si="11"/>
        <v>4758591693</v>
      </c>
      <c r="O10" s="135">
        <f>O133</f>
        <v>5928584065</v>
      </c>
      <c r="P10" s="135">
        <f>P133</f>
        <v>0</v>
      </c>
      <c r="Q10" s="135"/>
      <c r="S10" s="2">
        <v>161731886</v>
      </c>
      <c r="T10" s="2">
        <v>1027143577</v>
      </c>
      <c r="U10" s="2">
        <v>1253832732</v>
      </c>
      <c r="V10" s="2">
        <v>1929434761</v>
      </c>
      <c r="W10" s="2">
        <v>2026671104</v>
      </c>
      <c r="X10" s="2">
        <v>2277225641</v>
      </c>
      <c r="Y10" s="2">
        <v>2732337783</v>
      </c>
      <c r="Z10" s="2">
        <v>2685834276</v>
      </c>
      <c r="AA10" s="2">
        <v>2883849971</v>
      </c>
      <c r="AB10" s="2">
        <v>3403384067</v>
      </c>
      <c r="AC10" s="3">
        <f t="shared" si="9"/>
        <v>3018557703.0733328</v>
      </c>
      <c r="AD10" s="3">
        <f t="shared" si="9"/>
        <v>3387323880.5688214</v>
      </c>
      <c r="AE10" s="3">
        <f t="shared" si="9"/>
        <v>3886056604.5582919</v>
      </c>
      <c r="AF10" s="3">
        <f t="shared" si="9"/>
        <v>4819241239.9672279</v>
      </c>
      <c r="AG10" s="3">
        <f t="shared" si="9"/>
        <v>234065802.26373625</v>
      </c>
      <c r="AH10" s="2"/>
      <c r="AI10" s="2"/>
      <c r="AJ10" s="2">
        <v>49966029</v>
      </c>
      <c r="AK10" s="2">
        <v>268961057</v>
      </c>
      <c r="AL10" s="2">
        <v>244478487</v>
      </c>
      <c r="AM10" s="2">
        <v>478831851</v>
      </c>
      <c r="AN10" s="2">
        <v>372387036</v>
      </c>
      <c r="AO10" s="2">
        <v>258805043</v>
      </c>
      <c r="AP10" s="2">
        <v>804151845</v>
      </c>
      <c r="AQ10" s="2">
        <v>696850510</v>
      </c>
      <c r="AR10" s="2">
        <v>563018283</v>
      </c>
      <c r="AS10" s="3">
        <v>0</v>
      </c>
      <c r="AT10" s="3">
        <f t="shared" si="10"/>
        <v>1069787293.9266672</v>
      </c>
      <c r="AU10" s="3">
        <f t="shared" si="10"/>
        <v>1371267812.4311786</v>
      </c>
      <c r="AV10" s="3">
        <f t="shared" si="10"/>
        <v>2042527460.4417081</v>
      </c>
      <c r="AW10" s="3">
        <f t="shared" si="10"/>
        <v>-4819241239.9672279</v>
      </c>
      <c r="AX10" s="3">
        <f t="shared" si="10"/>
        <v>-234065802.26373625</v>
      </c>
    </row>
    <row r="11" spans="1:50">
      <c r="A11" s="138" t="s">
        <v>373</v>
      </c>
      <c r="B11" s="2">
        <f>S11</f>
        <v>28595556</v>
      </c>
      <c r="C11" s="2">
        <f t="shared" si="8"/>
        <v>71638991</v>
      </c>
      <c r="D11" s="2">
        <f t="shared" si="8"/>
        <v>102330715</v>
      </c>
      <c r="E11" s="2">
        <f t="shared" si="8"/>
        <v>124722130</v>
      </c>
      <c r="F11" s="2">
        <f t="shared" si="8"/>
        <v>133840518</v>
      </c>
      <c r="G11" s="2">
        <f t="shared" si="8"/>
        <v>143351573</v>
      </c>
      <c r="H11" s="2">
        <f t="shared" si="8"/>
        <v>201984341</v>
      </c>
      <c r="I11" s="2">
        <f t="shared" si="8"/>
        <v>256806216</v>
      </c>
      <c r="J11" s="2">
        <f t="shared" si="8"/>
        <v>245032965</v>
      </c>
      <c r="K11" s="2">
        <f t="shared" si="8"/>
        <v>371706098</v>
      </c>
      <c r="L11" s="135">
        <f t="shared" si="11"/>
        <v>511752623</v>
      </c>
      <c r="M11" s="135">
        <f t="shared" si="11"/>
        <v>545711955</v>
      </c>
      <c r="N11" s="135">
        <f t="shared" si="11"/>
        <v>728710359</v>
      </c>
      <c r="O11" s="135">
        <f>O134</f>
        <v>923272025</v>
      </c>
      <c r="P11" s="135">
        <f>P134</f>
        <v>972498916</v>
      </c>
      <c r="Q11" s="135"/>
      <c r="S11" s="2">
        <v>28595556</v>
      </c>
      <c r="T11" s="2">
        <v>68243730</v>
      </c>
      <c r="U11" s="2">
        <v>83207852</v>
      </c>
      <c r="V11" s="2">
        <v>110907514</v>
      </c>
      <c r="W11" s="2">
        <v>109261389</v>
      </c>
      <c r="X11" s="2">
        <v>130139080</v>
      </c>
      <c r="Y11" s="2">
        <v>201783657</v>
      </c>
      <c r="Z11" s="2">
        <v>213454481</v>
      </c>
      <c r="AA11" s="2">
        <v>213315988</v>
      </c>
      <c r="AB11" s="2">
        <v>339822095</v>
      </c>
      <c r="AC11" s="3">
        <f t="shared" si="9"/>
        <v>461146782.10760593</v>
      </c>
      <c r="AD11" s="3">
        <f t="shared" si="9"/>
        <v>493454378.4441967</v>
      </c>
      <c r="AE11" s="3">
        <f t="shared" si="9"/>
        <v>659387412.67033458</v>
      </c>
      <c r="AF11" s="3">
        <f t="shared" si="9"/>
        <v>836731684.38085341</v>
      </c>
      <c r="AG11" s="3">
        <f t="shared" si="9"/>
        <v>880011720.41580296</v>
      </c>
      <c r="AH11" s="2"/>
      <c r="AI11" s="2"/>
      <c r="AJ11" s="2">
        <v>3395261</v>
      </c>
      <c r="AK11" s="2">
        <v>19122863</v>
      </c>
      <c r="AL11" s="2">
        <v>13814616</v>
      </c>
      <c r="AM11" s="2">
        <v>24579129</v>
      </c>
      <c r="AN11" s="2">
        <v>13212493</v>
      </c>
      <c r="AO11" s="2">
        <v>200684</v>
      </c>
      <c r="AP11" s="2">
        <v>43351735</v>
      </c>
      <c r="AQ11" s="2">
        <v>31716977</v>
      </c>
      <c r="AR11" s="2">
        <v>31884003</v>
      </c>
      <c r="AS11" s="3">
        <v>0</v>
      </c>
      <c r="AT11" s="3">
        <f t="shared" si="10"/>
        <v>84565172.892394066</v>
      </c>
      <c r="AU11" s="3">
        <f t="shared" si="10"/>
        <v>235255980.5558033</v>
      </c>
      <c r="AV11" s="3">
        <f t="shared" si="10"/>
        <v>263884612.32966542</v>
      </c>
      <c r="AW11" s="3">
        <f t="shared" si="10"/>
        <v>135767231.61914659</v>
      </c>
      <c r="AX11" s="3">
        <f t="shared" si="10"/>
        <v>-880011720.41580296</v>
      </c>
    </row>
    <row r="12" spans="1:50">
      <c r="A12" s="136" t="s">
        <v>37</v>
      </c>
      <c r="B12" s="137">
        <f t="shared" ref="B12:N12" si="12">SUM(B13:B15)</f>
        <v>24808442</v>
      </c>
      <c r="C12" s="137">
        <f t="shared" si="12"/>
        <v>173316504</v>
      </c>
      <c r="D12" s="137">
        <f t="shared" si="12"/>
        <v>481271750</v>
      </c>
      <c r="E12" s="137">
        <f t="shared" si="12"/>
        <v>673610540</v>
      </c>
      <c r="F12" s="137">
        <f t="shared" si="12"/>
        <v>130729680</v>
      </c>
      <c r="G12" s="137">
        <f t="shared" si="12"/>
        <v>101203401</v>
      </c>
      <c r="H12" s="137">
        <f t="shared" si="12"/>
        <v>181556905</v>
      </c>
      <c r="I12" s="137">
        <f t="shared" si="12"/>
        <v>150031625</v>
      </c>
      <c r="J12" s="137">
        <f t="shared" si="12"/>
        <v>172240176</v>
      </c>
      <c r="K12" s="137">
        <f t="shared" si="12"/>
        <v>331818910</v>
      </c>
      <c r="L12" s="137">
        <f t="shared" si="12"/>
        <v>332236392</v>
      </c>
      <c r="M12" s="137">
        <f t="shared" si="12"/>
        <v>232549967</v>
      </c>
      <c r="N12" s="137">
        <f t="shared" si="12"/>
        <v>327551614</v>
      </c>
      <c r="O12" s="137">
        <f>SUM(O13:O15)</f>
        <v>249349078</v>
      </c>
      <c r="P12" s="137">
        <f>SUM(P13:P15)</f>
        <v>45963601</v>
      </c>
      <c r="Q12" s="133"/>
      <c r="S12" s="2"/>
      <c r="T12" s="2"/>
      <c r="U12" s="2"/>
      <c r="V12" s="2"/>
      <c r="W12" s="2"/>
      <c r="X12" s="2"/>
      <c r="Y12" s="2"/>
      <c r="Z12" s="2"/>
      <c r="AA12" s="2"/>
      <c r="AB12" s="2"/>
      <c r="AC12" s="2"/>
      <c r="AD12" s="2"/>
      <c r="AE12" s="2"/>
      <c r="AF12" s="2"/>
      <c r="AG12" s="2"/>
      <c r="AH12" s="2"/>
      <c r="AI12" s="2"/>
      <c r="AJ12" s="2"/>
      <c r="AK12" s="2"/>
      <c r="AL12" s="2"/>
      <c r="AM12" s="2"/>
      <c r="AN12" s="2"/>
      <c r="AO12" s="2"/>
      <c r="AP12" s="2"/>
      <c r="AQ12" s="2"/>
      <c r="AR12" s="2"/>
    </row>
    <row r="13" spans="1:50">
      <c r="A13" s="138" t="s">
        <v>371</v>
      </c>
      <c r="B13" s="2">
        <f>S13</f>
        <v>1087451</v>
      </c>
      <c r="C13" s="2">
        <f t="shared" ref="C13:K15" si="13">T13+AJ13</f>
        <v>18260067</v>
      </c>
      <c r="D13" s="2">
        <f t="shared" si="13"/>
        <v>16505748</v>
      </c>
      <c r="E13" s="2">
        <f t="shared" si="13"/>
        <v>29857162</v>
      </c>
      <c r="F13" s="2">
        <f t="shared" si="13"/>
        <v>4823149</v>
      </c>
      <c r="G13" s="2">
        <f t="shared" si="13"/>
        <v>2647394</v>
      </c>
      <c r="H13" s="2">
        <f t="shared" si="13"/>
        <v>6810726</v>
      </c>
      <c r="I13" s="2">
        <f t="shared" si="13"/>
        <v>9316999</v>
      </c>
      <c r="J13" s="2">
        <f t="shared" si="13"/>
        <v>2525884</v>
      </c>
      <c r="K13" s="2">
        <f t="shared" si="13"/>
        <v>1887839</v>
      </c>
      <c r="L13" s="135">
        <f>L152</f>
        <v>7723718</v>
      </c>
      <c r="M13" s="135">
        <f>M152</f>
        <v>7841263</v>
      </c>
      <c r="N13" s="135">
        <f>N152</f>
        <v>6903859</v>
      </c>
      <c r="O13" s="135">
        <f>O152</f>
        <v>9358170</v>
      </c>
      <c r="P13" s="135">
        <f>P152</f>
        <v>0</v>
      </c>
      <c r="Q13" s="135"/>
      <c r="S13" s="2">
        <v>1087451</v>
      </c>
      <c r="T13" s="2">
        <v>17349808</v>
      </c>
      <c r="U13" s="2">
        <v>14807585</v>
      </c>
      <c r="V13" s="2">
        <v>21692645</v>
      </c>
      <c r="W13" s="2">
        <v>3638250</v>
      </c>
      <c r="X13" s="2">
        <v>2056285</v>
      </c>
      <c r="Y13" s="2">
        <v>941133</v>
      </c>
      <c r="Z13" s="2">
        <v>9294686</v>
      </c>
      <c r="AA13" s="2">
        <v>2425370</v>
      </c>
      <c r="AB13" s="2">
        <v>1712520</v>
      </c>
      <c r="AC13" s="3">
        <f t="shared" ref="AC13:AE14" si="14">FORECAST(L13,T13:AB13,C13:K13)</f>
        <v>6159225.9607479963</v>
      </c>
      <c r="AD13" s="3">
        <f t="shared" si="14"/>
        <v>5995734.6466475222</v>
      </c>
      <c r="AE13" s="3">
        <f t="shared" si="14"/>
        <v>5075584.6747888923</v>
      </c>
      <c r="AF13" s="3">
        <f>FORECAST(O13,W13:AE13,F13:N13)</f>
        <v>7050049.6671959646</v>
      </c>
      <c r="AG13" s="3">
        <f>FORECAST(P13,X13:AF13,G13:O13)</f>
        <v>-225833.0426744651</v>
      </c>
      <c r="AH13" s="2"/>
      <c r="AI13" s="2"/>
      <c r="AJ13" s="2">
        <v>910259</v>
      </c>
      <c r="AK13" s="2">
        <v>1698163</v>
      </c>
      <c r="AL13" s="2">
        <v>8164517</v>
      </c>
      <c r="AM13" s="2">
        <v>1184899</v>
      </c>
      <c r="AN13" s="2">
        <v>591109</v>
      </c>
      <c r="AO13" s="2">
        <v>5869593</v>
      </c>
      <c r="AP13" s="2">
        <v>22313</v>
      </c>
      <c r="AQ13" s="2">
        <v>100514</v>
      </c>
      <c r="AR13" s="2">
        <v>175319</v>
      </c>
      <c r="AS13" s="3">
        <v>0</v>
      </c>
      <c r="AT13" s="3">
        <f t="shared" ref="AT13:AU15" si="15">L13-AC13</f>
        <v>1564492.0392520037</v>
      </c>
      <c r="AU13" s="3">
        <f t="shared" si="15"/>
        <v>1845528.3533524778</v>
      </c>
      <c r="AV13" s="3">
        <f>N13-AH13</f>
        <v>6903859</v>
      </c>
      <c r="AW13" s="3">
        <f t="shared" ref="AW13:AX15" si="16">O13-AI13</f>
        <v>9358170</v>
      </c>
      <c r="AX13" s="3">
        <f t="shared" si="16"/>
        <v>-910259</v>
      </c>
    </row>
    <row r="14" spans="1:50">
      <c r="A14" s="138" t="s">
        <v>372</v>
      </c>
      <c r="B14" s="2">
        <f>S14</f>
        <v>23720991</v>
      </c>
      <c r="C14" s="2">
        <f t="shared" si="13"/>
        <v>155056437</v>
      </c>
      <c r="D14" s="2">
        <f t="shared" si="13"/>
        <v>464282276</v>
      </c>
      <c r="E14" s="2">
        <f t="shared" si="13"/>
        <v>640465437</v>
      </c>
      <c r="F14" s="2">
        <f t="shared" si="13"/>
        <v>125893314</v>
      </c>
      <c r="G14" s="2">
        <f t="shared" si="13"/>
        <v>98556007</v>
      </c>
      <c r="H14" s="2">
        <f t="shared" si="13"/>
        <v>174746179</v>
      </c>
      <c r="I14" s="2">
        <f t="shared" si="13"/>
        <v>140704373</v>
      </c>
      <c r="J14" s="2">
        <f t="shared" si="13"/>
        <v>169655633</v>
      </c>
      <c r="K14" s="2">
        <f t="shared" si="13"/>
        <v>329931071</v>
      </c>
      <c r="L14" s="135">
        <f t="shared" ref="L14:N15" si="17">L153</f>
        <v>324512674</v>
      </c>
      <c r="M14" s="135">
        <f t="shared" si="17"/>
        <v>224221540</v>
      </c>
      <c r="N14" s="135">
        <f t="shared" si="17"/>
        <v>298932895</v>
      </c>
      <c r="O14" s="135">
        <f>O153</f>
        <v>174238256</v>
      </c>
      <c r="P14" s="135">
        <f>P153</f>
        <v>0</v>
      </c>
      <c r="Q14" s="135"/>
      <c r="S14" s="2">
        <v>23720991</v>
      </c>
      <c r="T14" s="2">
        <v>152386595</v>
      </c>
      <c r="U14" s="2">
        <v>415178490</v>
      </c>
      <c r="V14" s="2">
        <v>484181290</v>
      </c>
      <c r="W14" s="2">
        <v>84285790</v>
      </c>
      <c r="X14" s="2">
        <v>44554377</v>
      </c>
      <c r="Y14" s="2">
        <v>82066955</v>
      </c>
      <c r="Z14" s="2">
        <v>125802068</v>
      </c>
      <c r="AA14" s="2">
        <v>160130110</v>
      </c>
      <c r="AB14" s="2">
        <v>314525219</v>
      </c>
      <c r="AC14" s="3">
        <f t="shared" si="14"/>
        <v>264182383.53310105</v>
      </c>
      <c r="AD14" s="3">
        <f t="shared" si="14"/>
        <v>177321453.31584591</v>
      </c>
      <c r="AE14" s="3">
        <f t="shared" si="14"/>
        <v>234382261.98862031</v>
      </c>
      <c r="AF14" s="3">
        <f>FORECAST(O14,W14:AE14,F14:N14)</f>
        <v>130419198.06956536</v>
      </c>
      <c r="AG14" s="3">
        <f>FORECAST(P14,X14:AF14,G14:O14)</f>
        <v>-41414393.317923546</v>
      </c>
      <c r="AH14" s="2"/>
      <c r="AI14" s="2"/>
      <c r="AJ14" s="2">
        <v>2669842</v>
      </c>
      <c r="AK14" s="2">
        <v>49103786</v>
      </c>
      <c r="AL14" s="2">
        <v>156284147</v>
      </c>
      <c r="AM14" s="2">
        <v>41607524</v>
      </c>
      <c r="AN14" s="2">
        <v>54001630</v>
      </c>
      <c r="AO14" s="2">
        <v>92679224</v>
      </c>
      <c r="AP14" s="2">
        <v>14902305</v>
      </c>
      <c r="AQ14" s="2">
        <v>9525523</v>
      </c>
      <c r="AR14" s="2">
        <v>15405852</v>
      </c>
      <c r="AS14" s="3">
        <v>0</v>
      </c>
      <c r="AT14" s="3">
        <f t="shared" si="15"/>
        <v>60330290.466898948</v>
      </c>
      <c r="AU14" s="3">
        <f t="shared" si="15"/>
        <v>46900086.684154093</v>
      </c>
      <c r="AV14" s="3">
        <f>N14-AH14</f>
        <v>298932895</v>
      </c>
      <c r="AW14" s="3">
        <f t="shared" si="16"/>
        <v>174238256</v>
      </c>
      <c r="AX14" s="3">
        <f t="shared" si="16"/>
        <v>-2669842</v>
      </c>
    </row>
    <row r="15" spans="1:50">
      <c r="A15" s="138" t="s">
        <v>373</v>
      </c>
      <c r="B15" s="2">
        <f>S15</f>
        <v>0</v>
      </c>
      <c r="C15" s="2">
        <f t="shared" si="13"/>
        <v>0</v>
      </c>
      <c r="D15" s="2">
        <f t="shared" si="13"/>
        <v>483726</v>
      </c>
      <c r="E15" s="2">
        <f t="shared" si="13"/>
        <v>3287941</v>
      </c>
      <c r="F15" s="2">
        <f t="shared" si="13"/>
        <v>13217</v>
      </c>
      <c r="G15" s="2">
        <f t="shared" si="13"/>
        <v>0</v>
      </c>
      <c r="H15" s="2">
        <f t="shared" si="13"/>
        <v>0</v>
      </c>
      <c r="I15" s="2">
        <f t="shared" si="13"/>
        <v>10253</v>
      </c>
      <c r="J15" s="2">
        <f t="shared" si="13"/>
        <v>58659</v>
      </c>
      <c r="K15" s="2">
        <f t="shared" si="13"/>
        <v>0</v>
      </c>
      <c r="L15" s="135">
        <f t="shared" si="17"/>
        <v>0</v>
      </c>
      <c r="M15" s="135">
        <f t="shared" si="17"/>
        <v>487164</v>
      </c>
      <c r="N15" s="135">
        <f t="shared" si="17"/>
        <v>21714860</v>
      </c>
      <c r="O15" s="135">
        <f>O154</f>
        <v>65752652</v>
      </c>
      <c r="P15" s="135">
        <f>P154</f>
        <v>45963601</v>
      </c>
      <c r="Q15" s="135"/>
      <c r="S15" s="2">
        <v>0</v>
      </c>
      <c r="T15" s="2">
        <v>0</v>
      </c>
      <c r="U15" s="2">
        <v>462176</v>
      </c>
      <c r="V15" s="2">
        <v>2441413</v>
      </c>
      <c r="W15" s="2">
        <v>0</v>
      </c>
      <c r="X15" s="2">
        <v>0</v>
      </c>
      <c r="Y15" s="2">
        <v>0</v>
      </c>
      <c r="Z15" s="2">
        <v>0</v>
      </c>
      <c r="AA15" s="2">
        <v>58659</v>
      </c>
      <c r="AB15" s="2">
        <v>0</v>
      </c>
      <c r="AC15" s="3">
        <v>0</v>
      </c>
      <c r="AD15" s="3">
        <v>0</v>
      </c>
      <c r="AE15" s="3">
        <v>0</v>
      </c>
      <c r="AF15" s="3">
        <v>1</v>
      </c>
      <c r="AG15" s="3">
        <v>2</v>
      </c>
      <c r="AH15" s="2"/>
      <c r="AI15" s="2"/>
      <c r="AJ15" s="2">
        <v>0</v>
      </c>
      <c r="AK15" s="2">
        <v>21550</v>
      </c>
      <c r="AL15" s="2">
        <v>846528</v>
      </c>
      <c r="AM15" s="2">
        <v>13217</v>
      </c>
      <c r="AN15" s="2">
        <v>0</v>
      </c>
      <c r="AO15" s="2">
        <v>0</v>
      </c>
      <c r="AP15" s="2">
        <v>10253</v>
      </c>
      <c r="AQ15" s="2">
        <v>0</v>
      </c>
      <c r="AR15" s="2">
        <v>0</v>
      </c>
      <c r="AS15" s="3">
        <f>K15-AB15</f>
        <v>0</v>
      </c>
      <c r="AT15" s="3">
        <f t="shared" si="15"/>
        <v>0</v>
      </c>
      <c r="AU15" s="3">
        <f t="shared" si="15"/>
        <v>487164</v>
      </c>
      <c r="AV15" s="3">
        <f>N15-AH15</f>
        <v>21714860</v>
      </c>
      <c r="AW15" s="3">
        <f t="shared" si="16"/>
        <v>65752652</v>
      </c>
      <c r="AX15" s="3">
        <f t="shared" si="16"/>
        <v>45963601</v>
      </c>
    </row>
    <row r="16" spans="1:50">
      <c r="A16" s="136" t="s">
        <v>38</v>
      </c>
      <c r="B16" s="137">
        <f t="shared" ref="B16:N16" si="18">SUM(B17:B19)</f>
        <v>3963808436</v>
      </c>
      <c r="C16" s="137">
        <f t="shared" si="18"/>
        <v>11834143681</v>
      </c>
      <c r="D16" s="137">
        <f t="shared" si="18"/>
        <v>14136265431</v>
      </c>
      <c r="E16" s="137">
        <f t="shared" si="18"/>
        <v>14257997232</v>
      </c>
      <c r="F16" s="137">
        <f t="shared" si="18"/>
        <v>13787538096</v>
      </c>
      <c r="G16" s="137">
        <f t="shared" si="18"/>
        <v>14747491411</v>
      </c>
      <c r="H16" s="137">
        <f t="shared" si="18"/>
        <v>14235690161</v>
      </c>
      <c r="I16" s="137">
        <f t="shared" si="18"/>
        <v>13896400123</v>
      </c>
      <c r="J16" s="137">
        <f t="shared" si="18"/>
        <v>14942935277</v>
      </c>
      <c r="K16" s="137">
        <f t="shared" si="18"/>
        <v>15381792002</v>
      </c>
      <c r="L16" s="137">
        <f t="shared" si="18"/>
        <v>12720304774</v>
      </c>
      <c r="M16" s="137">
        <f t="shared" si="18"/>
        <v>14091415480</v>
      </c>
      <c r="N16" s="137">
        <f t="shared" si="18"/>
        <v>14389121734</v>
      </c>
      <c r="O16" s="137">
        <f>SUM(O17:O19)</f>
        <v>14222002967</v>
      </c>
      <c r="P16" s="137">
        <f>SUM(P17:P19)</f>
        <v>506383941</v>
      </c>
      <c r="Q16" s="133"/>
      <c r="S16" s="2"/>
      <c r="T16" s="2"/>
      <c r="U16" s="2"/>
      <c r="V16" s="2"/>
      <c r="W16" s="2"/>
      <c r="X16" s="2"/>
      <c r="Y16" s="2"/>
      <c r="Z16" s="2"/>
      <c r="AA16" s="2"/>
      <c r="AB16" s="2"/>
      <c r="AC16" s="2"/>
      <c r="AD16" s="2"/>
      <c r="AE16" s="2"/>
      <c r="AF16" s="2"/>
      <c r="AG16" s="2"/>
      <c r="AH16" s="2"/>
      <c r="AI16" s="2"/>
      <c r="AJ16" s="2"/>
      <c r="AK16" s="2"/>
      <c r="AL16" s="2"/>
      <c r="AM16" s="2"/>
      <c r="AN16" s="2"/>
      <c r="AO16" s="2"/>
      <c r="AP16" s="2"/>
      <c r="AQ16" s="2"/>
      <c r="AR16" s="2"/>
    </row>
    <row r="17" spans="1:50">
      <c r="A17" s="138" t="s">
        <v>371</v>
      </c>
      <c r="B17" s="2">
        <f>S17</f>
        <v>397571032</v>
      </c>
      <c r="C17" s="2">
        <f t="shared" ref="C17:J19" si="19">T17+AJ17</f>
        <v>1535468889</v>
      </c>
      <c r="D17" s="2">
        <f t="shared" si="19"/>
        <v>574440713</v>
      </c>
      <c r="E17" s="2">
        <f t="shared" si="19"/>
        <v>468866908</v>
      </c>
      <c r="F17" s="2">
        <f t="shared" si="19"/>
        <v>414596388</v>
      </c>
      <c r="G17" s="2">
        <f t="shared" si="19"/>
        <v>448357500</v>
      </c>
      <c r="H17" s="2">
        <f t="shared" si="19"/>
        <v>405140958</v>
      </c>
      <c r="I17" s="2">
        <f t="shared" si="19"/>
        <v>404596790</v>
      </c>
      <c r="J17" s="2">
        <f t="shared" si="19"/>
        <v>402826202</v>
      </c>
      <c r="K17" s="2">
        <f>AB17+AR17</f>
        <v>479447552</v>
      </c>
      <c r="L17" s="135">
        <f>L170</f>
        <v>429957750</v>
      </c>
      <c r="M17" s="135">
        <f>M170</f>
        <v>566850198</v>
      </c>
      <c r="N17" s="135">
        <f>N170</f>
        <v>425114231</v>
      </c>
      <c r="O17" s="135">
        <f>O170</f>
        <v>340053222</v>
      </c>
      <c r="P17" s="135">
        <f>P170</f>
        <v>0</v>
      </c>
      <c r="Q17" s="135"/>
      <c r="S17" s="2">
        <v>397571032</v>
      </c>
      <c r="T17" s="2">
        <v>1214365626</v>
      </c>
      <c r="U17" s="2">
        <v>464506905</v>
      </c>
      <c r="V17" s="2">
        <v>426802089</v>
      </c>
      <c r="W17" s="2">
        <v>383806261</v>
      </c>
      <c r="X17" s="2">
        <v>379542689</v>
      </c>
      <c r="Y17" s="2">
        <v>343730464</v>
      </c>
      <c r="Z17" s="2">
        <v>353848462</v>
      </c>
      <c r="AA17" s="2">
        <v>327624295</v>
      </c>
      <c r="AB17" s="2">
        <v>398975202</v>
      </c>
      <c r="AC17" s="3">
        <f t="shared" ref="AC17:AG19" si="20">FORECAST(L17,T17:AB17,C17:K17)</f>
        <v>369892501.21150661</v>
      </c>
      <c r="AD17" s="3">
        <f t="shared" si="20"/>
        <v>467417194.96362484</v>
      </c>
      <c r="AE17" s="3">
        <f t="shared" si="20"/>
        <v>367240982.5303514</v>
      </c>
      <c r="AF17" s="3">
        <f t="shared" si="20"/>
        <v>303515143.74334735</v>
      </c>
      <c r="AG17" s="3">
        <f t="shared" si="20"/>
        <v>48546272.253548384</v>
      </c>
      <c r="AH17" s="2"/>
      <c r="AI17" s="2"/>
      <c r="AJ17" s="2">
        <v>321103263</v>
      </c>
      <c r="AK17" s="2">
        <v>109933808</v>
      </c>
      <c r="AL17" s="2">
        <v>42064819</v>
      </c>
      <c r="AM17" s="2">
        <v>30790127</v>
      </c>
      <c r="AN17" s="2">
        <v>68814811</v>
      </c>
      <c r="AO17" s="2">
        <v>61410494</v>
      </c>
      <c r="AP17" s="2">
        <v>50748328</v>
      </c>
      <c r="AQ17" s="2">
        <v>75201907</v>
      </c>
      <c r="AR17" s="2">
        <v>80472350</v>
      </c>
      <c r="AS17" s="3">
        <v>0</v>
      </c>
      <c r="AT17" s="3">
        <f t="shared" ref="AT17:AU19" si="21">L17-AC17</f>
        <v>60065248.788493395</v>
      </c>
      <c r="AU17" s="3">
        <f t="shared" si="21"/>
        <v>99433003.036375165</v>
      </c>
      <c r="AV17" s="3">
        <f>N17-AH17</f>
        <v>425114231</v>
      </c>
      <c r="AW17" s="3">
        <f t="shared" ref="AW17:AX19" si="22">O17-AI17</f>
        <v>340053222</v>
      </c>
      <c r="AX17" s="3">
        <f t="shared" si="22"/>
        <v>-321103263</v>
      </c>
    </row>
    <row r="18" spans="1:50">
      <c r="A18" s="138" t="s">
        <v>372</v>
      </c>
      <c r="B18" s="2">
        <f>S18</f>
        <v>3390488902</v>
      </c>
      <c r="C18" s="2">
        <f t="shared" si="19"/>
        <v>9690140747</v>
      </c>
      <c r="D18" s="2">
        <f t="shared" si="19"/>
        <v>13140456554</v>
      </c>
      <c r="E18" s="2">
        <f t="shared" si="19"/>
        <v>13488274973</v>
      </c>
      <c r="F18" s="2">
        <f t="shared" si="19"/>
        <v>12981779798</v>
      </c>
      <c r="G18" s="2">
        <f t="shared" si="19"/>
        <v>13899324992</v>
      </c>
      <c r="H18" s="2">
        <f t="shared" si="19"/>
        <v>13409952319</v>
      </c>
      <c r="I18" s="2">
        <f t="shared" si="19"/>
        <v>13142434526</v>
      </c>
      <c r="J18" s="2">
        <f t="shared" si="19"/>
        <v>14088890736</v>
      </c>
      <c r="K18" s="2">
        <f>AB18+AR18</f>
        <v>14536356355</v>
      </c>
      <c r="L18" s="135">
        <f t="shared" ref="L18:N19" si="23">L171</f>
        <v>11978833783</v>
      </c>
      <c r="M18" s="135">
        <f t="shared" si="23"/>
        <v>13211539487</v>
      </c>
      <c r="N18" s="135">
        <f t="shared" si="23"/>
        <v>13590347309</v>
      </c>
      <c r="O18" s="135">
        <f>O171</f>
        <v>13416040218</v>
      </c>
      <c r="P18" s="135">
        <f>P171</f>
        <v>0</v>
      </c>
      <c r="Q18" s="135"/>
      <c r="S18" s="2">
        <v>3390488902</v>
      </c>
      <c r="T18" s="2">
        <v>7769788969</v>
      </c>
      <c r="U18" s="2">
        <v>10080436228</v>
      </c>
      <c r="V18" s="2">
        <v>11450141829</v>
      </c>
      <c r="W18" s="2">
        <v>11940537686</v>
      </c>
      <c r="X18" s="2">
        <v>12626678939</v>
      </c>
      <c r="Y18" s="2">
        <v>12255314786</v>
      </c>
      <c r="Z18" s="2">
        <v>11290100563</v>
      </c>
      <c r="AA18" s="2">
        <v>11398289693</v>
      </c>
      <c r="AB18" s="2">
        <v>11818488736</v>
      </c>
      <c r="AC18" s="3">
        <f t="shared" si="20"/>
        <v>10106583664.57836</v>
      </c>
      <c r="AD18" s="3">
        <f t="shared" si="20"/>
        <v>11302104433.745543</v>
      </c>
      <c r="AE18" s="3">
        <f t="shared" si="20"/>
        <v>11687357696.858776</v>
      </c>
      <c r="AF18" s="3">
        <f t="shared" si="20"/>
        <v>11596110457.364513</v>
      </c>
      <c r="AG18" s="3">
        <f t="shared" si="20"/>
        <v>1997372057.2862091</v>
      </c>
      <c r="AH18" s="2"/>
      <c r="AI18" s="2"/>
      <c r="AJ18" s="2">
        <v>1920351778</v>
      </c>
      <c r="AK18" s="2">
        <v>3060020326</v>
      </c>
      <c r="AL18" s="2">
        <v>2038133144</v>
      </c>
      <c r="AM18" s="2">
        <v>1041242112</v>
      </c>
      <c r="AN18" s="2">
        <v>1272646053</v>
      </c>
      <c r="AO18" s="2">
        <v>1154637533</v>
      </c>
      <c r="AP18" s="2">
        <v>1852333963</v>
      </c>
      <c r="AQ18" s="2">
        <v>2690601043</v>
      </c>
      <c r="AR18" s="2">
        <v>2717867619</v>
      </c>
      <c r="AS18" s="3">
        <v>0</v>
      </c>
      <c r="AT18" s="3">
        <f t="shared" si="21"/>
        <v>1872250118.4216404</v>
      </c>
      <c r="AU18" s="3">
        <f t="shared" si="21"/>
        <v>1909435053.2544575</v>
      </c>
      <c r="AV18" s="3">
        <f>N18-AH18</f>
        <v>13590347309</v>
      </c>
      <c r="AW18" s="3">
        <f t="shared" si="22"/>
        <v>13416040218</v>
      </c>
      <c r="AX18" s="3">
        <f t="shared" si="22"/>
        <v>-1920351778</v>
      </c>
    </row>
    <row r="19" spans="1:50">
      <c r="A19" s="138" t="s">
        <v>373</v>
      </c>
      <c r="B19" s="2">
        <f>S19</f>
        <v>175748502</v>
      </c>
      <c r="C19" s="2">
        <f t="shared" si="19"/>
        <v>608534045</v>
      </c>
      <c r="D19" s="2">
        <f t="shared" si="19"/>
        <v>421368164</v>
      </c>
      <c r="E19" s="2">
        <f t="shared" si="19"/>
        <v>300855351</v>
      </c>
      <c r="F19" s="2">
        <f t="shared" si="19"/>
        <v>391161910</v>
      </c>
      <c r="G19" s="2">
        <f t="shared" si="19"/>
        <v>399808919</v>
      </c>
      <c r="H19" s="2">
        <f t="shared" si="19"/>
        <v>420596884</v>
      </c>
      <c r="I19" s="2">
        <f t="shared" si="19"/>
        <v>349368807</v>
      </c>
      <c r="J19" s="2">
        <f t="shared" si="19"/>
        <v>451218339</v>
      </c>
      <c r="K19" s="2">
        <f>AB19+AR19</f>
        <v>365988095</v>
      </c>
      <c r="L19" s="135">
        <f t="shared" si="23"/>
        <v>311513241</v>
      </c>
      <c r="M19" s="135">
        <f t="shared" si="23"/>
        <v>313025795</v>
      </c>
      <c r="N19" s="135">
        <f t="shared" si="23"/>
        <v>373660194</v>
      </c>
      <c r="O19" s="135">
        <f>O172</f>
        <v>465909527</v>
      </c>
      <c r="P19" s="135">
        <f>P172</f>
        <v>506383941</v>
      </c>
      <c r="Q19" s="135"/>
      <c r="S19" s="2">
        <v>175748502</v>
      </c>
      <c r="T19" s="2">
        <v>531328779</v>
      </c>
      <c r="U19" s="2">
        <v>311802256</v>
      </c>
      <c r="V19" s="2">
        <v>277498449</v>
      </c>
      <c r="W19" s="2">
        <v>380301595</v>
      </c>
      <c r="X19" s="2">
        <v>389749558</v>
      </c>
      <c r="Y19" s="2">
        <v>400613908</v>
      </c>
      <c r="Z19" s="2">
        <v>327034369</v>
      </c>
      <c r="AA19" s="2">
        <v>375071281</v>
      </c>
      <c r="AB19" s="2">
        <v>305067041</v>
      </c>
      <c r="AC19" s="3">
        <f t="shared" si="20"/>
        <v>286552578.97257215</v>
      </c>
      <c r="AD19" s="3">
        <f t="shared" si="20"/>
        <v>293066556.04683822</v>
      </c>
      <c r="AE19" s="3">
        <f t="shared" si="20"/>
        <v>342753073.59497386</v>
      </c>
      <c r="AF19" s="3">
        <f t="shared" si="20"/>
        <v>418961018.44942498</v>
      </c>
      <c r="AG19" s="3">
        <f t="shared" si="20"/>
        <v>448790767.60318774</v>
      </c>
      <c r="AH19" s="2"/>
      <c r="AI19" s="2"/>
      <c r="AJ19" s="2">
        <v>77205266</v>
      </c>
      <c r="AK19" s="2">
        <v>109565908</v>
      </c>
      <c r="AL19" s="2">
        <v>23356902</v>
      </c>
      <c r="AM19" s="2">
        <v>10860315</v>
      </c>
      <c r="AN19" s="2">
        <v>10059361</v>
      </c>
      <c r="AO19" s="2">
        <v>19982976</v>
      </c>
      <c r="AP19" s="2">
        <v>22334438</v>
      </c>
      <c r="AQ19" s="2">
        <v>76147058</v>
      </c>
      <c r="AR19" s="2">
        <v>60921054</v>
      </c>
      <c r="AS19" s="3">
        <v>0</v>
      </c>
      <c r="AT19" s="3">
        <f t="shared" si="21"/>
        <v>24960662.027427852</v>
      </c>
      <c r="AU19" s="3">
        <f t="shared" si="21"/>
        <v>19959238.953161776</v>
      </c>
      <c r="AV19" s="3">
        <f>N19-AH19</f>
        <v>373660194</v>
      </c>
      <c r="AW19" s="3">
        <f t="shared" si="22"/>
        <v>465909527</v>
      </c>
      <c r="AX19" s="3">
        <f t="shared" si="22"/>
        <v>429178675</v>
      </c>
    </row>
    <row r="20" spans="1:50">
      <c r="A20" s="136" t="s">
        <v>39</v>
      </c>
      <c r="B20" s="137">
        <f t="shared" ref="B20:N20" si="24">SUM(B21:B23)</f>
        <v>0</v>
      </c>
      <c r="C20" s="137">
        <f t="shared" si="24"/>
        <v>0</v>
      </c>
      <c r="D20" s="137">
        <f t="shared" si="24"/>
        <v>0</v>
      </c>
      <c r="E20" s="137">
        <f t="shared" si="24"/>
        <v>324637</v>
      </c>
      <c r="F20" s="137">
        <f t="shared" si="24"/>
        <v>106254</v>
      </c>
      <c r="G20" s="137">
        <f t="shared" si="24"/>
        <v>100000</v>
      </c>
      <c r="H20" s="137">
        <f t="shared" si="24"/>
        <v>570988</v>
      </c>
      <c r="I20" s="137">
        <f t="shared" si="24"/>
        <v>1576527</v>
      </c>
      <c r="J20" s="137">
        <f t="shared" si="24"/>
        <v>1689808</v>
      </c>
      <c r="K20" s="137">
        <f t="shared" si="24"/>
        <v>1955987</v>
      </c>
      <c r="L20" s="137">
        <f t="shared" si="24"/>
        <v>55892</v>
      </c>
      <c r="M20" s="137">
        <f t="shared" si="24"/>
        <v>247518</v>
      </c>
      <c r="N20" s="137">
        <f t="shared" si="24"/>
        <v>236352</v>
      </c>
      <c r="O20" s="137">
        <f>SUM(O21:O23)</f>
        <v>208643</v>
      </c>
      <c r="P20" s="137">
        <f>SUM(P21:P23)</f>
        <v>0</v>
      </c>
      <c r="Q20" s="133"/>
      <c r="S20" s="2"/>
      <c r="T20" s="2"/>
      <c r="U20" s="2"/>
      <c r="V20" s="2"/>
      <c r="W20" s="2"/>
      <c r="X20" s="2"/>
      <c r="Y20" s="2"/>
      <c r="Z20" s="2"/>
      <c r="AA20" s="2"/>
      <c r="AB20" s="2"/>
      <c r="AC20" s="2"/>
      <c r="AD20" s="2"/>
      <c r="AE20" s="2"/>
      <c r="AF20" s="2"/>
      <c r="AG20" s="2"/>
      <c r="AH20" s="2"/>
      <c r="AI20" s="2"/>
      <c r="AJ20" s="2"/>
      <c r="AK20" s="2"/>
      <c r="AL20" s="2"/>
      <c r="AM20" s="2"/>
      <c r="AN20" s="2"/>
      <c r="AO20" s="2"/>
      <c r="AP20" s="2"/>
      <c r="AQ20" s="2"/>
      <c r="AR20" s="2"/>
    </row>
    <row r="21" spans="1:50">
      <c r="A21" s="138" t="s">
        <v>371</v>
      </c>
      <c r="B21" s="2">
        <f>S21</f>
        <v>0</v>
      </c>
      <c r="C21" s="2">
        <f t="shared" ref="C21:J23" si="25">T21+AJ21</f>
        <v>0</v>
      </c>
      <c r="D21" s="2">
        <f t="shared" si="25"/>
        <v>0</v>
      </c>
      <c r="E21" s="2">
        <f t="shared" si="25"/>
        <v>123</v>
      </c>
      <c r="F21" s="2">
        <f t="shared" si="25"/>
        <v>7553</v>
      </c>
      <c r="G21" s="2">
        <f t="shared" si="25"/>
        <v>0</v>
      </c>
      <c r="H21" s="2">
        <f t="shared" si="25"/>
        <v>0</v>
      </c>
      <c r="I21" s="2">
        <f t="shared" si="25"/>
        <v>59519</v>
      </c>
      <c r="J21" s="2">
        <f t="shared" si="25"/>
        <v>121780</v>
      </c>
      <c r="K21" s="2">
        <f>AB21+AR21</f>
        <v>212693</v>
      </c>
      <c r="L21" s="135">
        <f>L190</f>
        <v>0</v>
      </c>
      <c r="M21" s="135">
        <f>M190</f>
        <v>0</v>
      </c>
      <c r="N21" s="135">
        <f>N190</f>
        <v>0</v>
      </c>
      <c r="O21" s="135">
        <f>O190</f>
        <v>0</v>
      </c>
      <c r="P21" s="135">
        <f>P190</f>
        <v>0</v>
      </c>
      <c r="Q21" s="135"/>
      <c r="S21" s="2">
        <v>0</v>
      </c>
      <c r="T21" s="2">
        <v>0</v>
      </c>
      <c r="U21" s="2">
        <v>0</v>
      </c>
      <c r="V21" s="2">
        <v>0</v>
      </c>
      <c r="W21" s="2">
        <v>0</v>
      </c>
      <c r="X21" s="2">
        <v>0</v>
      </c>
      <c r="Y21" s="2">
        <v>0</v>
      </c>
      <c r="Z21" s="2">
        <v>59519</v>
      </c>
      <c r="AA21" s="2">
        <v>121299</v>
      </c>
      <c r="AB21" s="2">
        <v>177337</v>
      </c>
      <c r="AC21" s="3">
        <f>FORECAST(L21,T21:AB21,C21:K21)-1660.4</f>
        <v>-939.96996836989138</v>
      </c>
      <c r="AD21" s="3">
        <f>FORECAST(M21,U21:AC21,D21:L21)-1660.4</f>
        <v>-1085.3417799192889</v>
      </c>
      <c r="AE21" s="3">
        <f>FORECAST(N21,V21:AD21,E21:M21)-1660.4</f>
        <v>-1253.1961859177377</v>
      </c>
      <c r="AF21" s="3">
        <f>FORECAST(O21,W21:AE21,F21:N21)-1660.4</f>
        <v>-1430.3371146043414</v>
      </c>
      <c r="AG21" s="3">
        <f>FORECAST(P21,X21:AF21,G21:O21)-1660.4</f>
        <v>-685.68941227842015</v>
      </c>
      <c r="AH21" s="2"/>
      <c r="AI21" s="2"/>
      <c r="AJ21" s="2">
        <v>0</v>
      </c>
      <c r="AK21" s="2">
        <v>0</v>
      </c>
      <c r="AL21" s="2">
        <v>123</v>
      </c>
      <c r="AM21" s="2">
        <v>7553</v>
      </c>
      <c r="AN21" s="2">
        <v>0</v>
      </c>
      <c r="AO21" s="2">
        <v>0</v>
      </c>
      <c r="AP21" s="2">
        <v>0</v>
      </c>
      <c r="AQ21" s="2">
        <v>481</v>
      </c>
      <c r="AR21" s="2">
        <v>35356</v>
      </c>
      <c r="AS21" s="3">
        <f t="shared" ref="AS21:AU23" si="26">K21-AB21</f>
        <v>35356</v>
      </c>
      <c r="AT21" s="3">
        <f t="shared" si="26"/>
        <v>939.96996836989138</v>
      </c>
      <c r="AU21" s="3">
        <f t="shared" si="26"/>
        <v>1085.3417799192889</v>
      </c>
      <c r="AV21" s="3">
        <f>N21-AH21</f>
        <v>0</v>
      </c>
      <c r="AW21" s="3">
        <f t="shared" ref="AW21:AX23" si="27">O21-AI21</f>
        <v>0</v>
      </c>
      <c r="AX21" s="3">
        <f t="shared" si="27"/>
        <v>0</v>
      </c>
    </row>
    <row r="22" spans="1:50">
      <c r="A22" s="138" t="s">
        <v>372</v>
      </c>
      <c r="B22" s="2">
        <f>S22</f>
        <v>0</v>
      </c>
      <c r="C22" s="2">
        <f t="shared" si="25"/>
        <v>0</v>
      </c>
      <c r="D22" s="2">
        <f t="shared" si="25"/>
        <v>0</v>
      </c>
      <c r="E22" s="2">
        <f t="shared" si="25"/>
        <v>324514</v>
      </c>
      <c r="F22" s="2">
        <f t="shared" si="25"/>
        <v>98701</v>
      </c>
      <c r="G22" s="2">
        <f t="shared" si="25"/>
        <v>100000</v>
      </c>
      <c r="H22" s="2">
        <f t="shared" si="25"/>
        <v>570988</v>
      </c>
      <c r="I22" s="2">
        <f t="shared" si="25"/>
        <v>1517008</v>
      </c>
      <c r="J22" s="2">
        <f t="shared" si="25"/>
        <v>1568028</v>
      </c>
      <c r="K22" s="2">
        <f>AB22+AR22</f>
        <v>1743294</v>
      </c>
      <c r="L22" s="135">
        <f t="shared" ref="L22:N23" si="28">L191</f>
        <v>55892</v>
      </c>
      <c r="M22" s="135">
        <f t="shared" si="28"/>
        <v>247518</v>
      </c>
      <c r="N22" s="135">
        <f t="shared" si="28"/>
        <v>236352</v>
      </c>
      <c r="O22" s="135">
        <f>O191</f>
        <v>208643</v>
      </c>
      <c r="P22" s="135">
        <f>P191</f>
        <v>0</v>
      </c>
      <c r="Q22" s="135"/>
      <c r="S22" s="2">
        <v>0</v>
      </c>
      <c r="T22" s="2">
        <v>0</v>
      </c>
      <c r="U22" s="2">
        <v>0</v>
      </c>
      <c r="V22" s="2">
        <v>322896</v>
      </c>
      <c r="W22" s="2">
        <v>45449</v>
      </c>
      <c r="X22" s="2">
        <v>100000</v>
      </c>
      <c r="Y22" s="2">
        <v>480988</v>
      </c>
      <c r="Z22" s="2">
        <v>1517008</v>
      </c>
      <c r="AA22" s="2">
        <v>1568028</v>
      </c>
      <c r="AB22" s="2">
        <v>1033128</v>
      </c>
      <c r="AC22" s="3">
        <f>FORECAST(L22,T22:AB22,C22:K22)</f>
        <v>62226.871265413196</v>
      </c>
      <c r="AD22" s="3">
        <f>FORECAST(M22,U22:AC22,D22:L22)</f>
        <v>224370.74161656594</v>
      </c>
      <c r="AE22" s="3">
        <f>FORECAST(N22,V22:AD22,E22:M22)</f>
        <v>218737.11814806191</v>
      </c>
      <c r="AF22" s="3">
        <f>FORECAST(O22,W22:AE22,F22:N22)</f>
        <v>191068.25551115599</v>
      </c>
      <c r="AG22" s="3">
        <f>FORECAST(P22,X22:AF22,G22:O22)</f>
        <v>29906.746794952545</v>
      </c>
      <c r="AH22" s="2"/>
      <c r="AI22" s="2"/>
      <c r="AJ22" s="2">
        <v>0</v>
      </c>
      <c r="AK22" s="2">
        <v>0</v>
      </c>
      <c r="AL22" s="2">
        <v>1618</v>
      </c>
      <c r="AM22" s="2">
        <v>53252</v>
      </c>
      <c r="AN22" s="2">
        <v>0</v>
      </c>
      <c r="AO22" s="2">
        <v>90000</v>
      </c>
      <c r="AP22" s="2">
        <v>0</v>
      </c>
      <c r="AQ22" s="2">
        <v>0</v>
      </c>
      <c r="AR22" s="2">
        <v>710166</v>
      </c>
      <c r="AS22" s="3">
        <f t="shared" si="26"/>
        <v>710166</v>
      </c>
      <c r="AT22" s="3">
        <f t="shared" si="26"/>
        <v>-6334.8712654131959</v>
      </c>
      <c r="AU22" s="3">
        <f t="shared" si="26"/>
        <v>23147.258383434062</v>
      </c>
      <c r="AV22" s="3">
        <f>N22-AH22</f>
        <v>236352</v>
      </c>
      <c r="AW22" s="3">
        <f t="shared" si="27"/>
        <v>208643</v>
      </c>
      <c r="AX22" s="3">
        <f t="shared" si="27"/>
        <v>0</v>
      </c>
    </row>
    <row r="23" spans="1:50" ht="13.5" thickBot="1">
      <c r="A23" s="139" t="s">
        <v>373</v>
      </c>
      <c r="B23" s="140">
        <f>S23</f>
        <v>0</v>
      </c>
      <c r="C23" s="2">
        <f t="shared" si="25"/>
        <v>0</v>
      </c>
      <c r="D23" s="2">
        <f t="shared" si="25"/>
        <v>0</v>
      </c>
      <c r="E23" s="2">
        <f t="shared" si="25"/>
        <v>0</v>
      </c>
      <c r="F23" s="2">
        <f t="shared" si="25"/>
        <v>0</v>
      </c>
      <c r="G23" s="2">
        <f t="shared" si="25"/>
        <v>0</v>
      </c>
      <c r="H23" s="2">
        <f t="shared" si="25"/>
        <v>0</v>
      </c>
      <c r="I23" s="2">
        <f t="shared" si="25"/>
        <v>0</v>
      </c>
      <c r="J23" s="2">
        <f t="shared" si="25"/>
        <v>0</v>
      </c>
      <c r="K23" s="2">
        <f>AB23+AR23</f>
        <v>0</v>
      </c>
      <c r="L23" s="135">
        <f t="shared" si="28"/>
        <v>0</v>
      </c>
      <c r="M23" s="135">
        <f t="shared" si="28"/>
        <v>0</v>
      </c>
      <c r="N23" s="135">
        <f t="shared" si="28"/>
        <v>0</v>
      </c>
      <c r="O23" s="135">
        <f>O192</f>
        <v>0</v>
      </c>
      <c r="P23" s="135">
        <f>P192</f>
        <v>0</v>
      </c>
      <c r="Q23" s="135"/>
      <c r="S23" s="2">
        <v>0</v>
      </c>
      <c r="T23" s="2">
        <v>0</v>
      </c>
      <c r="U23" s="2">
        <v>0</v>
      </c>
      <c r="V23" s="2">
        <v>0</v>
      </c>
      <c r="W23" s="2">
        <v>0</v>
      </c>
      <c r="X23" s="2">
        <v>0</v>
      </c>
      <c r="Y23" s="2">
        <v>0</v>
      </c>
      <c r="Z23" s="2">
        <v>0</v>
      </c>
      <c r="AA23" s="2">
        <v>0</v>
      </c>
      <c r="AB23" s="2">
        <v>0</v>
      </c>
      <c r="AC23" s="3">
        <v>0</v>
      </c>
      <c r="AD23" s="3">
        <v>0</v>
      </c>
      <c r="AE23" s="3">
        <v>0</v>
      </c>
      <c r="AF23" s="3">
        <v>1</v>
      </c>
      <c r="AG23" s="3">
        <v>2</v>
      </c>
      <c r="AH23" s="2"/>
      <c r="AI23" s="2"/>
      <c r="AJ23" s="2">
        <v>0</v>
      </c>
      <c r="AK23" s="2">
        <v>0</v>
      </c>
      <c r="AL23" s="2">
        <v>0</v>
      </c>
      <c r="AM23" s="2">
        <v>0</v>
      </c>
      <c r="AN23" s="2">
        <v>0</v>
      </c>
      <c r="AO23" s="2">
        <v>0</v>
      </c>
      <c r="AP23" s="2">
        <v>0</v>
      </c>
      <c r="AQ23" s="2">
        <v>0</v>
      </c>
      <c r="AR23" s="2">
        <v>0</v>
      </c>
      <c r="AS23" s="3">
        <f t="shared" si="26"/>
        <v>0</v>
      </c>
      <c r="AT23" s="3">
        <f t="shared" si="26"/>
        <v>0</v>
      </c>
      <c r="AU23" s="3">
        <f t="shared" si="26"/>
        <v>0</v>
      </c>
      <c r="AV23" s="3">
        <f>N23-AH23</f>
        <v>0</v>
      </c>
      <c r="AW23" s="3">
        <f t="shared" si="27"/>
        <v>0</v>
      </c>
      <c r="AX23" s="3">
        <f t="shared" si="27"/>
        <v>0</v>
      </c>
    </row>
    <row r="24" spans="1:50">
      <c r="A24" s="141"/>
      <c r="B24" s="142"/>
      <c r="C24" s="142"/>
      <c r="D24" s="142"/>
      <c r="E24" s="142"/>
      <c r="F24" s="142"/>
      <c r="G24" s="142"/>
      <c r="H24" s="142"/>
      <c r="I24" s="142"/>
      <c r="J24" s="142"/>
      <c r="K24" s="142"/>
      <c r="L24" s="142"/>
      <c r="M24" s="142"/>
      <c r="N24" s="142"/>
      <c r="O24" s="142"/>
      <c r="P24" s="142"/>
      <c r="Q24" s="2"/>
      <c r="S24" s="143" t="s">
        <v>374</v>
      </c>
    </row>
    <row r="25" spans="1:50" ht="16.5" thickBot="1">
      <c r="A25" s="128" t="s">
        <v>375</v>
      </c>
      <c r="B25" s="117">
        <f>B26+B30+B34+B38+B42</f>
        <v>25113475</v>
      </c>
      <c r="C25" s="117">
        <f t="shared" ref="C25:L25" si="29">C26+C30+C34+C38+C42</f>
        <v>78473364</v>
      </c>
      <c r="D25" s="117">
        <f t="shared" si="29"/>
        <v>45611665</v>
      </c>
      <c r="E25" s="117">
        <f t="shared" si="29"/>
        <v>40623544</v>
      </c>
      <c r="F25" s="117">
        <f t="shared" si="29"/>
        <v>21899568</v>
      </c>
      <c r="G25" s="117">
        <f t="shared" si="29"/>
        <v>9513432</v>
      </c>
      <c r="H25" s="117">
        <f t="shared" si="29"/>
        <v>27233554</v>
      </c>
      <c r="I25" s="117">
        <f t="shared" si="29"/>
        <v>38658277</v>
      </c>
      <c r="J25" s="130">
        <f t="shared" si="29"/>
        <v>27980141</v>
      </c>
      <c r="K25" s="130">
        <f t="shared" si="29"/>
        <v>18429478</v>
      </c>
      <c r="L25" s="130">
        <f t="shared" si="29"/>
        <v>37884910</v>
      </c>
      <c r="M25" s="130">
        <f>M26+M30+M34+M38+M42</f>
        <v>25269193</v>
      </c>
      <c r="N25" s="130">
        <f>N26+N30+N34+N38+N42</f>
        <v>33772724</v>
      </c>
      <c r="O25" s="130">
        <f>O26+O30+O34+O38+O42</f>
        <v>15060349</v>
      </c>
      <c r="P25" s="130">
        <f>P26+P30+P34+P38+P42</f>
        <v>20437799</v>
      </c>
      <c r="Q25" s="130"/>
    </row>
    <row r="26" spans="1:50">
      <c r="A26" s="131" t="s">
        <v>35</v>
      </c>
      <c r="B26" s="132">
        <f t="shared" ref="B26:N26" si="30">SUM(B27:B29)</f>
        <v>0</v>
      </c>
      <c r="C26" s="132">
        <f t="shared" si="30"/>
        <v>0</v>
      </c>
      <c r="D26" s="132">
        <f t="shared" si="30"/>
        <v>0</v>
      </c>
      <c r="E26" s="132">
        <f t="shared" si="30"/>
        <v>0</v>
      </c>
      <c r="F26" s="132">
        <f t="shared" si="30"/>
        <v>342326</v>
      </c>
      <c r="G26" s="132">
        <f t="shared" si="30"/>
        <v>2024139</v>
      </c>
      <c r="H26" s="132">
        <f t="shared" si="30"/>
        <v>2061978</v>
      </c>
      <c r="I26" s="132">
        <f t="shared" si="30"/>
        <v>45292</v>
      </c>
      <c r="J26" s="132">
        <f t="shared" si="30"/>
        <v>9969</v>
      </c>
      <c r="K26" s="132">
        <f t="shared" si="30"/>
        <v>1331600</v>
      </c>
      <c r="L26" s="132">
        <f t="shared" si="30"/>
        <v>713562</v>
      </c>
      <c r="M26" s="132">
        <f t="shared" si="30"/>
        <v>5205881</v>
      </c>
      <c r="N26" s="132">
        <f t="shared" si="30"/>
        <v>5286255</v>
      </c>
      <c r="O26" s="132">
        <f>SUM(O27:O29)</f>
        <v>1587010</v>
      </c>
      <c r="P26" s="132">
        <f>SUM(P27:P29)</f>
        <v>1130290</v>
      </c>
      <c r="Q26" s="133"/>
    </row>
    <row r="27" spans="1:50">
      <c r="A27" s="134" t="s">
        <v>376</v>
      </c>
      <c r="B27" s="2"/>
      <c r="C27" s="2"/>
      <c r="D27" s="2"/>
      <c r="E27" s="2"/>
      <c r="F27" s="2"/>
      <c r="G27" s="2"/>
      <c r="H27" s="2"/>
      <c r="I27" s="2"/>
      <c r="J27" s="5"/>
      <c r="K27" s="5"/>
      <c r="L27" s="5"/>
      <c r="M27" s="5"/>
      <c r="N27" s="5"/>
      <c r="O27" s="5"/>
      <c r="P27" s="5"/>
      <c r="Q27" s="5"/>
    </row>
    <row r="28" spans="1:50">
      <c r="A28" s="134" t="s">
        <v>377</v>
      </c>
      <c r="B28" s="2"/>
      <c r="C28" s="2"/>
      <c r="D28" s="2"/>
      <c r="E28" s="2"/>
      <c r="F28" s="2">
        <v>342326</v>
      </c>
      <c r="G28" s="2">
        <v>2024139</v>
      </c>
      <c r="H28" s="2">
        <v>2058045</v>
      </c>
      <c r="I28" s="2">
        <v>40073</v>
      </c>
      <c r="J28" s="5">
        <v>9969</v>
      </c>
      <c r="K28" s="5">
        <v>1273394</v>
      </c>
      <c r="L28" s="5">
        <f>L123</f>
        <v>713562</v>
      </c>
      <c r="M28" s="5">
        <f>M123</f>
        <v>5205881</v>
      </c>
      <c r="N28" s="5">
        <f>N123</f>
        <v>5286255</v>
      </c>
      <c r="O28" s="5">
        <f>O123</f>
        <v>1587010</v>
      </c>
      <c r="P28" s="5">
        <f>P123</f>
        <v>1130290</v>
      </c>
      <c r="Q28" s="5"/>
    </row>
    <row r="29" spans="1:50">
      <c r="A29" s="134" t="s">
        <v>378</v>
      </c>
      <c r="B29" s="2"/>
      <c r="C29" s="2"/>
      <c r="D29" s="2"/>
      <c r="E29" s="2"/>
      <c r="F29" s="2"/>
      <c r="G29" s="2"/>
      <c r="H29" s="2">
        <v>3933</v>
      </c>
      <c r="I29" s="2">
        <v>5219</v>
      </c>
      <c r="J29" s="5"/>
      <c r="K29" s="5">
        <v>58206</v>
      </c>
      <c r="L29" s="5">
        <f>L127</f>
        <v>0</v>
      </c>
      <c r="M29" s="5">
        <f>M127</f>
        <v>0</v>
      </c>
      <c r="N29" s="5">
        <f>N127</f>
        <v>0</v>
      </c>
      <c r="O29" s="5">
        <f>O127</f>
        <v>0</v>
      </c>
      <c r="P29" s="5">
        <f>P127</f>
        <v>0</v>
      </c>
      <c r="Q29" s="5"/>
    </row>
    <row r="30" spans="1:50">
      <c r="A30" s="144" t="s">
        <v>36</v>
      </c>
      <c r="B30" s="145">
        <f t="shared" ref="B30:N30" si="31">SUM(B31:B33)</f>
        <v>13812123</v>
      </c>
      <c r="C30" s="145">
        <f t="shared" si="31"/>
        <v>46787035</v>
      </c>
      <c r="D30" s="145">
        <f t="shared" si="31"/>
        <v>8948629</v>
      </c>
      <c r="E30" s="145">
        <f t="shared" si="31"/>
        <v>9467178</v>
      </c>
      <c r="F30" s="145">
        <f t="shared" si="31"/>
        <v>7016765</v>
      </c>
      <c r="G30" s="145">
        <f t="shared" si="31"/>
        <v>2880290</v>
      </c>
      <c r="H30" s="145">
        <f t="shared" si="31"/>
        <v>6188858</v>
      </c>
      <c r="I30" s="145">
        <f t="shared" si="31"/>
        <v>19001829</v>
      </c>
      <c r="J30" s="145">
        <f t="shared" si="31"/>
        <v>17769931</v>
      </c>
      <c r="K30" s="145">
        <f t="shared" si="31"/>
        <v>6487441</v>
      </c>
      <c r="L30" s="145">
        <f t="shared" si="31"/>
        <v>31465401</v>
      </c>
      <c r="M30" s="145">
        <f t="shared" si="31"/>
        <v>4051418</v>
      </c>
      <c r="N30" s="145">
        <f t="shared" si="31"/>
        <v>7849315</v>
      </c>
      <c r="O30" s="145">
        <f>SUM(O31:O33)</f>
        <v>2738536</v>
      </c>
      <c r="P30" s="145">
        <f>SUM(P31:P33)</f>
        <v>2139574</v>
      </c>
      <c r="Q30" s="133"/>
      <c r="U30" s="4"/>
    </row>
    <row r="31" spans="1:50">
      <c r="A31" s="138" t="s">
        <v>376</v>
      </c>
      <c r="B31" s="2"/>
      <c r="C31" s="2">
        <v>6851</v>
      </c>
      <c r="D31" s="2">
        <v>6699</v>
      </c>
      <c r="E31" s="2">
        <v>4433491</v>
      </c>
      <c r="F31" s="2"/>
      <c r="G31" s="2">
        <v>10416</v>
      </c>
      <c r="H31" s="2"/>
      <c r="I31" s="2"/>
      <c r="J31" s="5">
        <v>84383</v>
      </c>
      <c r="K31" s="5"/>
      <c r="L31" s="5"/>
      <c r="M31" s="5"/>
      <c r="N31" s="5"/>
      <c r="O31" s="5"/>
      <c r="P31" s="5"/>
      <c r="Q31" s="5"/>
      <c r="U31" s="4"/>
    </row>
    <row r="32" spans="1:50">
      <c r="A32" s="138" t="s">
        <v>377</v>
      </c>
      <c r="B32" s="2">
        <v>13041810</v>
      </c>
      <c r="C32" s="2">
        <v>42804235</v>
      </c>
      <c r="D32" s="2">
        <v>7615391</v>
      </c>
      <c r="E32" s="2">
        <v>4100053</v>
      </c>
      <c r="F32" s="2">
        <v>6833365</v>
      </c>
      <c r="G32" s="2">
        <v>2604233</v>
      </c>
      <c r="H32" s="2">
        <v>5779755</v>
      </c>
      <c r="I32" s="2">
        <v>16804657</v>
      </c>
      <c r="J32" s="5">
        <v>15987077</v>
      </c>
      <c r="K32" s="5">
        <v>5858912</v>
      </c>
      <c r="L32" s="5">
        <f>L140</f>
        <v>31443904</v>
      </c>
      <c r="M32" s="5">
        <f>M140</f>
        <v>3721781</v>
      </c>
      <c r="N32" s="5">
        <f>N140</f>
        <v>7845498</v>
      </c>
      <c r="O32" s="5">
        <f>O140</f>
        <v>2708205</v>
      </c>
      <c r="P32" s="5">
        <f>P140</f>
        <v>2138105</v>
      </c>
      <c r="Q32" s="5"/>
      <c r="U32" s="4"/>
    </row>
    <row r="33" spans="1:21">
      <c r="A33" s="138" t="s">
        <v>378</v>
      </c>
      <c r="B33" s="2">
        <v>770313</v>
      </c>
      <c r="C33" s="2">
        <v>3975949</v>
      </c>
      <c r="D33" s="2">
        <v>1326539</v>
      </c>
      <c r="E33" s="2">
        <v>933634</v>
      </c>
      <c r="F33" s="2">
        <v>183400</v>
      </c>
      <c r="G33" s="2">
        <v>265641</v>
      </c>
      <c r="H33" s="2">
        <v>409103</v>
      </c>
      <c r="I33" s="2">
        <v>2197172</v>
      </c>
      <c r="J33" s="5">
        <v>1698471</v>
      </c>
      <c r="K33" s="5">
        <v>628529</v>
      </c>
      <c r="L33" s="5">
        <f>L147</f>
        <v>21497</v>
      </c>
      <c r="M33" s="5">
        <f>M147</f>
        <v>329637</v>
      </c>
      <c r="N33" s="5">
        <f>N147</f>
        <v>3817</v>
      </c>
      <c r="O33" s="5">
        <f>O147</f>
        <v>30331</v>
      </c>
      <c r="P33" s="5">
        <f>P147</f>
        <v>1469</v>
      </c>
      <c r="Q33" s="5"/>
      <c r="U33" s="4"/>
    </row>
    <row r="34" spans="1:21">
      <c r="A34" s="144" t="s">
        <v>37</v>
      </c>
      <c r="B34" s="145">
        <f t="shared" ref="B34:N34" si="32">SUM(B35:B37)</f>
        <v>65268</v>
      </c>
      <c r="C34" s="145">
        <f t="shared" si="32"/>
        <v>3600279</v>
      </c>
      <c r="D34" s="145">
        <f t="shared" si="32"/>
        <v>29709496</v>
      </c>
      <c r="E34" s="145">
        <f t="shared" si="32"/>
        <v>6246169</v>
      </c>
      <c r="F34" s="145">
        <f t="shared" si="32"/>
        <v>124707</v>
      </c>
      <c r="G34" s="145">
        <f t="shared" si="32"/>
        <v>262346</v>
      </c>
      <c r="H34" s="145">
        <f t="shared" si="32"/>
        <v>132964</v>
      </c>
      <c r="I34" s="145">
        <f t="shared" si="32"/>
        <v>92528</v>
      </c>
      <c r="J34" s="145">
        <f t="shared" si="32"/>
        <v>896380</v>
      </c>
      <c r="K34" s="145">
        <f t="shared" si="32"/>
        <v>212781</v>
      </c>
      <c r="L34" s="145">
        <f t="shared" si="32"/>
        <v>15024</v>
      </c>
      <c r="M34" s="145">
        <f t="shared" si="32"/>
        <v>865752</v>
      </c>
      <c r="N34" s="145">
        <f t="shared" si="32"/>
        <v>7009152</v>
      </c>
      <c r="O34" s="145">
        <f>SUM(O35:O37)</f>
        <v>2433356</v>
      </c>
      <c r="P34" s="145">
        <f>SUM(P35:P37)</f>
        <v>2103</v>
      </c>
      <c r="Q34" s="133"/>
    </row>
    <row r="35" spans="1:21">
      <c r="A35" s="138" t="s">
        <v>376</v>
      </c>
      <c r="B35" s="2"/>
      <c r="C35" s="2">
        <v>64425</v>
      </c>
      <c r="D35" s="2">
        <v>99695</v>
      </c>
      <c r="E35" s="2"/>
      <c r="F35" s="2"/>
      <c r="G35" s="2"/>
      <c r="H35" s="2"/>
      <c r="I35" s="2"/>
      <c r="J35" s="4"/>
      <c r="K35" s="4"/>
      <c r="L35" s="4"/>
      <c r="M35" s="4"/>
      <c r="N35" s="4"/>
      <c r="O35" s="4"/>
      <c r="P35" s="4"/>
      <c r="Q35" s="4"/>
    </row>
    <row r="36" spans="1:21">
      <c r="A36" s="138" t="s">
        <v>377</v>
      </c>
      <c r="B36" s="2">
        <v>57876</v>
      </c>
      <c r="C36" s="2">
        <v>3535076</v>
      </c>
      <c r="D36" s="2">
        <v>29595838</v>
      </c>
      <c r="E36" s="2">
        <v>6222513</v>
      </c>
      <c r="F36" s="2">
        <v>124706</v>
      </c>
      <c r="G36" s="2">
        <v>262345</v>
      </c>
      <c r="H36" s="2">
        <v>124278</v>
      </c>
      <c r="I36" s="2">
        <v>84468</v>
      </c>
      <c r="J36" s="5">
        <v>856210</v>
      </c>
      <c r="K36" s="5">
        <v>196881</v>
      </c>
      <c r="L36" s="5">
        <f>L159</f>
        <v>15024</v>
      </c>
      <c r="M36" s="5">
        <f>M159</f>
        <v>824414</v>
      </c>
      <c r="N36" s="5">
        <f>N159</f>
        <v>6928395</v>
      </c>
      <c r="O36" s="5">
        <f>O159</f>
        <v>2408108</v>
      </c>
      <c r="P36" s="5">
        <f>P159</f>
        <v>0</v>
      </c>
      <c r="Q36" s="5"/>
    </row>
    <row r="37" spans="1:21">
      <c r="A37" s="138" t="s">
        <v>378</v>
      </c>
      <c r="B37" s="2">
        <v>7392</v>
      </c>
      <c r="C37" s="2">
        <v>778</v>
      </c>
      <c r="D37" s="2">
        <v>13963</v>
      </c>
      <c r="E37" s="2">
        <v>23656</v>
      </c>
      <c r="F37" s="2">
        <v>1</v>
      </c>
      <c r="G37" s="2">
        <v>1</v>
      </c>
      <c r="H37" s="2">
        <v>8686</v>
      </c>
      <c r="I37" s="2">
        <v>8060</v>
      </c>
      <c r="J37" s="5">
        <v>40170</v>
      </c>
      <c r="K37" s="5">
        <v>15900</v>
      </c>
      <c r="L37" s="5">
        <f>L165</f>
        <v>0</v>
      </c>
      <c r="M37" s="5">
        <f>M165</f>
        <v>41338</v>
      </c>
      <c r="N37" s="5">
        <f>N165</f>
        <v>80757</v>
      </c>
      <c r="O37" s="5">
        <f>O165</f>
        <v>25248</v>
      </c>
      <c r="P37" s="5">
        <f>P165</f>
        <v>2103</v>
      </c>
      <c r="Q37" s="5"/>
    </row>
    <row r="38" spans="1:21">
      <c r="A38" s="144" t="s">
        <v>38</v>
      </c>
      <c r="B38" s="145">
        <f t="shared" ref="B38:N38" si="33">SUM(B39:B41)</f>
        <v>11236084</v>
      </c>
      <c r="C38" s="145">
        <f t="shared" si="33"/>
        <v>28086050</v>
      </c>
      <c r="D38" s="145">
        <f t="shared" si="33"/>
        <v>6953540</v>
      </c>
      <c r="E38" s="145">
        <f t="shared" si="33"/>
        <v>24901865</v>
      </c>
      <c r="F38" s="145">
        <f t="shared" si="33"/>
        <v>14410773</v>
      </c>
      <c r="G38" s="145">
        <f t="shared" si="33"/>
        <v>4319127</v>
      </c>
      <c r="H38" s="145">
        <f t="shared" si="33"/>
        <v>18796313</v>
      </c>
      <c r="I38" s="145">
        <f t="shared" si="33"/>
        <v>19443026</v>
      </c>
      <c r="J38" s="145">
        <f t="shared" si="33"/>
        <v>9303861</v>
      </c>
      <c r="K38" s="145">
        <f t="shared" si="33"/>
        <v>10397656</v>
      </c>
      <c r="L38" s="145">
        <f t="shared" si="33"/>
        <v>5690923</v>
      </c>
      <c r="M38" s="145">
        <f t="shared" si="33"/>
        <v>15146142</v>
      </c>
      <c r="N38" s="145">
        <f t="shared" si="33"/>
        <v>13628002</v>
      </c>
      <c r="O38" s="145">
        <f>SUM(O39:O41)</f>
        <v>8301447</v>
      </c>
      <c r="P38" s="145">
        <f>SUM(P39:P41)</f>
        <v>17141957</v>
      </c>
      <c r="Q38" s="133"/>
    </row>
    <row r="39" spans="1:21">
      <c r="A39" s="138" t="s">
        <v>376</v>
      </c>
      <c r="B39" s="2"/>
      <c r="C39" s="2">
        <v>70663</v>
      </c>
      <c r="D39" s="2"/>
      <c r="E39" s="2"/>
      <c r="F39" s="2"/>
      <c r="G39" s="2"/>
      <c r="H39" s="2"/>
      <c r="I39" s="2"/>
      <c r="J39" s="4"/>
      <c r="K39" s="4"/>
      <c r="L39" s="4"/>
      <c r="M39" s="4"/>
      <c r="N39" s="4"/>
      <c r="O39" s="4"/>
      <c r="P39" s="4"/>
      <c r="Q39" s="4"/>
    </row>
    <row r="40" spans="1:21">
      <c r="A40" s="138" t="s">
        <v>377</v>
      </c>
      <c r="B40" s="2">
        <v>5364514</v>
      </c>
      <c r="C40" s="2">
        <v>20308085</v>
      </c>
      <c r="D40" s="2">
        <v>5317705</v>
      </c>
      <c r="E40" s="2">
        <v>21718069</v>
      </c>
      <c r="F40" s="2">
        <v>11513723</v>
      </c>
      <c r="G40" s="2">
        <v>3317742</v>
      </c>
      <c r="H40" s="2">
        <v>14371253</v>
      </c>
      <c r="I40" s="2">
        <v>14549117</v>
      </c>
      <c r="J40" s="5">
        <v>5821702</v>
      </c>
      <c r="K40" s="5">
        <v>4310506</v>
      </c>
      <c r="L40" s="5">
        <f>L178</f>
        <v>2196957</v>
      </c>
      <c r="M40" s="5">
        <f>M178</f>
        <v>11417351</v>
      </c>
      <c r="N40" s="5">
        <f>N178</f>
        <v>12865767</v>
      </c>
      <c r="O40" s="5">
        <f>O178</f>
        <v>6459246</v>
      </c>
      <c r="P40" s="5">
        <f>P178</f>
        <v>15966104</v>
      </c>
      <c r="Q40" s="5"/>
    </row>
    <row r="41" spans="1:21">
      <c r="A41" s="138" t="s">
        <v>378</v>
      </c>
      <c r="B41" s="2">
        <v>5871570</v>
      </c>
      <c r="C41" s="2">
        <v>7707302</v>
      </c>
      <c r="D41" s="2">
        <v>1635835</v>
      </c>
      <c r="E41" s="2">
        <v>3183796</v>
      </c>
      <c r="F41" s="2">
        <v>2897050</v>
      </c>
      <c r="G41" s="2">
        <v>1001385</v>
      </c>
      <c r="H41" s="2">
        <v>4425060</v>
      </c>
      <c r="I41" s="2">
        <v>4893909</v>
      </c>
      <c r="J41" s="5">
        <v>3482159</v>
      </c>
      <c r="K41" s="5">
        <v>6087150</v>
      </c>
      <c r="L41" s="5">
        <f>L185</f>
        <v>3493966</v>
      </c>
      <c r="M41" s="5">
        <f>M185</f>
        <v>3728791</v>
      </c>
      <c r="N41" s="5">
        <f>N185</f>
        <v>762235</v>
      </c>
      <c r="O41" s="5">
        <f>O185</f>
        <v>1842201</v>
      </c>
      <c r="P41" s="5">
        <f>P185</f>
        <v>1175853</v>
      </c>
      <c r="Q41" s="5"/>
    </row>
    <row r="42" spans="1:21">
      <c r="A42" s="144" t="s">
        <v>39</v>
      </c>
      <c r="B42" s="145">
        <f t="shared" ref="B42:N42" si="34">SUM(B43:B45)</f>
        <v>0</v>
      </c>
      <c r="C42" s="145">
        <f t="shared" si="34"/>
        <v>0</v>
      </c>
      <c r="D42" s="145">
        <f t="shared" si="34"/>
        <v>0</v>
      </c>
      <c r="E42" s="145">
        <f t="shared" si="34"/>
        <v>8332</v>
      </c>
      <c r="F42" s="145">
        <f t="shared" si="34"/>
        <v>4997</v>
      </c>
      <c r="G42" s="145">
        <f t="shared" si="34"/>
        <v>27530</v>
      </c>
      <c r="H42" s="145">
        <f t="shared" si="34"/>
        <v>53441</v>
      </c>
      <c r="I42" s="145">
        <f t="shared" si="34"/>
        <v>75602</v>
      </c>
      <c r="J42" s="145">
        <f t="shared" si="34"/>
        <v>0</v>
      </c>
      <c r="K42" s="145">
        <f t="shared" si="34"/>
        <v>0</v>
      </c>
      <c r="L42" s="145">
        <f t="shared" si="34"/>
        <v>0</v>
      </c>
      <c r="M42" s="145">
        <f t="shared" si="34"/>
        <v>0</v>
      </c>
      <c r="N42" s="145">
        <f t="shared" si="34"/>
        <v>0</v>
      </c>
      <c r="O42" s="145">
        <f>SUM(O43:O45)</f>
        <v>0</v>
      </c>
      <c r="P42" s="145">
        <f>SUM(P43:P45)</f>
        <v>23875</v>
      </c>
      <c r="Q42" s="133"/>
    </row>
    <row r="43" spans="1:21">
      <c r="A43" s="138" t="s">
        <v>376</v>
      </c>
      <c r="B43" s="2"/>
      <c r="C43" s="2"/>
      <c r="D43" s="2"/>
      <c r="E43" s="2"/>
      <c r="F43" s="2"/>
      <c r="G43" s="2"/>
      <c r="H43" s="2"/>
      <c r="I43" s="2"/>
      <c r="J43" s="5"/>
      <c r="K43" s="5"/>
      <c r="L43" s="5"/>
      <c r="M43" s="5"/>
      <c r="N43" s="5"/>
      <c r="O43" s="5"/>
      <c r="P43" s="5"/>
      <c r="Q43" s="5"/>
    </row>
    <row r="44" spans="1:21">
      <c r="A44" s="138" t="s">
        <v>377</v>
      </c>
      <c r="B44" s="2"/>
      <c r="C44" s="2"/>
      <c r="D44" s="2"/>
      <c r="E44" s="2">
        <v>8332</v>
      </c>
      <c r="F44" s="2">
        <v>4997</v>
      </c>
      <c r="G44" s="2">
        <v>27530</v>
      </c>
      <c r="H44" s="2">
        <v>53441</v>
      </c>
      <c r="I44" s="2">
        <v>75602</v>
      </c>
      <c r="J44" s="5"/>
      <c r="K44" s="5"/>
      <c r="L44" s="5"/>
      <c r="M44" s="4"/>
      <c r="N44" s="4"/>
      <c r="O44" s="4"/>
      <c r="P44" s="4">
        <f>P194</f>
        <v>23875</v>
      </c>
      <c r="Q44" s="4"/>
    </row>
    <row r="45" spans="1:21" ht="13.5" thickBot="1">
      <c r="A45" s="139" t="s">
        <v>378</v>
      </c>
      <c r="B45" s="140"/>
      <c r="C45" s="2"/>
      <c r="D45" s="2"/>
      <c r="E45" s="2"/>
      <c r="F45" s="2"/>
      <c r="G45" s="2"/>
      <c r="H45" s="2"/>
      <c r="I45" s="2"/>
      <c r="J45" s="2"/>
      <c r="K45" s="2"/>
      <c r="L45" s="2"/>
      <c r="M45" s="2"/>
      <c r="N45" s="2"/>
      <c r="O45" s="2"/>
      <c r="P45" s="2"/>
      <c r="Q45" s="2"/>
    </row>
    <row r="46" spans="1:21">
      <c r="A46" s="141"/>
      <c r="B46" s="142"/>
      <c r="C46" s="142"/>
      <c r="D46" s="142"/>
      <c r="E46" s="142"/>
      <c r="F46" s="142"/>
      <c r="G46" s="142"/>
      <c r="H46" s="142"/>
      <c r="I46" s="142"/>
      <c r="J46" s="142"/>
      <c r="K46" s="142"/>
      <c r="L46" s="142"/>
      <c r="M46" s="142"/>
      <c r="N46" s="142"/>
      <c r="O46" s="142"/>
      <c r="P46" s="142"/>
      <c r="Q46" s="2"/>
    </row>
    <row r="47" spans="1:21" ht="16.5" thickBot="1">
      <c r="A47" s="128" t="s">
        <v>379</v>
      </c>
      <c r="B47" s="117">
        <f>B48+B60+B72+B84+B96</f>
        <v>99069268</v>
      </c>
      <c r="C47" s="117">
        <f t="shared" ref="C47:L47" si="35">C48+C60+C72+C84+C96</f>
        <v>390181518</v>
      </c>
      <c r="D47" s="117">
        <f t="shared" si="35"/>
        <v>90759633</v>
      </c>
      <c r="E47" s="117">
        <f t="shared" si="35"/>
        <v>176478026</v>
      </c>
      <c r="F47" s="117">
        <f t="shared" si="35"/>
        <v>373012020</v>
      </c>
      <c r="G47" s="117">
        <f t="shared" si="35"/>
        <v>240715075</v>
      </c>
      <c r="H47" s="117">
        <f t="shared" si="35"/>
        <v>327881218</v>
      </c>
      <c r="I47" s="117">
        <f t="shared" si="35"/>
        <v>420188084</v>
      </c>
      <c r="J47" s="130">
        <f t="shared" si="35"/>
        <v>275005784</v>
      </c>
      <c r="K47" s="130">
        <f t="shared" si="35"/>
        <v>428857290</v>
      </c>
      <c r="L47" s="130">
        <f t="shared" si="35"/>
        <v>306796385</v>
      </c>
      <c r="M47" s="130">
        <f>M48+M60+M72+M84+M96</f>
        <v>201675352</v>
      </c>
      <c r="N47" s="130">
        <f>N48+N60+N72+N84+N96</f>
        <v>266712690</v>
      </c>
      <c r="O47" s="130">
        <f>O48+O60+O72+O84+O96</f>
        <v>234982791</v>
      </c>
      <c r="P47" s="130">
        <f>P48+P60+P72+P84+P96</f>
        <v>19094556</v>
      </c>
      <c r="Q47" s="130"/>
    </row>
    <row r="48" spans="1:21">
      <c r="A48" s="146" t="s">
        <v>35</v>
      </c>
      <c r="B48" s="132">
        <f>SUM(B49:B59)</f>
        <v>0</v>
      </c>
      <c r="C48" s="132">
        <f t="shared" ref="C48:P48" si="36">SUM(C49:C59)</f>
        <v>0</v>
      </c>
      <c r="D48" s="132">
        <f t="shared" si="36"/>
        <v>0</v>
      </c>
      <c r="E48" s="132">
        <f t="shared" si="36"/>
        <v>0</v>
      </c>
      <c r="F48" s="132">
        <f t="shared" si="36"/>
        <v>34590</v>
      </c>
      <c r="G48" s="132">
        <f t="shared" si="36"/>
        <v>611836</v>
      </c>
      <c r="H48" s="132">
        <f t="shared" si="36"/>
        <v>309260</v>
      </c>
      <c r="I48" s="132">
        <f t="shared" si="36"/>
        <v>1863175</v>
      </c>
      <c r="J48" s="132">
        <f t="shared" si="36"/>
        <v>2598125</v>
      </c>
      <c r="K48" s="132">
        <f t="shared" si="36"/>
        <v>7027632</v>
      </c>
      <c r="L48" s="132">
        <f t="shared" si="36"/>
        <v>272168</v>
      </c>
      <c r="M48" s="132">
        <f t="shared" si="36"/>
        <v>188487</v>
      </c>
      <c r="N48" s="132">
        <f t="shared" si="36"/>
        <v>411566</v>
      </c>
      <c r="O48" s="132">
        <f t="shared" si="36"/>
        <v>338727</v>
      </c>
      <c r="P48" s="132">
        <f t="shared" si="36"/>
        <v>24650</v>
      </c>
      <c r="Q48" s="133"/>
    </row>
    <row r="49" spans="1:23">
      <c r="A49" s="138" t="s">
        <v>380</v>
      </c>
      <c r="B49" s="2"/>
      <c r="C49" s="2"/>
      <c r="D49" s="2"/>
      <c r="E49" s="2"/>
      <c r="F49" s="2"/>
      <c r="G49" s="2"/>
      <c r="H49" s="2"/>
      <c r="I49" s="2"/>
      <c r="J49" s="5"/>
      <c r="K49" s="5"/>
      <c r="L49" s="5"/>
      <c r="M49" s="5"/>
      <c r="N49" s="5"/>
      <c r="O49" s="5"/>
      <c r="P49" s="5"/>
      <c r="Q49" s="5"/>
    </row>
    <row r="50" spans="1:23">
      <c r="A50" s="138" t="s">
        <v>381</v>
      </c>
      <c r="B50" s="2"/>
      <c r="C50" s="2"/>
      <c r="D50" s="2"/>
      <c r="E50" s="2"/>
      <c r="F50" s="2"/>
      <c r="G50" s="2"/>
      <c r="H50" s="2"/>
      <c r="I50" s="2"/>
      <c r="J50" s="5"/>
      <c r="K50" s="5"/>
      <c r="L50" s="5"/>
      <c r="M50" s="5"/>
      <c r="N50" s="5"/>
      <c r="O50" s="5"/>
      <c r="P50" s="5"/>
      <c r="Q50" s="5"/>
    </row>
    <row r="51" spans="1:23">
      <c r="A51" s="138" t="s">
        <v>382</v>
      </c>
      <c r="B51" s="2"/>
      <c r="C51" s="2"/>
      <c r="D51" s="2"/>
      <c r="E51" s="2"/>
      <c r="F51" s="2"/>
      <c r="G51" s="2"/>
      <c r="H51" s="2"/>
      <c r="I51" s="2"/>
      <c r="J51" s="5"/>
      <c r="K51" s="5"/>
      <c r="L51" s="5"/>
      <c r="M51" s="5"/>
      <c r="N51" s="5"/>
      <c r="O51" s="5"/>
      <c r="P51" s="5"/>
      <c r="Q51" s="5"/>
    </row>
    <row r="52" spans="1:23">
      <c r="A52" s="138" t="s">
        <v>383</v>
      </c>
      <c r="B52" s="2"/>
      <c r="C52" s="2"/>
      <c r="D52" s="2"/>
      <c r="E52" s="2"/>
      <c r="F52" s="2"/>
      <c r="G52" s="2"/>
      <c r="H52" s="2">
        <v>0</v>
      </c>
      <c r="I52" s="2"/>
      <c r="J52" s="5"/>
      <c r="K52" s="5"/>
      <c r="L52" s="5">
        <f>L122</f>
        <v>79474</v>
      </c>
      <c r="M52" s="5">
        <f>M122</f>
        <v>0</v>
      </c>
      <c r="N52" s="5">
        <f>N122</f>
        <v>2907</v>
      </c>
      <c r="O52" s="5">
        <f>O122</f>
        <v>219156</v>
      </c>
      <c r="P52" s="5">
        <f>P122</f>
        <v>0</v>
      </c>
      <c r="Q52" s="5"/>
    </row>
    <row r="53" spans="1:23">
      <c r="A53" s="138" t="s">
        <v>384</v>
      </c>
      <c r="B53" s="2"/>
      <c r="C53" s="2"/>
      <c r="D53" s="2"/>
      <c r="E53" s="2"/>
      <c r="F53" s="2">
        <v>27943</v>
      </c>
      <c r="G53" s="2"/>
      <c r="H53" s="2"/>
      <c r="I53" s="2">
        <v>844</v>
      </c>
      <c r="J53" s="5"/>
      <c r="K53" s="5"/>
      <c r="L53" s="5"/>
      <c r="M53" s="5"/>
      <c r="N53" s="5"/>
      <c r="O53" s="5"/>
      <c r="P53" s="5"/>
      <c r="Q53" s="5"/>
    </row>
    <row r="54" spans="1:23">
      <c r="A54" s="138" t="s">
        <v>385</v>
      </c>
      <c r="B54" s="2"/>
      <c r="C54" s="2"/>
      <c r="D54" s="2"/>
      <c r="E54" s="2"/>
      <c r="F54" s="2"/>
      <c r="G54" s="2"/>
      <c r="H54" s="2"/>
      <c r="I54" s="2"/>
      <c r="J54" s="5"/>
      <c r="K54" s="5"/>
      <c r="L54" s="5"/>
      <c r="M54" s="5"/>
      <c r="N54" s="5"/>
      <c r="O54" s="5"/>
      <c r="P54" s="5"/>
      <c r="Q54" s="5"/>
    </row>
    <row r="55" spans="1:23">
      <c r="A55" s="138" t="s">
        <v>386</v>
      </c>
      <c r="B55" s="2"/>
      <c r="C55" s="2"/>
      <c r="D55" s="2"/>
      <c r="E55" s="2"/>
      <c r="F55" s="2">
        <v>6647</v>
      </c>
      <c r="G55" s="2">
        <v>100100</v>
      </c>
      <c r="H55" s="2">
        <v>309260</v>
      </c>
      <c r="I55" s="2">
        <v>1102074</v>
      </c>
      <c r="J55" s="5">
        <v>251839</v>
      </c>
      <c r="K55" s="5">
        <v>270776</v>
      </c>
      <c r="L55" s="5">
        <f>L125</f>
        <v>192694</v>
      </c>
      <c r="M55" s="5">
        <f>M125</f>
        <v>188487</v>
      </c>
      <c r="N55" s="5">
        <f>N125</f>
        <v>184174</v>
      </c>
      <c r="O55" s="5">
        <f>O125</f>
        <v>118471</v>
      </c>
      <c r="P55" s="5">
        <f>P125</f>
        <v>24650</v>
      </c>
      <c r="Q55" s="5"/>
      <c r="S55" s="2"/>
      <c r="T55" s="2"/>
    </row>
    <row r="56" spans="1:23">
      <c r="A56" s="138" t="s">
        <v>387</v>
      </c>
      <c r="B56" s="2"/>
      <c r="C56" s="2"/>
      <c r="D56" s="2"/>
      <c r="E56" s="2"/>
      <c r="F56" s="2"/>
      <c r="G56" s="2">
        <v>511736</v>
      </c>
      <c r="H56" s="2"/>
      <c r="I56" s="2">
        <v>758869</v>
      </c>
      <c r="J56" s="5">
        <v>2340756</v>
      </c>
      <c r="K56" s="5">
        <v>6756856</v>
      </c>
      <c r="L56" s="5">
        <f>L124</f>
        <v>0</v>
      </c>
      <c r="M56" s="5">
        <f>M124</f>
        <v>0</v>
      </c>
      <c r="N56" s="5">
        <f>N124</f>
        <v>224485</v>
      </c>
      <c r="O56" s="5">
        <f>O124</f>
        <v>1100</v>
      </c>
      <c r="P56" s="5">
        <f>P124</f>
        <v>0</v>
      </c>
      <c r="Q56" s="5"/>
      <c r="S56" s="2"/>
      <c r="T56" s="2"/>
    </row>
    <row r="57" spans="1:23">
      <c r="A57" s="138" t="s">
        <v>388</v>
      </c>
      <c r="B57" s="2"/>
      <c r="C57" s="2"/>
      <c r="D57" s="2"/>
      <c r="E57" s="2"/>
      <c r="F57" s="2"/>
      <c r="G57" s="2"/>
      <c r="H57" s="2"/>
      <c r="I57" s="2"/>
      <c r="J57" s="2"/>
      <c r="K57" s="2"/>
      <c r="L57" s="2"/>
      <c r="M57" s="2"/>
      <c r="N57" s="2"/>
      <c r="O57" s="2"/>
      <c r="P57" s="2"/>
      <c r="Q57" s="2"/>
      <c r="S57" s="2"/>
      <c r="T57" s="2"/>
    </row>
    <row r="58" spans="1:23">
      <c r="A58" s="138" t="s">
        <v>389</v>
      </c>
      <c r="B58" s="2"/>
      <c r="C58" s="2"/>
      <c r="D58" s="2"/>
      <c r="E58" s="2"/>
      <c r="F58" s="2"/>
      <c r="G58" s="2"/>
      <c r="H58" s="2"/>
      <c r="I58" s="2">
        <v>1388</v>
      </c>
      <c r="J58" s="2">
        <v>5530</v>
      </c>
      <c r="K58" s="2"/>
      <c r="L58" s="2"/>
      <c r="M58" s="2"/>
      <c r="N58" s="2"/>
      <c r="O58" s="2"/>
      <c r="P58" s="2"/>
      <c r="Q58" s="2"/>
    </row>
    <row r="59" spans="1:23">
      <c r="A59" s="138" t="s">
        <v>390</v>
      </c>
      <c r="B59" s="2"/>
      <c r="C59" s="2"/>
      <c r="D59" s="2"/>
      <c r="E59" s="2"/>
      <c r="F59" s="2"/>
      <c r="G59" s="2"/>
      <c r="H59" s="2"/>
      <c r="I59" s="2"/>
      <c r="J59" s="2"/>
      <c r="K59" s="2"/>
      <c r="L59" s="2"/>
      <c r="M59" s="2"/>
      <c r="N59" s="2"/>
      <c r="O59" s="2"/>
      <c r="P59" s="2"/>
      <c r="Q59" s="2"/>
    </row>
    <row r="60" spans="1:23">
      <c r="A60" s="144" t="s">
        <v>36</v>
      </c>
      <c r="B60" s="145">
        <f t="shared" ref="B60:N60" si="37">SUM(B61:B71)</f>
        <v>23234306</v>
      </c>
      <c r="C60" s="145">
        <f t="shared" si="37"/>
        <v>65552508</v>
      </c>
      <c r="D60" s="145">
        <f t="shared" si="37"/>
        <v>81894839</v>
      </c>
      <c r="E60" s="145">
        <f t="shared" si="37"/>
        <v>92149481</v>
      </c>
      <c r="F60" s="145">
        <f t="shared" si="37"/>
        <v>91863865</v>
      </c>
      <c r="G60" s="145">
        <f t="shared" si="37"/>
        <v>42404725</v>
      </c>
      <c r="H60" s="145">
        <f t="shared" si="37"/>
        <v>115007941</v>
      </c>
      <c r="I60" s="145">
        <f t="shared" si="37"/>
        <v>92523704</v>
      </c>
      <c r="J60" s="145">
        <f t="shared" si="37"/>
        <v>61896826</v>
      </c>
      <c r="K60" s="145">
        <f t="shared" si="37"/>
        <v>119105486</v>
      </c>
      <c r="L60" s="145">
        <f t="shared" si="37"/>
        <v>156678533</v>
      </c>
      <c r="M60" s="145">
        <f t="shared" si="37"/>
        <v>57856494</v>
      </c>
      <c r="N60" s="145">
        <f t="shared" si="37"/>
        <v>125079266</v>
      </c>
      <c r="O60" s="145">
        <f>SUM(O61:O71)</f>
        <v>128065357</v>
      </c>
      <c r="P60" s="145">
        <f>SUM(P61:P71)</f>
        <v>16273483</v>
      </c>
      <c r="Q60" s="133"/>
    </row>
    <row r="61" spans="1:23">
      <c r="A61" s="138" t="s">
        <v>380</v>
      </c>
      <c r="B61" s="2">
        <v>76007</v>
      </c>
      <c r="C61" s="2">
        <v>8</v>
      </c>
      <c r="D61" s="2">
        <v>525</v>
      </c>
      <c r="E61" s="2">
        <v>46970</v>
      </c>
      <c r="F61" s="2">
        <v>50080</v>
      </c>
      <c r="G61" s="2">
        <v>1144</v>
      </c>
      <c r="H61" s="2">
        <v>109217</v>
      </c>
      <c r="I61" s="2">
        <v>9673</v>
      </c>
      <c r="J61" s="5">
        <v>113</v>
      </c>
      <c r="K61" s="5">
        <v>329553</v>
      </c>
      <c r="L61" s="5">
        <f>L146</f>
        <v>15482</v>
      </c>
      <c r="M61" s="5">
        <f>M146</f>
        <v>6277</v>
      </c>
      <c r="N61" s="5">
        <f>N146</f>
        <v>23837</v>
      </c>
      <c r="O61" s="5">
        <f>O146</f>
        <v>286</v>
      </c>
      <c r="P61" s="5">
        <f>P146</f>
        <v>0</v>
      </c>
      <c r="Q61" s="5"/>
      <c r="W61" s="2"/>
    </row>
    <row r="62" spans="1:23">
      <c r="A62" s="138" t="s">
        <v>381</v>
      </c>
      <c r="B62" s="2">
        <v>77147</v>
      </c>
      <c r="C62" s="2">
        <f>C136</f>
        <v>65977</v>
      </c>
      <c r="D62" s="2">
        <v>108545</v>
      </c>
      <c r="E62" s="2">
        <v>172124</v>
      </c>
      <c r="F62" s="2">
        <v>915386</v>
      </c>
      <c r="G62" s="2">
        <v>63042</v>
      </c>
      <c r="H62" s="2">
        <v>1016216</v>
      </c>
      <c r="I62" s="2">
        <v>2137671</v>
      </c>
      <c r="J62" s="5">
        <v>185482</v>
      </c>
      <c r="K62" s="5">
        <v>344209</v>
      </c>
      <c r="L62" s="5">
        <f>L136</f>
        <v>168622</v>
      </c>
      <c r="M62" s="5">
        <f>M136</f>
        <v>170062</v>
      </c>
      <c r="N62" s="5">
        <f>N136</f>
        <v>4023453</v>
      </c>
      <c r="O62" s="5">
        <f>O136</f>
        <v>2330849</v>
      </c>
      <c r="P62" s="5">
        <f>P136</f>
        <v>1769955</v>
      </c>
      <c r="Q62" s="5"/>
      <c r="W62" s="2"/>
    </row>
    <row r="63" spans="1:23">
      <c r="A63" s="138" t="s">
        <v>382</v>
      </c>
      <c r="B63" s="2"/>
      <c r="C63" s="2">
        <v>9000</v>
      </c>
      <c r="D63" s="2"/>
      <c r="E63" s="2">
        <v>8946</v>
      </c>
      <c r="F63" s="2"/>
      <c r="G63" s="2"/>
      <c r="H63" s="2"/>
      <c r="I63" s="2"/>
      <c r="J63" s="147"/>
      <c r="K63" s="147"/>
      <c r="L63" s="5">
        <f>L144</f>
        <v>0</v>
      </c>
      <c r="M63" s="5">
        <f>M144</f>
        <v>46179</v>
      </c>
      <c r="N63" s="5">
        <f>N144</f>
        <v>40001</v>
      </c>
      <c r="O63" s="5">
        <f>O144</f>
        <v>7134963</v>
      </c>
      <c r="P63" s="5">
        <f>P144</f>
        <v>4105711</v>
      </c>
      <c r="Q63" s="5"/>
      <c r="W63" s="2"/>
    </row>
    <row r="64" spans="1:23">
      <c r="A64" s="138" t="s">
        <v>383</v>
      </c>
      <c r="B64" s="2">
        <v>6919575</v>
      </c>
      <c r="C64" s="2">
        <v>582000</v>
      </c>
      <c r="D64" s="2"/>
      <c r="E64" s="2">
        <v>7278935</v>
      </c>
      <c r="F64" s="2">
        <v>2184121</v>
      </c>
      <c r="G64" s="2">
        <v>9725</v>
      </c>
      <c r="H64" s="2">
        <v>65009875</v>
      </c>
      <c r="I64" s="2">
        <v>36004670</v>
      </c>
      <c r="J64" s="5"/>
      <c r="K64" s="5"/>
      <c r="L64" s="5">
        <f>L137</f>
        <v>16254262</v>
      </c>
      <c r="M64" s="5">
        <f>M137</f>
        <v>37458</v>
      </c>
      <c r="N64" s="5">
        <f>N137</f>
        <v>1422</v>
      </c>
      <c r="O64" s="5">
        <f>O137</f>
        <v>0</v>
      </c>
      <c r="P64" s="5">
        <f>P137</f>
        <v>0</v>
      </c>
      <c r="Q64" s="5"/>
      <c r="W64" s="2"/>
    </row>
    <row r="65" spans="1:23">
      <c r="A65" s="138" t="s">
        <v>384</v>
      </c>
      <c r="B65" s="2">
        <v>3718775</v>
      </c>
      <c r="C65" s="2">
        <v>7502825</v>
      </c>
      <c r="D65" s="2">
        <v>40791273</v>
      </c>
      <c r="E65" s="2">
        <v>79744083</v>
      </c>
      <c r="F65" s="2">
        <v>81303420</v>
      </c>
      <c r="G65" s="2">
        <v>29940361</v>
      </c>
      <c r="H65" s="2">
        <v>36556846</v>
      </c>
      <c r="I65" s="2">
        <v>10202154</v>
      </c>
      <c r="J65" s="5">
        <v>46467227</v>
      </c>
      <c r="K65" s="5">
        <v>65921401</v>
      </c>
      <c r="L65" s="5">
        <f>L145</f>
        <v>135046367</v>
      </c>
      <c r="M65" s="5">
        <f>M145</f>
        <v>47838602</v>
      </c>
      <c r="N65" s="5">
        <f>N145</f>
        <v>91500674</v>
      </c>
      <c r="O65" s="5">
        <f>O145</f>
        <v>67740162</v>
      </c>
      <c r="P65" s="5">
        <f>P145</f>
        <v>7377346</v>
      </c>
      <c r="Q65" s="5"/>
      <c r="W65" s="2"/>
    </row>
    <row r="66" spans="1:23">
      <c r="A66" s="138" t="s">
        <v>385</v>
      </c>
      <c r="B66" s="2"/>
      <c r="C66" s="2"/>
      <c r="D66" s="2"/>
      <c r="E66" s="2"/>
      <c r="F66" s="2"/>
      <c r="G66" s="2"/>
      <c r="H66" s="2"/>
      <c r="I66" s="2"/>
      <c r="J66" s="5"/>
      <c r="K66" s="5">
        <v>3187664</v>
      </c>
      <c r="L66" s="5">
        <f>L138</f>
        <v>3334888</v>
      </c>
      <c r="M66" s="5">
        <f>M138</f>
        <v>8179164</v>
      </c>
      <c r="N66" s="5">
        <f>N138</f>
        <v>24699518</v>
      </c>
      <c r="O66" s="5">
        <f>O138</f>
        <v>37669250</v>
      </c>
      <c r="P66" s="5">
        <f>P138</f>
        <v>3012885</v>
      </c>
      <c r="Q66" s="5"/>
      <c r="W66" s="2"/>
    </row>
    <row r="67" spans="1:23">
      <c r="A67" s="138" t="s">
        <v>386</v>
      </c>
      <c r="B67" s="2"/>
      <c r="C67" s="2">
        <v>221020</v>
      </c>
      <c r="D67" s="2">
        <v>399291</v>
      </c>
      <c r="E67" s="2">
        <v>515262</v>
      </c>
      <c r="F67" s="2">
        <v>1524529</v>
      </c>
      <c r="G67" s="2">
        <v>309110</v>
      </c>
      <c r="H67" s="2">
        <v>315586</v>
      </c>
      <c r="I67" s="2">
        <v>934998</v>
      </c>
      <c r="J67" s="5">
        <v>2923637</v>
      </c>
      <c r="K67" s="5">
        <v>3823605</v>
      </c>
      <c r="L67" s="5">
        <f>L142</f>
        <v>859850</v>
      </c>
      <c r="M67" s="5">
        <f>M142</f>
        <v>638669</v>
      </c>
      <c r="N67" s="5">
        <f>N142</f>
        <v>4222936</v>
      </c>
      <c r="O67" s="5">
        <f>O142</f>
        <v>1189847</v>
      </c>
      <c r="P67" s="5">
        <f>P142</f>
        <v>7586</v>
      </c>
      <c r="Q67" s="5"/>
      <c r="W67" s="2"/>
    </row>
    <row r="68" spans="1:23">
      <c r="A68" s="138" t="s">
        <v>387</v>
      </c>
      <c r="B68" s="2">
        <v>2902905</v>
      </c>
      <c r="C68" s="2">
        <v>15130519</v>
      </c>
      <c r="D68" s="2">
        <v>53466</v>
      </c>
      <c r="E68" s="2">
        <v>173330</v>
      </c>
      <c r="F68" s="2">
        <v>1372052</v>
      </c>
      <c r="G68" s="2">
        <v>6840</v>
      </c>
      <c r="H68" s="2">
        <v>322184</v>
      </c>
      <c r="I68" s="2">
        <v>43234538</v>
      </c>
      <c r="J68" s="5">
        <v>12294997</v>
      </c>
      <c r="K68" s="5">
        <v>45343619</v>
      </c>
      <c r="L68" s="5">
        <f>L141</f>
        <v>994757</v>
      </c>
      <c r="M68" s="5">
        <f>M141</f>
        <v>940083</v>
      </c>
      <c r="N68" s="5">
        <f>N141</f>
        <v>567425</v>
      </c>
      <c r="O68" s="5">
        <f>O141</f>
        <v>0</v>
      </c>
      <c r="P68" s="5">
        <f>P141</f>
        <v>0</v>
      </c>
      <c r="Q68" s="5"/>
      <c r="W68" s="2"/>
    </row>
    <row r="69" spans="1:23">
      <c r="A69" s="138" t="s">
        <v>388</v>
      </c>
      <c r="B69" s="2">
        <v>9539897</v>
      </c>
      <c r="C69" s="2">
        <v>42041159</v>
      </c>
      <c r="D69" s="2">
        <v>40541739</v>
      </c>
      <c r="E69" s="2">
        <v>4209831</v>
      </c>
      <c r="F69" s="2">
        <v>4514277</v>
      </c>
      <c r="G69" s="2">
        <v>12029294</v>
      </c>
      <c r="H69" s="2">
        <v>11664669</v>
      </c>
      <c r="I69" s="2"/>
      <c r="J69" s="5"/>
      <c r="K69" s="5"/>
      <c r="L69" s="5">
        <f>L143</f>
        <v>4305</v>
      </c>
      <c r="M69" s="5">
        <f>M143</f>
        <v>0</v>
      </c>
      <c r="N69" s="5">
        <f>N143</f>
        <v>0</v>
      </c>
      <c r="O69" s="5">
        <f>O143</f>
        <v>12000000</v>
      </c>
      <c r="P69" s="5">
        <f>P143</f>
        <v>0</v>
      </c>
      <c r="Q69" s="5"/>
    </row>
    <row r="70" spans="1:23">
      <c r="A70" s="138" t="s">
        <v>389</v>
      </c>
      <c r="B70" s="2"/>
      <c r="C70" s="2"/>
      <c r="D70" s="2"/>
      <c r="E70" s="2"/>
      <c r="F70" s="2"/>
      <c r="G70" s="2">
        <v>45209</v>
      </c>
      <c r="H70" s="2">
        <v>13348</v>
      </c>
      <c r="I70" s="2"/>
      <c r="J70" s="5">
        <v>25370</v>
      </c>
      <c r="K70" s="5">
        <v>155435</v>
      </c>
      <c r="L70" s="5">
        <f>L148</f>
        <v>0</v>
      </c>
      <c r="M70" s="5">
        <f>M148</f>
        <v>0</v>
      </c>
      <c r="N70" s="5">
        <f>N148</f>
        <v>0</v>
      </c>
      <c r="O70" s="5">
        <f>O148</f>
        <v>0</v>
      </c>
      <c r="P70" s="5">
        <f>P148</f>
        <v>0</v>
      </c>
      <c r="Q70" s="5"/>
    </row>
    <row r="71" spans="1:23">
      <c r="A71" s="138" t="s">
        <v>390</v>
      </c>
      <c r="B71" s="2"/>
      <c r="C71" s="2"/>
      <c r="D71" s="2"/>
      <c r="E71" s="2"/>
      <c r="F71" s="2"/>
      <c r="G71" s="2"/>
      <c r="H71" s="2"/>
      <c r="I71" s="2"/>
      <c r="J71" s="2"/>
      <c r="K71" s="2"/>
      <c r="L71" s="2"/>
      <c r="M71" s="2"/>
      <c r="N71" s="2"/>
      <c r="O71" s="2"/>
      <c r="P71" s="2"/>
      <c r="Q71" s="2"/>
    </row>
    <row r="72" spans="1:23">
      <c r="A72" s="144" t="s">
        <v>37</v>
      </c>
      <c r="B72" s="145">
        <f t="shared" ref="B72:N72" si="38">SUM(B73:B83)</f>
        <v>101388</v>
      </c>
      <c r="C72" s="145">
        <f t="shared" si="38"/>
        <v>1709550</v>
      </c>
      <c r="D72" s="145">
        <f t="shared" si="38"/>
        <v>212008</v>
      </c>
      <c r="E72" s="145">
        <f t="shared" si="38"/>
        <v>173205</v>
      </c>
      <c r="F72" s="145">
        <f t="shared" si="38"/>
        <v>95719</v>
      </c>
      <c r="G72" s="145">
        <f t="shared" si="38"/>
        <v>15781</v>
      </c>
      <c r="H72" s="145">
        <f t="shared" si="38"/>
        <v>15077</v>
      </c>
      <c r="I72" s="145">
        <f t="shared" si="38"/>
        <v>28524</v>
      </c>
      <c r="J72" s="145">
        <f t="shared" si="38"/>
        <v>202693</v>
      </c>
      <c r="K72" s="145">
        <f t="shared" si="38"/>
        <v>2741046</v>
      </c>
      <c r="L72" s="145">
        <f t="shared" si="38"/>
        <v>232474</v>
      </c>
      <c r="M72" s="145">
        <f t="shared" si="38"/>
        <v>150852</v>
      </c>
      <c r="N72" s="145">
        <f t="shared" si="38"/>
        <v>5644647</v>
      </c>
      <c r="O72" s="145">
        <f>SUM(O73:O83)</f>
        <v>1038178</v>
      </c>
      <c r="P72" s="145">
        <f>SUM(P73:P83)</f>
        <v>2369109</v>
      </c>
      <c r="Q72" s="133"/>
    </row>
    <row r="73" spans="1:23">
      <c r="A73" s="138" t="s">
        <v>380</v>
      </c>
      <c r="B73" s="2"/>
      <c r="C73" s="2"/>
      <c r="D73" s="2">
        <v>11</v>
      </c>
      <c r="E73" s="2"/>
      <c r="F73" s="2"/>
      <c r="G73" s="2"/>
      <c r="H73" s="2"/>
      <c r="I73" s="2"/>
      <c r="J73" s="2"/>
      <c r="K73" s="2"/>
      <c r="L73" s="2">
        <f>L164</f>
        <v>0</v>
      </c>
      <c r="M73" s="2">
        <f>M164</f>
        <v>0</v>
      </c>
      <c r="N73" s="2">
        <f>N164</f>
        <v>0</v>
      </c>
      <c r="O73" s="2">
        <f>O164</f>
        <v>0</v>
      </c>
      <c r="P73" s="2">
        <f>P164</f>
        <v>0</v>
      </c>
      <c r="Q73" s="2"/>
    </row>
    <row r="74" spans="1:23">
      <c r="A74" s="138" t="s">
        <v>381</v>
      </c>
      <c r="B74" s="2"/>
      <c r="C74" s="2"/>
      <c r="D74" s="2"/>
      <c r="E74" s="2"/>
      <c r="F74" s="2"/>
      <c r="G74" s="2"/>
      <c r="H74" s="2"/>
      <c r="I74" s="2"/>
      <c r="J74" s="2"/>
      <c r="K74" s="2">
        <v>137114</v>
      </c>
      <c r="L74" s="2">
        <f>L156</f>
        <v>4382</v>
      </c>
      <c r="M74" s="2">
        <f>M156</f>
        <v>36820</v>
      </c>
      <c r="N74" s="2">
        <f>N156</f>
        <v>188045</v>
      </c>
      <c r="O74" s="2">
        <f>O156</f>
        <v>187804</v>
      </c>
      <c r="P74" s="2">
        <f>P156</f>
        <v>131521</v>
      </c>
      <c r="Q74" s="2"/>
      <c r="S74" s="2"/>
      <c r="T74" s="2"/>
    </row>
    <row r="75" spans="1:23">
      <c r="A75" s="138" t="s">
        <v>382</v>
      </c>
      <c r="B75" s="2"/>
      <c r="C75" s="2"/>
      <c r="D75" s="2"/>
      <c r="E75" s="2"/>
      <c r="F75" s="2"/>
      <c r="G75" s="2"/>
      <c r="H75" s="2"/>
      <c r="I75" s="2"/>
      <c r="J75" s="2"/>
      <c r="K75" s="2"/>
      <c r="L75" s="2"/>
      <c r="M75" s="2"/>
      <c r="N75" s="2"/>
      <c r="O75" s="2"/>
      <c r="P75" s="2"/>
      <c r="Q75" s="2"/>
      <c r="S75" s="2"/>
      <c r="T75" s="2"/>
    </row>
    <row r="76" spans="1:23">
      <c r="A76" s="138" t="s">
        <v>383</v>
      </c>
      <c r="B76" s="2"/>
      <c r="C76" s="2"/>
      <c r="D76" s="2"/>
      <c r="E76" s="2"/>
      <c r="F76" s="2"/>
      <c r="G76" s="2"/>
      <c r="H76" s="2">
        <v>0</v>
      </c>
      <c r="I76" s="2">
        <v>5</v>
      </c>
      <c r="J76" s="2"/>
      <c r="K76" s="2"/>
      <c r="L76" s="2">
        <f>L157</f>
        <v>0</v>
      </c>
      <c r="M76" s="2">
        <f>M157</f>
        <v>0</v>
      </c>
      <c r="N76" s="2">
        <f>N157</f>
        <v>0</v>
      </c>
      <c r="O76" s="2">
        <f>O157</f>
        <v>0</v>
      </c>
      <c r="P76" s="2">
        <f>P157</f>
        <v>0</v>
      </c>
      <c r="Q76" s="2"/>
      <c r="S76" s="2"/>
      <c r="T76" s="2"/>
    </row>
    <row r="77" spans="1:23">
      <c r="A77" s="138" t="s">
        <v>384</v>
      </c>
      <c r="B77" s="2"/>
      <c r="C77" s="2">
        <v>47792</v>
      </c>
      <c r="D77" s="2">
        <v>112018</v>
      </c>
      <c r="E77" s="2"/>
      <c r="F77" s="2">
        <v>93978</v>
      </c>
      <c r="G77" s="2"/>
      <c r="H77" s="2"/>
      <c r="I77" s="2"/>
      <c r="J77" s="147"/>
      <c r="K77" s="5">
        <v>477</v>
      </c>
      <c r="L77" s="5">
        <f>L163</f>
        <v>0</v>
      </c>
      <c r="M77" s="5">
        <f>M163</f>
        <v>0</v>
      </c>
      <c r="N77" s="5">
        <f>N163</f>
        <v>943395</v>
      </c>
      <c r="O77" s="5">
        <f>O163</f>
        <v>532728</v>
      </c>
      <c r="P77" s="5">
        <f>P163</f>
        <v>2234646</v>
      </c>
      <c r="Q77" s="5"/>
      <c r="S77" s="2"/>
      <c r="T77" s="2"/>
    </row>
    <row r="78" spans="1:23">
      <c r="A78" s="138" t="s">
        <v>385</v>
      </c>
      <c r="B78" s="2"/>
      <c r="C78" s="2"/>
      <c r="D78" s="2"/>
      <c r="E78" s="2"/>
      <c r="F78" s="2"/>
      <c r="G78" s="2"/>
      <c r="H78" s="2"/>
      <c r="I78" s="2"/>
      <c r="J78" s="148"/>
      <c r="K78" s="148"/>
      <c r="L78" s="148"/>
      <c r="M78" s="148"/>
      <c r="N78" s="148"/>
      <c r="O78" s="148"/>
      <c r="P78" s="148"/>
      <c r="Q78" s="148"/>
      <c r="S78" s="2"/>
      <c r="T78" s="2"/>
    </row>
    <row r="79" spans="1:23">
      <c r="A79" s="138" t="s">
        <v>386</v>
      </c>
      <c r="B79" s="2"/>
      <c r="C79" s="2">
        <v>25792</v>
      </c>
      <c r="D79" s="2">
        <v>55633</v>
      </c>
      <c r="E79" s="2">
        <v>75065</v>
      </c>
      <c r="F79" s="2">
        <v>1741</v>
      </c>
      <c r="G79" s="2">
        <v>15781</v>
      </c>
      <c r="H79" s="2">
        <v>15077</v>
      </c>
      <c r="I79" s="2">
        <v>991</v>
      </c>
      <c r="J79" s="5">
        <v>2210</v>
      </c>
      <c r="K79" s="5">
        <v>29817</v>
      </c>
      <c r="L79" s="5">
        <f>L161</f>
        <v>228092</v>
      </c>
      <c r="M79" s="5">
        <f>M161</f>
        <v>105420</v>
      </c>
      <c r="N79" s="5">
        <f>N161</f>
        <v>529264</v>
      </c>
      <c r="O79" s="5">
        <f>O161</f>
        <v>317646</v>
      </c>
      <c r="P79" s="5">
        <f>P161</f>
        <v>2942</v>
      </c>
      <c r="Q79" s="5"/>
      <c r="S79" s="2"/>
      <c r="T79" s="2"/>
    </row>
    <row r="80" spans="1:23">
      <c r="A80" s="138" t="s">
        <v>387</v>
      </c>
      <c r="B80" s="2">
        <v>101388</v>
      </c>
      <c r="C80" s="2">
        <v>1635966</v>
      </c>
      <c r="D80" s="2">
        <v>17627</v>
      </c>
      <c r="E80" s="2"/>
      <c r="F80" s="2"/>
      <c r="G80" s="2"/>
      <c r="H80" s="2"/>
      <c r="I80" s="2">
        <v>27528</v>
      </c>
      <c r="J80" s="5">
        <v>168452</v>
      </c>
      <c r="K80" s="5">
        <v>2573638</v>
      </c>
      <c r="L80" s="5">
        <f>L160</f>
        <v>0</v>
      </c>
      <c r="M80" s="5">
        <f>M160</f>
        <v>8612</v>
      </c>
      <c r="N80" s="5">
        <f>N160</f>
        <v>0</v>
      </c>
      <c r="O80" s="5">
        <f>O160</f>
        <v>0</v>
      </c>
      <c r="P80" s="5">
        <f>P160</f>
        <v>0</v>
      </c>
      <c r="Q80" s="5"/>
      <c r="S80" s="2"/>
      <c r="T80" s="2"/>
    </row>
    <row r="81" spans="1:20">
      <c r="A81" s="138" t="s">
        <v>388</v>
      </c>
      <c r="B81" s="2"/>
      <c r="C81" s="2"/>
      <c r="D81" s="2">
        <v>26719</v>
      </c>
      <c r="E81" s="2">
        <v>98140</v>
      </c>
      <c r="F81" s="2"/>
      <c r="G81" s="2"/>
      <c r="H81" s="2"/>
      <c r="I81" s="2"/>
      <c r="J81" s="5">
        <v>7798</v>
      </c>
      <c r="K81" s="147"/>
      <c r="L81" s="5">
        <f>L162</f>
        <v>0</v>
      </c>
      <c r="M81" s="5">
        <f>M162</f>
        <v>0</v>
      </c>
      <c r="N81" s="5">
        <f>N162</f>
        <v>0</v>
      </c>
      <c r="O81" s="5">
        <f>O162</f>
        <v>0</v>
      </c>
      <c r="P81" s="5">
        <f>P162</f>
        <v>0</v>
      </c>
      <c r="Q81" s="5"/>
      <c r="S81" s="2"/>
      <c r="T81" s="2"/>
    </row>
    <row r="82" spans="1:20">
      <c r="A82" s="138" t="s">
        <v>389</v>
      </c>
      <c r="B82" s="2"/>
      <c r="C82" s="2"/>
      <c r="D82" s="2"/>
      <c r="E82" s="2"/>
      <c r="F82" s="2"/>
      <c r="G82" s="2"/>
      <c r="H82" s="2"/>
      <c r="I82" s="2"/>
      <c r="J82" s="2">
        <v>24233</v>
      </c>
      <c r="K82" s="2"/>
      <c r="L82" s="2">
        <f>L166</f>
        <v>0</v>
      </c>
      <c r="M82" s="2">
        <f>M166</f>
        <v>0</v>
      </c>
      <c r="N82" s="2">
        <f>N166</f>
        <v>3983943</v>
      </c>
      <c r="O82" s="2">
        <f>O166</f>
        <v>0</v>
      </c>
      <c r="P82" s="2">
        <f>P166</f>
        <v>0</v>
      </c>
      <c r="Q82" s="2"/>
      <c r="S82" s="2"/>
      <c r="T82" s="2"/>
    </row>
    <row r="83" spans="1:20">
      <c r="A83" s="138" t="s">
        <v>390</v>
      </c>
      <c r="B83" s="2"/>
      <c r="C83" s="2"/>
      <c r="D83" s="2"/>
      <c r="E83" s="2"/>
      <c r="F83" s="2"/>
      <c r="G83" s="2"/>
      <c r="H83" s="2"/>
      <c r="I83" s="2"/>
      <c r="J83" s="2"/>
      <c r="K83" s="2"/>
      <c r="L83" s="2"/>
      <c r="M83" s="2"/>
      <c r="N83" s="2"/>
      <c r="O83" s="2"/>
      <c r="P83" s="2"/>
      <c r="Q83" s="2"/>
    </row>
    <row r="84" spans="1:20">
      <c r="A84" s="144" t="s">
        <v>38</v>
      </c>
      <c r="B84" s="145">
        <f t="shared" ref="B84:N84" si="39">SUM(B85:B95)</f>
        <v>75733574</v>
      </c>
      <c r="C84" s="145">
        <f t="shared" si="39"/>
        <v>322919460</v>
      </c>
      <c r="D84" s="145">
        <f t="shared" si="39"/>
        <v>8652786</v>
      </c>
      <c r="E84" s="145">
        <f t="shared" si="39"/>
        <v>84155340</v>
      </c>
      <c r="F84" s="145">
        <f t="shared" si="39"/>
        <v>281017846</v>
      </c>
      <c r="G84" s="145">
        <f t="shared" si="39"/>
        <v>197682733</v>
      </c>
      <c r="H84" s="145">
        <f t="shared" si="39"/>
        <v>212548940</v>
      </c>
      <c r="I84" s="145">
        <f t="shared" si="39"/>
        <v>325772681</v>
      </c>
      <c r="J84" s="145">
        <f t="shared" si="39"/>
        <v>210302989</v>
      </c>
      <c r="K84" s="145">
        <f t="shared" si="39"/>
        <v>299977025</v>
      </c>
      <c r="L84" s="145">
        <f t="shared" si="39"/>
        <v>149613210</v>
      </c>
      <c r="M84" s="145">
        <f t="shared" si="39"/>
        <v>143479519</v>
      </c>
      <c r="N84" s="145">
        <f t="shared" si="39"/>
        <v>135577211</v>
      </c>
      <c r="O84" s="145">
        <f>SUM(O85:O95)</f>
        <v>105540529</v>
      </c>
      <c r="P84" s="145">
        <f>SUM(P85:P95)</f>
        <v>427314</v>
      </c>
      <c r="Q84" s="133"/>
    </row>
    <row r="85" spans="1:20">
      <c r="A85" s="138" t="s">
        <v>380</v>
      </c>
      <c r="B85" s="2"/>
      <c r="C85" s="2">
        <v>78800</v>
      </c>
      <c r="D85" s="2">
        <v>98707</v>
      </c>
      <c r="E85" s="2">
        <v>92960</v>
      </c>
      <c r="F85" s="2">
        <v>104154</v>
      </c>
      <c r="G85" s="2">
        <v>20327</v>
      </c>
      <c r="H85" s="2">
        <v>367501</v>
      </c>
      <c r="I85" s="2">
        <v>18310</v>
      </c>
      <c r="J85" s="5">
        <v>63489</v>
      </c>
      <c r="K85" s="5">
        <v>719305</v>
      </c>
      <c r="L85" s="5">
        <f>L184</f>
        <v>118151</v>
      </c>
      <c r="M85" s="5">
        <f>M184</f>
        <v>15723</v>
      </c>
      <c r="N85" s="5">
        <f>N184</f>
        <v>5502</v>
      </c>
      <c r="O85" s="5">
        <f>O184</f>
        <v>109459</v>
      </c>
      <c r="P85" s="5">
        <f>P184</f>
        <v>155</v>
      </c>
      <c r="Q85" s="5"/>
    </row>
    <row r="86" spans="1:20">
      <c r="A86" s="138" t="s">
        <v>381</v>
      </c>
      <c r="B86" s="2">
        <v>353963</v>
      </c>
      <c r="C86" s="2">
        <v>3466919</v>
      </c>
      <c r="D86" s="2">
        <v>374636</v>
      </c>
      <c r="E86" s="2">
        <v>629265</v>
      </c>
      <c r="F86" s="2">
        <v>142152</v>
      </c>
      <c r="G86" s="2">
        <v>618142</v>
      </c>
      <c r="H86" s="2">
        <v>246788</v>
      </c>
      <c r="I86" s="2">
        <v>143454</v>
      </c>
      <c r="J86" s="5">
        <v>91608</v>
      </c>
      <c r="K86" s="5">
        <v>67264</v>
      </c>
      <c r="L86" s="5">
        <f>L174</f>
        <v>1546164</v>
      </c>
      <c r="M86" s="5">
        <f>M174</f>
        <v>80910</v>
      </c>
      <c r="N86" s="5">
        <f>N174</f>
        <v>39852</v>
      </c>
      <c r="O86" s="5">
        <f>O174</f>
        <v>497103</v>
      </c>
      <c r="P86" s="5">
        <f>P174</f>
        <v>60672</v>
      </c>
      <c r="Q86" s="5"/>
    </row>
    <row r="87" spans="1:20">
      <c r="A87" s="138" t="s">
        <v>382</v>
      </c>
      <c r="B87" s="2">
        <v>1048792</v>
      </c>
      <c r="C87" s="2">
        <v>4195168</v>
      </c>
      <c r="D87" s="2">
        <v>4827457</v>
      </c>
      <c r="E87" s="2">
        <v>171191</v>
      </c>
      <c r="F87" s="2"/>
      <c r="G87" s="2"/>
      <c r="H87" s="2">
        <v>3000</v>
      </c>
      <c r="I87" s="2"/>
      <c r="J87" s="2"/>
      <c r="K87" s="5"/>
      <c r="L87" s="5">
        <f>L182</f>
        <v>0</v>
      </c>
      <c r="M87" s="5">
        <f>M182</f>
        <v>0</v>
      </c>
      <c r="N87" s="5">
        <f>N182</f>
        <v>0</v>
      </c>
      <c r="O87" s="5">
        <f>O182</f>
        <v>0</v>
      </c>
      <c r="P87" s="5">
        <f>P182</f>
        <v>0</v>
      </c>
      <c r="Q87" s="5"/>
    </row>
    <row r="88" spans="1:20">
      <c r="A88" s="138" t="s">
        <v>383</v>
      </c>
      <c r="B88" s="2">
        <v>50061329</v>
      </c>
      <c r="C88" s="2">
        <v>235287</v>
      </c>
      <c r="D88" s="2">
        <v>0</v>
      </c>
      <c r="E88" s="2"/>
      <c r="F88" s="2"/>
      <c r="G88" s="2"/>
      <c r="H88" s="2">
        <v>0</v>
      </c>
      <c r="I88" s="2"/>
      <c r="J88" s="2"/>
      <c r="K88" s="5">
        <v>971019</v>
      </c>
      <c r="L88" s="5">
        <f>L176</f>
        <v>4886308</v>
      </c>
      <c r="M88" s="5">
        <f>M176</f>
        <v>621738</v>
      </c>
      <c r="N88" s="5">
        <f>N176</f>
        <v>0</v>
      </c>
      <c r="O88" s="5">
        <f>O176</f>
        <v>0</v>
      </c>
      <c r="P88" s="5">
        <f>P176</f>
        <v>0</v>
      </c>
      <c r="Q88" s="5"/>
    </row>
    <row r="89" spans="1:20">
      <c r="A89" s="138" t="s">
        <v>384</v>
      </c>
      <c r="B89" s="2">
        <v>536185</v>
      </c>
      <c r="C89" s="2">
        <v>1950301</v>
      </c>
      <c r="D89" s="2">
        <v>1232868</v>
      </c>
      <c r="E89" s="2">
        <v>78269346</v>
      </c>
      <c r="F89" s="2">
        <v>254064945</v>
      </c>
      <c r="G89" s="2">
        <v>194354946</v>
      </c>
      <c r="H89" s="2">
        <v>206263834</v>
      </c>
      <c r="I89" s="2">
        <v>241551304</v>
      </c>
      <c r="J89" s="5">
        <v>181771952</v>
      </c>
      <c r="K89" s="5">
        <v>199239469</v>
      </c>
      <c r="L89" s="5">
        <f>L183</f>
        <v>130741895</v>
      </c>
      <c r="M89" s="5">
        <f>M183</f>
        <v>135074726</v>
      </c>
      <c r="N89" s="5">
        <f>N183</f>
        <v>127616314</v>
      </c>
      <c r="O89" s="5">
        <f>O183</f>
        <v>101241955</v>
      </c>
      <c r="P89" s="5">
        <f>P183</f>
        <v>34733</v>
      </c>
      <c r="Q89" s="5"/>
    </row>
    <row r="90" spans="1:20">
      <c r="A90" s="138" t="s">
        <v>385</v>
      </c>
      <c r="B90" s="2"/>
      <c r="C90" s="2"/>
      <c r="D90" s="2"/>
      <c r="E90" s="2"/>
      <c r="F90" s="2"/>
      <c r="G90" s="2"/>
      <c r="H90" s="2"/>
      <c r="I90" s="2"/>
      <c r="J90" s="4"/>
      <c r="K90" s="4"/>
      <c r="L90" s="4"/>
      <c r="M90" s="4"/>
      <c r="N90" s="4"/>
      <c r="O90" s="4"/>
      <c r="P90" s="4"/>
      <c r="Q90" s="4"/>
    </row>
    <row r="91" spans="1:20">
      <c r="A91" s="138" t="s">
        <v>386</v>
      </c>
      <c r="B91" s="2"/>
      <c r="C91" s="2">
        <v>638322</v>
      </c>
      <c r="D91" s="2">
        <v>1654270</v>
      </c>
      <c r="E91" s="2">
        <v>4123424</v>
      </c>
      <c r="F91" s="2">
        <v>11907196</v>
      </c>
      <c r="G91" s="2">
        <v>2188598</v>
      </c>
      <c r="H91" s="2">
        <v>2947396</v>
      </c>
      <c r="I91" s="2">
        <v>2071283</v>
      </c>
      <c r="J91" s="5">
        <v>2384504</v>
      </c>
      <c r="K91" s="5">
        <v>8507450</v>
      </c>
      <c r="L91" s="5">
        <f>L180</f>
        <v>10213899</v>
      </c>
      <c r="M91" s="5">
        <f>M180</f>
        <v>7400179</v>
      </c>
      <c r="N91" s="5">
        <f>N180</f>
        <v>4800391</v>
      </c>
      <c r="O91" s="5">
        <f>O180</f>
        <v>3666099</v>
      </c>
      <c r="P91" s="5">
        <f>P180</f>
        <v>331754</v>
      </c>
      <c r="Q91" s="5"/>
    </row>
    <row r="92" spans="1:20">
      <c r="A92" s="138" t="s">
        <v>387</v>
      </c>
      <c r="B92" s="2">
        <v>13849616</v>
      </c>
      <c r="C92" s="2">
        <v>296819853</v>
      </c>
      <c r="D92" s="2">
        <v>464398</v>
      </c>
      <c r="E92" s="2">
        <v>868794</v>
      </c>
      <c r="F92" s="2">
        <v>14428150</v>
      </c>
      <c r="G92" s="2">
        <v>17602</v>
      </c>
      <c r="H92" s="2">
        <v>2713830</v>
      </c>
      <c r="I92" s="2">
        <v>79874230</v>
      </c>
      <c r="J92" s="5">
        <v>25957741</v>
      </c>
      <c r="K92" s="5">
        <v>90472518</v>
      </c>
      <c r="L92" s="5">
        <f>L179</f>
        <v>2106793</v>
      </c>
      <c r="M92" s="5">
        <f>M179</f>
        <v>87698</v>
      </c>
      <c r="N92" s="5">
        <f>N179</f>
        <v>2996345</v>
      </c>
      <c r="O92" s="5">
        <f>O179</f>
        <v>1018</v>
      </c>
      <c r="P92" s="5">
        <f>P179</f>
        <v>0</v>
      </c>
      <c r="Q92" s="5"/>
    </row>
    <row r="93" spans="1:20">
      <c r="A93" s="138" t="s">
        <v>388</v>
      </c>
      <c r="B93" s="2">
        <v>3831349</v>
      </c>
      <c r="C93" s="2">
        <v>15534810</v>
      </c>
      <c r="D93" s="2">
        <v>450</v>
      </c>
      <c r="E93" s="2">
        <v>360</v>
      </c>
      <c r="F93" s="2">
        <v>371249</v>
      </c>
      <c r="G93" s="2">
        <v>422068</v>
      </c>
      <c r="H93" s="2">
        <v>6591</v>
      </c>
      <c r="I93" s="2">
        <v>2114100</v>
      </c>
      <c r="J93" s="147"/>
      <c r="K93" s="147"/>
      <c r="L93" s="5">
        <f>L181</f>
        <v>0</v>
      </c>
      <c r="M93" s="5">
        <f>M181</f>
        <v>198545</v>
      </c>
      <c r="N93" s="5">
        <f>N181</f>
        <v>118807</v>
      </c>
      <c r="O93" s="5">
        <f>O181</f>
        <v>24895</v>
      </c>
      <c r="P93" s="5">
        <f>P181</f>
        <v>0</v>
      </c>
      <c r="Q93" s="5"/>
    </row>
    <row r="94" spans="1:20">
      <c r="A94" s="138" t="s">
        <v>389</v>
      </c>
      <c r="B94" s="2"/>
      <c r="C94" s="2"/>
      <c r="D94" s="2"/>
      <c r="E94" s="2"/>
      <c r="F94" s="2"/>
      <c r="G94" s="2">
        <v>61050</v>
      </c>
      <c r="H94" s="2"/>
      <c r="I94" s="2"/>
      <c r="J94" s="2">
        <v>33695</v>
      </c>
      <c r="K94" s="2"/>
      <c r="L94" s="2">
        <f>L186</f>
        <v>0</v>
      </c>
      <c r="M94" s="2">
        <f>M186</f>
        <v>0</v>
      </c>
      <c r="N94" s="2">
        <f>N186</f>
        <v>0</v>
      </c>
      <c r="O94" s="2">
        <f>O186</f>
        <v>0</v>
      </c>
      <c r="P94" s="2">
        <f>P186</f>
        <v>0</v>
      </c>
      <c r="Q94" s="2"/>
    </row>
    <row r="95" spans="1:20">
      <c r="A95" s="138" t="s">
        <v>390</v>
      </c>
      <c r="B95" s="2">
        <v>6052340</v>
      </c>
      <c r="C95" s="2"/>
      <c r="D95" s="2"/>
      <c r="E95" s="2"/>
      <c r="F95" s="2"/>
      <c r="G95" s="2"/>
      <c r="H95" s="2"/>
      <c r="I95" s="2"/>
      <c r="J95" s="2"/>
      <c r="K95" s="2"/>
      <c r="L95" s="2"/>
      <c r="M95" s="2"/>
      <c r="N95" s="2"/>
      <c r="O95" s="2"/>
      <c r="P95" s="2"/>
      <c r="Q95" s="2"/>
    </row>
    <row r="96" spans="1:20">
      <c r="A96" s="144" t="s">
        <v>39</v>
      </c>
      <c r="B96" s="145">
        <f t="shared" ref="B96:N96" si="40">SUM(B97:B107)</f>
        <v>0</v>
      </c>
      <c r="C96" s="145">
        <f t="shared" si="40"/>
        <v>0</v>
      </c>
      <c r="D96" s="145">
        <f t="shared" si="40"/>
        <v>0</v>
      </c>
      <c r="E96" s="145">
        <f t="shared" si="40"/>
        <v>0</v>
      </c>
      <c r="F96" s="145">
        <f t="shared" si="40"/>
        <v>0</v>
      </c>
      <c r="G96" s="145">
        <f t="shared" si="40"/>
        <v>0</v>
      </c>
      <c r="H96" s="145">
        <f t="shared" si="40"/>
        <v>0</v>
      </c>
      <c r="I96" s="145">
        <f t="shared" si="40"/>
        <v>0</v>
      </c>
      <c r="J96" s="145">
        <f t="shared" si="40"/>
        <v>5151</v>
      </c>
      <c r="K96" s="145">
        <f t="shared" si="40"/>
        <v>6101</v>
      </c>
      <c r="L96" s="145">
        <f t="shared" si="40"/>
        <v>0</v>
      </c>
      <c r="M96" s="145">
        <f t="shared" si="40"/>
        <v>0</v>
      </c>
      <c r="N96" s="145">
        <f t="shared" si="40"/>
        <v>0</v>
      </c>
      <c r="O96" s="145">
        <f>SUM(O97:O107)</f>
        <v>0</v>
      </c>
      <c r="P96" s="145">
        <f>SUM(P97:P107)</f>
        <v>0</v>
      </c>
      <c r="Q96" s="133"/>
    </row>
    <row r="97" spans="1:17">
      <c r="A97" s="138" t="s">
        <v>380</v>
      </c>
      <c r="B97" s="2"/>
      <c r="C97" s="2"/>
      <c r="D97" s="2"/>
      <c r="E97" s="2"/>
      <c r="F97" s="2"/>
      <c r="G97" s="2"/>
      <c r="H97" s="2"/>
      <c r="I97" s="2"/>
      <c r="J97" s="2"/>
      <c r="K97" s="2"/>
      <c r="L97" s="2"/>
      <c r="M97" s="2"/>
      <c r="N97" s="2"/>
      <c r="O97" s="2"/>
      <c r="P97" s="2"/>
      <c r="Q97" s="2"/>
    </row>
    <row r="98" spans="1:17">
      <c r="A98" s="138" t="s">
        <v>381</v>
      </c>
      <c r="B98" s="2"/>
      <c r="C98" s="2"/>
      <c r="D98" s="2"/>
      <c r="E98" s="2"/>
      <c r="F98" s="2"/>
      <c r="G98" s="2"/>
      <c r="H98" s="2"/>
      <c r="I98" s="2"/>
      <c r="J98" s="2"/>
      <c r="K98" s="2"/>
      <c r="L98" s="2"/>
      <c r="M98" s="2"/>
      <c r="N98" s="2"/>
      <c r="O98" s="2"/>
      <c r="P98" s="2"/>
      <c r="Q98" s="2"/>
    </row>
    <row r="99" spans="1:17">
      <c r="A99" s="138" t="s">
        <v>382</v>
      </c>
      <c r="B99" s="2"/>
      <c r="C99" s="2"/>
      <c r="D99" s="2"/>
      <c r="E99" s="2"/>
      <c r="F99" s="2"/>
      <c r="G99" s="2"/>
      <c r="H99" s="2"/>
      <c r="I99" s="2"/>
      <c r="J99" s="2"/>
      <c r="K99" s="2"/>
      <c r="L99" s="2"/>
      <c r="M99" s="2"/>
      <c r="N99" s="2"/>
      <c r="O99" s="2"/>
      <c r="P99" s="2"/>
      <c r="Q99" s="2"/>
    </row>
    <row r="100" spans="1:17">
      <c r="A100" s="138" t="s">
        <v>383</v>
      </c>
      <c r="B100" s="2"/>
      <c r="C100" s="2"/>
      <c r="D100" s="2"/>
      <c r="E100" s="2"/>
      <c r="F100" s="2"/>
      <c r="G100" s="2"/>
      <c r="H100" s="2"/>
      <c r="I100" s="2"/>
      <c r="J100" s="2"/>
      <c r="K100" s="2"/>
      <c r="L100" s="2"/>
      <c r="M100" s="2"/>
      <c r="N100" s="2"/>
      <c r="O100" s="2"/>
      <c r="P100" s="2"/>
      <c r="Q100" s="2"/>
    </row>
    <row r="101" spans="1:17">
      <c r="A101" s="138" t="s">
        <v>384</v>
      </c>
      <c r="B101" s="2"/>
      <c r="C101" s="2"/>
      <c r="D101" s="2"/>
      <c r="E101" s="2"/>
      <c r="F101" s="2"/>
      <c r="G101" s="2"/>
      <c r="H101" s="2"/>
      <c r="I101" s="2"/>
      <c r="J101" s="2"/>
      <c r="K101" s="2"/>
      <c r="L101" s="2"/>
      <c r="M101" s="2"/>
      <c r="N101" s="2"/>
      <c r="O101" s="2"/>
      <c r="P101" s="2"/>
      <c r="Q101" s="2"/>
    </row>
    <row r="102" spans="1:17">
      <c r="A102" s="138" t="s">
        <v>385</v>
      </c>
      <c r="B102" s="2"/>
      <c r="C102" s="2"/>
      <c r="D102" s="2"/>
      <c r="E102" s="2"/>
      <c r="F102" s="2"/>
      <c r="G102" s="2"/>
      <c r="H102" s="2"/>
      <c r="I102" s="2"/>
      <c r="J102" s="2"/>
      <c r="K102" s="2"/>
      <c r="L102" s="2"/>
      <c r="M102" s="2"/>
      <c r="N102" s="2"/>
      <c r="O102" s="2"/>
      <c r="P102" s="2"/>
      <c r="Q102" s="2"/>
    </row>
    <row r="103" spans="1:17">
      <c r="A103" s="138" t="s">
        <v>386</v>
      </c>
      <c r="B103" s="2"/>
      <c r="C103" s="2"/>
      <c r="D103" s="2"/>
      <c r="E103" s="2"/>
      <c r="F103" s="2"/>
      <c r="G103" s="2"/>
      <c r="H103" s="2"/>
      <c r="I103" s="2"/>
      <c r="J103" s="2"/>
      <c r="K103" s="2">
        <v>6101</v>
      </c>
      <c r="L103" s="2"/>
      <c r="M103" s="2"/>
      <c r="N103" s="2"/>
      <c r="O103" s="2"/>
      <c r="P103" s="2"/>
      <c r="Q103" s="2"/>
    </row>
    <row r="104" spans="1:17">
      <c r="A104" s="138" t="s">
        <v>387</v>
      </c>
      <c r="B104" s="2"/>
      <c r="C104" s="2"/>
      <c r="D104" s="2"/>
      <c r="E104" s="2"/>
      <c r="F104" s="2"/>
      <c r="G104" s="2"/>
      <c r="H104" s="2"/>
      <c r="I104" s="2"/>
      <c r="J104" s="2">
        <v>5151</v>
      </c>
      <c r="K104" s="2"/>
      <c r="L104" s="2"/>
      <c r="M104" s="2"/>
      <c r="N104" s="2"/>
      <c r="O104" s="2"/>
      <c r="P104" s="2"/>
      <c r="Q104" s="2"/>
    </row>
    <row r="105" spans="1:17">
      <c r="A105" s="138" t="s">
        <v>388</v>
      </c>
      <c r="B105" s="2"/>
      <c r="C105" s="2"/>
      <c r="D105" s="2"/>
      <c r="E105" s="2"/>
      <c r="F105" s="2"/>
      <c r="G105" s="2"/>
      <c r="H105" s="2"/>
      <c r="I105" s="2"/>
      <c r="J105" s="2"/>
      <c r="K105" s="2"/>
      <c r="L105" s="2"/>
      <c r="M105" s="2"/>
      <c r="N105" s="2"/>
      <c r="O105" s="2"/>
      <c r="P105" s="2"/>
      <c r="Q105" s="2"/>
    </row>
    <row r="106" spans="1:17">
      <c r="A106" s="138" t="s">
        <v>389</v>
      </c>
      <c r="B106" s="2"/>
      <c r="C106" s="2"/>
      <c r="D106" s="2"/>
      <c r="E106" s="2"/>
      <c r="F106" s="2"/>
      <c r="G106" s="2"/>
      <c r="H106" s="2"/>
      <c r="I106" s="2"/>
      <c r="J106" s="2"/>
      <c r="K106" s="2"/>
      <c r="L106" s="2"/>
      <c r="M106" s="2"/>
      <c r="N106" s="2"/>
      <c r="O106" s="2"/>
      <c r="P106" s="2"/>
      <c r="Q106" s="2"/>
    </row>
    <row r="107" spans="1:17" ht="13.5" thickBot="1">
      <c r="A107" s="139" t="s">
        <v>390</v>
      </c>
      <c r="B107" s="149"/>
    </row>
    <row r="108" spans="1:17">
      <c r="A108" s="141"/>
      <c r="B108" s="141"/>
      <c r="C108" s="141"/>
      <c r="D108" s="141"/>
      <c r="E108" s="141"/>
      <c r="F108" s="141"/>
      <c r="G108" s="141"/>
      <c r="H108" s="141"/>
      <c r="I108" s="141"/>
      <c r="J108" s="141"/>
      <c r="K108" s="141"/>
      <c r="L108" s="141"/>
      <c r="M108" s="141"/>
      <c r="N108" s="141"/>
      <c r="O108" s="141"/>
      <c r="P108" s="141"/>
    </row>
    <row r="116" spans="1:17" ht="20.25">
      <c r="A116" s="150" t="s">
        <v>391</v>
      </c>
    </row>
    <row r="117" spans="1:17" ht="15.75">
      <c r="A117" s="128" t="s">
        <v>35</v>
      </c>
      <c r="B117" s="151">
        <f>SUM(B118:B120,B121)</f>
        <v>0</v>
      </c>
      <c r="C117" s="151">
        <f t="shared" ref="C117:O117" si="41">SUM(C118:C120,C121)</f>
        <v>0</v>
      </c>
      <c r="D117" s="151">
        <f t="shared" si="41"/>
        <v>0</v>
      </c>
      <c r="E117" s="151">
        <f t="shared" si="41"/>
        <v>414727</v>
      </c>
      <c r="F117" s="151">
        <f t="shared" si="41"/>
        <v>33360560</v>
      </c>
      <c r="G117" s="151">
        <f t="shared" si="41"/>
        <v>141648618</v>
      </c>
      <c r="H117" s="151">
        <f t="shared" si="41"/>
        <v>191729421</v>
      </c>
      <c r="I117" s="151">
        <f t="shared" si="41"/>
        <v>248432517</v>
      </c>
      <c r="J117" s="151">
        <f t="shared" si="41"/>
        <v>312704051</v>
      </c>
      <c r="K117" s="151">
        <f t="shared" si="41"/>
        <v>413922053</v>
      </c>
      <c r="L117" s="151">
        <f t="shared" si="41"/>
        <v>505831402</v>
      </c>
      <c r="M117" s="151">
        <f t="shared" si="41"/>
        <v>568382778</v>
      </c>
      <c r="N117" s="151">
        <f t="shared" si="41"/>
        <v>668481697</v>
      </c>
      <c r="O117" s="151">
        <f t="shared" si="41"/>
        <v>743922263</v>
      </c>
      <c r="P117" s="151">
        <f>SUM(P118:P120,P121)</f>
        <v>1222919</v>
      </c>
      <c r="Q117" s="151"/>
    </row>
    <row r="118" spans="1:17">
      <c r="A118" s="1" t="s">
        <v>392</v>
      </c>
      <c r="B118" s="2"/>
      <c r="C118" s="2"/>
      <c r="D118" s="2"/>
      <c r="E118" s="2">
        <v>495</v>
      </c>
      <c r="F118" s="2">
        <v>491267</v>
      </c>
      <c r="G118" s="2">
        <v>3685223</v>
      </c>
      <c r="H118" s="2">
        <v>6212280</v>
      </c>
      <c r="I118" s="2">
        <v>7691133</v>
      </c>
      <c r="J118" s="2">
        <v>8187742</v>
      </c>
      <c r="K118" s="2">
        <v>12682591</v>
      </c>
      <c r="L118" s="2">
        <v>17089332</v>
      </c>
      <c r="M118" s="2">
        <v>21715482</v>
      </c>
      <c r="N118" s="2">
        <v>26492184</v>
      </c>
      <c r="O118" s="2">
        <v>52025191</v>
      </c>
      <c r="P118" s="2"/>
      <c r="Q118" s="2"/>
    </row>
    <row r="119" spans="1:17">
      <c r="A119" s="1" t="s">
        <v>393</v>
      </c>
      <c r="B119" s="2"/>
      <c r="C119" s="2"/>
      <c r="D119" s="2"/>
      <c r="E119" s="2">
        <v>394163</v>
      </c>
      <c r="F119" s="2">
        <v>32492377</v>
      </c>
      <c r="G119" s="2">
        <v>135327420</v>
      </c>
      <c r="H119" s="2">
        <v>183145903</v>
      </c>
      <c r="I119" s="2">
        <v>238832917</v>
      </c>
      <c r="J119" s="2">
        <v>301908215</v>
      </c>
      <c r="K119" s="2">
        <v>392880230</v>
      </c>
      <c r="L119" s="2">
        <v>486735855</v>
      </c>
      <c r="M119" s="2">
        <v>540778908</v>
      </c>
      <c r="N119" s="2">
        <v>633553647</v>
      </c>
      <c r="O119" s="2">
        <v>683771313</v>
      </c>
      <c r="P119" s="2"/>
      <c r="Q119" s="2"/>
    </row>
    <row r="120" spans="1:17">
      <c r="A120" s="1" t="s">
        <v>394</v>
      </c>
      <c r="B120" s="2"/>
      <c r="C120" s="2"/>
      <c r="D120" s="2"/>
      <c r="E120" s="2">
        <v>20069</v>
      </c>
      <c r="F120" s="2">
        <v>0</v>
      </c>
      <c r="G120" s="2">
        <v>0</v>
      </c>
      <c r="H120" s="2">
        <v>0</v>
      </c>
      <c r="I120" s="2">
        <v>0</v>
      </c>
      <c r="J120" s="2">
        <v>0</v>
      </c>
      <c r="K120" s="2">
        <v>0</v>
      </c>
      <c r="L120" s="2">
        <v>0</v>
      </c>
      <c r="M120" s="2">
        <v>0</v>
      </c>
      <c r="N120" s="2">
        <v>0</v>
      </c>
      <c r="O120" s="2">
        <v>0</v>
      </c>
      <c r="P120" s="2">
        <v>67979</v>
      </c>
      <c r="Q120" s="2"/>
    </row>
    <row r="121" spans="1:17" ht="15.75">
      <c r="A121" s="128" t="s">
        <v>395</v>
      </c>
      <c r="B121" s="152">
        <f>SUM(B122:B128)</f>
        <v>0</v>
      </c>
      <c r="C121" s="152">
        <f>SUM(C122:C128)</f>
        <v>0</v>
      </c>
      <c r="D121" s="152">
        <f>SUM(D122:D128)</f>
        <v>0</v>
      </c>
      <c r="E121" s="152">
        <f>SUM(E122:E128)</f>
        <v>0</v>
      </c>
      <c r="F121" s="152">
        <f>SUM(F122:F128)</f>
        <v>376916</v>
      </c>
      <c r="G121" s="152">
        <f>SUM(G122:G129)</f>
        <v>2635975</v>
      </c>
      <c r="H121" s="152">
        <f t="shared" ref="H121:P121" si="42">SUM(H122:H129)</f>
        <v>2371238</v>
      </c>
      <c r="I121" s="152">
        <f t="shared" si="42"/>
        <v>1908467</v>
      </c>
      <c r="J121" s="152">
        <f t="shared" si="42"/>
        <v>2608094</v>
      </c>
      <c r="K121" s="152">
        <f t="shared" si="42"/>
        <v>8359232</v>
      </c>
      <c r="L121" s="152">
        <f t="shared" si="42"/>
        <v>2006215</v>
      </c>
      <c r="M121" s="152">
        <f t="shared" si="42"/>
        <v>5888388</v>
      </c>
      <c r="N121" s="152">
        <f t="shared" si="42"/>
        <v>8435866</v>
      </c>
      <c r="O121" s="152">
        <f t="shared" si="42"/>
        <v>8125759</v>
      </c>
      <c r="P121" s="152">
        <f t="shared" si="42"/>
        <v>1154940</v>
      </c>
      <c r="Q121" s="152"/>
    </row>
    <row r="122" spans="1:17">
      <c r="A122" s="1" t="s">
        <v>396</v>
      </c>
      <c r="B122" s="2"/>
      <c r="C122" s="2"/>
      <c r="D122" s="2"/>
      <c r="E122" s="2"/>
      <c r="F122" s="2"/>
      <c r="G122" s="2"/>
      <c r="H122" s="2">
        <v>0</v>
      </c>
      <c r="I122" s="2"/>
      <c r="J122" s="2"/>
      <c r="K122" s="2"/>
      <c r="L122" s="2">
        <v>79474</v>
      </c>
      <c r="M122" s="2"/>
      <c r="N122" s="2">
        <v>2907</v>
      </c>
      <c r="O122" s="2">
        <v>219156</v>
      </c>
      <c r="P122" s="2"/>
      <c r="Q122" s="2"/>
    </row>
    <row r="123" spans="1:17">
      <c r="A123" s="1" t="s">
        <v>397</v>
      </c>
      <c r="B123" s="2"/>
      <c r="C123" s="2"/>
      <c r="D123" s="2"/>
      <c r="E123" s="2"/>
      <c r="F123" s="2">
        <v>342326</v>
      </c>
      <c r="G123" s="2">
        <v>2024139</v>
      </c>
      <c r="H123" s="2">
        <v>2058045</v>
      </c>
      <c r="I123" s="2">
        <v>40073</v>
      </c>
      <c r="J123" s="2">
        <v>9969</v>
      </c>
      <c r="K123" s="2">
        <v>1273394</v>
      </c>
      <c r="L123" s="2">
        <v>713562</v>
      </c>
      <c r="M123" s="2">
        <v>5205881</v>
      </c>
      <c r="N123" s="2">
        <v>5286255</v>
      </c>
      <c r="O123" s="2">
        <v>1587010</v>
      </c>
      <c r="P123" s="2">
        <v>1130290</v>
      </c>
      <c r="Q123" s="2"/>
    </row>
    <row r="124" spans="1:17">
      <c r="A124" s="1" t="s">
        <v>398</v>
      </c>
      <c r="B124" s="2"/>
      <c r="C124" s="2"/>
      <c r="D124" s="2"/>
      <c r="E124" s="2"/>
      <c r="F124" s="2"/>
      <c r="G124" s="2">
        <v>511736</v>
      </c>
      <c r="H124" s="2"/>
      <c r="I124" s="2">
        <v>758869</v>
      </c>
      <c r="J124" s="2">
        <v>2340756</v>
      </c>
      <c r="K124" s="2">
        <v>6756856</v>
      </c>
      <c r="L124" s="2"/>
      <c r="M124" s="2"/>
      <c r="N124" s="2">
        <v>224485</v>
      </c>
      <c r="O124" s="2">
        <v>1100</v>
      </c>
      <c r="P124" s="2"/>
      <c r="Q124" s="2"/>
    </row>
    <row r="125" spans="1:17">
      <c r="A125" s="1" t="s">
        <v>399</v>
      </c>
      <c r="B125" s="2"/>
      <c r="C125" s="2"/>
      <c r="D125" s="2"/>
      <c r="E125" s="2"/>
      <c r="F125" s="2">
        <v>6647</v>
      </c>
      <c r="G125" s="2">
        <v>100100</v>
      </c>
      <c r="H125" s="2">
        <v>309260</v>
      </c>
      <c r="I125" s="2">
        <v>1102074</v>
      </c>
      <c r="J125" s="2">
        <v>251839</v>
      </c>
      <c r="K125" s="2">
        <v>270776</v>
      </c>
      <c r="L125" s="2">
        <v>192694</v>
      </c>
      <c r="M125" s="2">
        <v>188487</v>
      </c>
      <c r="N125" s="2">
        <v>184174</v>
      </c>
      <c r="O125" s="2">
        <v>118471</v>
      </c>
      <c r="P125" s="2">
        <v>24650</v>
      </c>
      <c r="Q125" s="2"/>
    </row>
    <row r="126" spans="1:17">
      <c r="A126" s="1" t="s">
        <v>400</v>
      </c>
      <c r="B126" s="2"/>
      <c r="C126" s="2"/>
      <c r="D126" s="2"/>
      <c r="E126" s="2"/>
      <c r="F126" s="2">
        <v>27943</v>
      </c>
      <c r="G126" s="2"/>
      <c r="H126" s="2"/>
      <c r="I126" s="2">
        <v>844</v>
      </c>
      <c r="J126" s="2"/>
      <c r="K126" s="2"/>
      <c r="L126" s="2"/>
      <c r="M126" s="2"/>
      <c r="N126" s="2"/>
      <c r="O126" s="2"/>
      <c r="P126" s="2"/>
      <c r="Q126" s="2"/>
    </row>
    <row r="127" spans="1:17">
      <c r="A127" s="1" t="s">
        <v>401</v>
      </c>
      <c r="B127" s="2"/>
      <c r="C127" s="2"/>
      <c r="D127" s="2"/>
      <c r="E127" s="2"/>
      <c r="F127" s="2"/>
      <c r="G127" s="2"/>
      <c r="H127" s="2">
        <v>3933</v>
      </c>
      <c r="I127" s="2">
        <v>5219</v>
      </c>
      <c r="J127" s="2"/>
      <c r="K127" s="2">
        <v>58206</v>
      </c>
      <c r="L127" s="2"/>
      <c r="M127" s="2"/>
      <c r="N127" s="2"/>
      <c r="O127" s="2"/>
      <c r="P127" s="2"/>
      <c r="Q127" s="2"/>
    </row>
    <row r="128" spans="1:17">
      <c r="A128" s="1" t="s">
        <v>402</v>
      </c>
      <c r="B128" s="2"/>
      <c r="C128" s="2"/>
      <c r="D128" s="2"/>
      <c r="E128" s="2"/>
      <c r="F128" s="2"/>
      <c r="G128" s="2"/>
      <c r="H128" s="2"/>
      <c r="I128" s="2">
        <v>1388</v>
      </c>
      <c r="J128" s="2">
        <v>5530</v>
      </c>
      <c r="K128" s="2"/>
      <c r="L128" s="2"/>
      <c r="M128" s="2"/>
      <c r="N128" s="2"/>
    </row>
    <row r="129" spans="1:17">
      <c r="A129" s="153" t="s">
        <v>403</v>
      </c>
      <c r="B129" s="147"/>
      <c r="C129" s="147"/>
      <c r="D129" s="147"/>
      <c r="E129" s="147"/>
      <c r="F129" s="147"/>
      <c r="G129" s="147"/>
      <c r="H129" s="147"/>
      <c r="I129" s="147"/>
      <c r="J129" s="147"/>
      <c r="K129" s="147"/>
      <c r="L129" s="147">
        <v>1020485</v>
      </c>
      <c r="M129" s="147">
        <v>494020</v>
      </c>
      <c r="N129" s="147">
        <v>2738045</v>
      </c>
      <c r="O129" s="147">
        <v>6200022</v>
      </c>
      <c r="P129" s="154"/>
      <c r="Q129" s="154"/>
    </row>
    <row r="131" spans="1:17" ht="15.75">
      <c r="A131" s="128" t="s">
        <v>36</v>
      </c>
      <c r="B131" s="151">
        <f>SUM(B132:B134,B135)</f>
        <v>306416149</v>
      </c>
      <c r="C131" s="151">
        <f t="shared" ref="C131:P131" si="43">SUM(C132:C134,C135)</f>
        <v>1614969932</v>
      </c>
      <c r="D131" s="151">
        <f t="shared" si="43"/>
        <v>1652159643</v>
      </c>
      <c r="E131" s="151">
        <f t="shared" si="43"/>
        <v>2653478977</v>
      </c>
      <c r="F131" s="151">
        <f t="shared" si="43"/>
        <v>2612432642</v>
      </c>
      <c r="G131" s="151">
        <f t="shared" si="43"/>
        <v>2747294802</v>
      </c>
      <c r="H131" s="151">
        <f t="shared" si="43"/>
        <v>3952012789</v>
      </c>
      <c r="I131" s="151">
        <f t="shared" si="43"/>
        <v>3827017647</v>
      </c>
      <c r="J131" s="151">
        <f t="shared" si="43"/>
        <v>3829886157</v>
      </c>
      <c r="K131" s="151">
        <f t="shared" si="43"/>
        <v>4077330569</v>
      </c>
      <c r="L131" s="151">
        <f t="shared" si="43"/>
        <v>4341589702</v>
      </c>
      <c r="M131" s="151">
        <f t="shared" si="43"/>
        <v>4819563859</v>
      </c>
      <c r="N131" s="151">
        <f t="shared" si="43"/>
        <v>5679814847</v>
      </c>
      <c r="O131" s="151">
        <f>SUM(O132:O134,O135)</f>
        <v>7167066979</v>
      </c>
      <c r="P131" s="151">
        <f t="shared" si="43"/>
        <v>979427447</v>
      </c>
      <c r="Q131" s="151"/>
    </row>
    <row r="132" spans="1:17">
      <c r="A132" s="1" t="s">
        <v>392</v>
      </c>
      <c r="B132" s="6">
        <v>39785980</v>
      </c>
      <c r="C132" s="6">
        <v>172688103</v>
      </c>
      <c r="D132" s="6">
        <v>48642564</v>
      </c>
      <c r="E132" s="6">
        <v>93052527</v>
      </c>
      <c r="F132" s="6">
        <v>78071167</v>
      </c>
      <c r="G132" s="6">
        <v>77920988</v>
      </c>
      <c r="H132" s="6">
        <v>97944153</v>
      </c>
      <c r="I132" s="6">
        <v>100044869</v>
      </c>
      <c r="J132" s="6">
        <v>106342336</v>
      </c>
      <c r="K132" s="6">
        <v>123165055</v>
      </c>
      <c r="L132" s="6">
        <v>140255096</v>
      </c>
      <c r="M132" s="6">
        <v>171819690</v>
      </c>
      <c r="N132" s="6">
        <v>151152543</v>
      </c>
      <c r="O132" s="6">
        <v>265471820</v>
      </c>
      <c r="P132" s="6"/>
      <c r="Q132" s="6"/>
    </row>
    <row r="133" spans="1:17">
      <c r="A133" s="1" t="s">
        <v>393</v>
      </c>
      <c r="B133" s="6">
        <v>211697915</v>
      </c>
      <c r="C133" s="6">
        <v>1296104634</v>
      </c>
      <c r="D133" s="6">
        <v>1498311219</v>
      </c>
      <c r="E133" s="6">
        <v>2408266612</v>
      </c>
      <c r="F133" s="6">
        <v>2399058140</v>
      </c>
      <c r="G133" s="6">
        <v>2536030684</v>
      </c>
      <c r="H133" s="6">
        <v>3536489628</v>
      </c>
      <c r="I133" s="6">
        <v>3382684786</v>
      </c>
      <c r="J133" s="6">
        <v>3446868254</v>
      </c>
      <c r="K133" s="6">
        <v>3551453604</v>
      </c>
      <c r="L133" s="6">
        <v>3636525700</v>
      </c>
      <c r="M133" s="6">
        <v>4088344997</v>
      </c>
      <c r="N133" s="6">
        <v>4758591693</v>
      </c>
      <c r="O133" s="6">
        <v>5928584065</v>
      </c>
      <c r="P133" s="6"/>
      <c r="Q133" s="6"/>
    </row>
    <row r="134" spans="1:17">
      <c r="A134" s="1" t="s">
        <v>394</v>
      </c>
      <c r="B134" s="6">
        <v>31990817</v>
      </c>
      <c r="C134" s="6">
        <v>87366593</v>
      </c>
      <c r="D134" s="6">
        <v>97022468</v>
      </c>
      <c r="E134" s="6">
        <v>135486643</v>
      </c>
      <c r="F134" s="6">
        <v>122473882</v>
      </c>
      <c r="G134" s="6">
        <v>130339764</v>
      </c>
      <c r="H134" s="6">
        <v>245135392</v>
      </c>
      <c r="I134" s="6">
        <v>245171458</v>
      </c>
      <c r="J134" s="6">
        <v>245199991</v>
      </c>
      <c r="K134" s="6">
        <v>344153901</v>
      </c>
      <c r="L134" s="6">
        <v>511752623</v>
      </c>
      <c r="M134" s="6">
        <v>545711955</v>
      </c>
      <c r="N134" s="6">
        <v>728710359</v>
      </c>
      <c r="O134" s="6">
        <v>923272025</v>
      </c>
      <c r="P134" s="6">
        <v>972498916</v>
      </c>
      <c r="Q134" s="6"/>
    </row>
    <row r="135" spans="1:17" ht="15.75">
      <c r="A135" s="128" t="s">
        <v>395</v>
      </c>
      <c r="B135" s="152">
        <f>SUM(B136:B142)</f>
        <v>22941437</v>
      </c>
      <c r="C135" s="152">
        <f t="shared" ref="C135:L135" si="44">SUM(C136:C142)</f>
        <v>58810602</v>
      </c>
      <c r="D135" s="152">
        <f t="shared" si="44"/>
        <v>8183392</v>
      </c>
      <c r="E135" s="152">
        <f t="shared" si="44"/>
        <v>16673195</v>
      </c>
      <c r="F135" s="152">
        <f t="shared" si="44"/>
        <v>12829453</v>
      </c>
      <c r="G135" s="152">
        <f t="shared" si="44"/>
        <v>3003366</v>
      </c>
      <c r="H135" s="152">
        <f t="shared" si="44"/>
        <v>72443616</v>
      </c>
      <c r="I135" s="152">
        <f t="shared" si="44"/>
        <v>99116534</v>
      </c>
      <c r="J135" s="152">
        <f t="shared" si="44"/>
        <v>31475576</v>
      </c>
      <c r="K135" s="152">
        <f t="shared" si="44"/>
        <v>58558009</v>
      </c>
      <c r="L135" s="152">
        <f t="shared" si="44"/>
        <v>53056283</v>
      </c>
      <c r="M135" s="152">
        <f>SUM(M136:M142)</f>
        <v>13687217</v>
      </c>
      <c r="N135" s="152">
        <f>SUM(N136:N142)</f>
        <v>41360252</v>
      </c>
      <c r="O135" s="152">
        <f>SUM(O136:O142)</f>
        <v>49739069</v>
      </c>
      <c r="P135" s="152">
        <f>SUM(P136:P142)</f>
        <v>6928531</v>
      </c>
      <c r="Q135" s="152"/>
    </row>
    <row r="136" spans="1:17">
      <c r="A136" s="1" t="s">
        <v>404</v>
      </c>
      <c r="B136" s="6">
        <v>77147</v>
      </c>
      <c r="C136" s="6">
        <v>65977</v>
      </c>
      <c r="D136" s="6">
        <v>108545</v>
      </c>
      <c r="E136" s="6">
        <v>172124</v>
      </c>
      <c r="F136" s="6">
        <v>915386</v>
      </c>
      <c r="G136" s="6">
        <v>63042</v>
      </c>
      <c r="H136" s="6">
        <v>1016216</v>
      </c>
      <c r="I136" s="6">
        <v>2137671</v>
      </c>
      <c r="J136" s="6">
        <v>185482</v>
      </c>
      <c r="K136" s="6">
        <v>344209</v>
      </c>
      <c r="L136" s="6">
        <v>168622</v>
      </c>
      <c r="M136" s="6">
        <v>170062</v>
      </c>
      <c r="N136" s="6">
        <v>4023453</v>
      </c>
      <c r="O136" s="6">
        <v>2330849</v>
      </c>
      <c r="P136" s="6">
        <v>1769955</v>
      </c>
      <c r="Q136" s="6"/>
    </row>
    <row r="137" spans="1:17">
      <c r="A137" s="1" t="s">
        <v>396</v>
      </c>
      <c r="B137" s="6">
        <v>6919575</v>
      </c>
      <c r="C137" s="6">
        <v>582000</v>
      </c>
      <c r="D137" s="6"/>
      <c r="E137" s="6">
        <v>7278935</v>
      </c>
      <c r="F137" s="6">
        <v>2184121</v>
      </c>
      <c r="G137" s="6">
        <v>9725</v>
      </c>
      <c r="H137" s="6">
        <v>65009875</v>
      </c>
      <c r="I137" s="6">
        <v>36004670</v>
      </c>
      <c r="J137" s="6"/>
      <c r="K137" s="6"/>
      <c r="L137" s="6">
        <v>16254262</v>
      </c>
      <c r="M137" s="6">
        <v>37458</v>
      </c>
      <c r="N137" s="6">
        <v>1422</v>
      </c>
      <c r="O137" s="6"/>
      <c r="P137" s="6"/>
      <c r="Q137" s="6"/>
    </row>
    <row r="138" spans="1:17">
      <c r="A138" s="1" t="s">
        <v>405</v>
      </c>
      <c r="B138" s="6"/>
      <c r="C138" s="6"/>
      <c r="D138" s="6"/>
      <c r="E138" s="6"/>
      <c r="F138" s="6"/>
      <c r="G138" s="6"/>
      <c r="H138" s="6"/>
      <c r="I138" s="6"/>
      <c r="J138" s="6"/>
      <c r="K138" s="6">
        <v>3187664</v>
      </c>
      <c r="L138" s="6">
        <v>3334888</v>
      </c>
      <c r="M138" s="6">
        <v>8179164</v>
      </c>
      <c r="N138" s="6">
        <v>24699518</v>
      </c>
      <c r="O138" s="6">
        <v>37669250</v>
      </c>
      <c r="P138" s="6">
        <v>3012885</v>
      </c>
      <c r="Q138" s="6"/>
    </row>
    <row r="139" spans="1:17">
      <c r="A139" s="1" t="s">
        <v>406</v>
      </c>
      <c r="B139" s="6"/>
      <c r="C139" s="6">
        <v>6851</v>
      </c>
      <c r="D139" s="6">
        <v>6699</v>
      </c>
      <c r="E139" s="6">
        <v>4433491</v>
      </c>
      <c r="F139" s="6"/>
      <c r="G139" s="6">
        <v>10416</v>
      </c>
      <c r="H139" s="6"/>
      <c r="I139" s="6"/>
      <c r="J139" s="6">
        <v>84383</v>
      </c>
      <c r="K139" s="6"/>
      <c r="L139" s="6"/>
      <c r="M139" s="6"/>
      <c r="N139" s="6"/>
      <c r="O139" s="6">
        <v>5840918</v>
      </c>
      <c r="P139" s="6"/>
      <c r="Q139" s="6"/>
    </row>
    <row r="140" spans="1:17">
      <c r="A140" s="1" t="s">
        <v>397</v>
      </c>
      <c r="B140" s="6">
        <v>13041810</v>
      </c>
      <c r="C140" s="6">
        <v>42804235</v>
      </c>
      <c r="D140" s="6">
        <v>7615391</v>
      </c>
      <c r="E140" s="6">
        <v>4100053</v>
      </c>
      <c r="F140" s="6">
        <v>6833365</v>
      </c>
      <c r="G140" s="6">
        <v>2604233</v>
      </c>
      <c r="H140" s="6">
        <v>5779755</v>
      </c>
      <c r="I140" s="6">
        <v>16804657</v>
      </c>
      <c r="J140" s="6">
        <v>15987077</v>
      </c>
      <c r="K140" s="6">
        <v>5858912</v>
      </c>
      <c r="L140" s="6">
        <v>31443904</v>
      </c>
      <c r="M140" s="6">
        <v>3721781</v>
      </c>
      <c r="N140" s="6">
        <v>7845498</v>
      </c>
      <c r="O140" s="6">
        <v>2708205</v>
      </c>
      <c r="P140" s="6">
        <v>2138105</v>
      </c>
      <c r="Q140" s="6"/>
    </row>
    <row r="141" spans="1:17">
      <c r="A141" s="1" t="s">
        <v>398</v>
      </c>
      <c r="B141" s="6">
        <v>2902905</v>
      </c>
      <c r="C141" s="6">
        <v>15130519</v>
      </c>
      <c r="D141" s="6">
        <v>53466</v>
      </c>
      <c r="E141" s="6">
        <v>173330</v>
      </c>
      <c r="F141" s="6">
        <v>1372052</v>
      </c>
      <c r="G141" s="6">
        <v>6840</v>
      </c>
      <c r="H141" s="6">
        <v>322184</v>
      </c>
      <c r="I141" s="6">
        <v>43234538</v>
      </c>
      <c r="J141" s="6">
        <v>12294997</v>
      </c>
      <c r="K141" s="6">
        <v>45343619</v>
      </c>
      <c r="L141" s="6">
        <v>994757</v>
      </c>
      <c r="M141" s="6">
        <v>940083</v>
      </c>
      <c r="N141" s="6">
        <v>567425</v>
      </c>
      <c r="O141" s="6"/>
      <c r="P141" s="6"/>
      <c r="Q141" s="6"/>
    </row>
    <row r="142" spans="1:17">
      <c r="A142" s="1" t="s">
        <v>399</v>
      </c>
      <c r="B142" s="6"/>
      <c r="C142" s="6">
        <v>221020</v>
      </c>
      <c r="D142" s="6">
        <v>399291</v>
      </c>
      <c r="E142" s="6">
        <v>515262</v>
      </c>
      <c r="F142" s="6">
        <v>1524529</v>
      </c>
      <c r="G142" s="6">
        <v>309110</v>
      </c>
      <c r="H142" s="6">
        <v>315586</v>
      </c>
      <c r="I142" s="6">
        <v>934998</v>
      </c>
      <c r="J142" s="6">
        <v>2923637</v>
      </c>
      <c r="K142" s="6">
        <v>3823605</v>
      </c>
      <c r="L142" s="6">
        <v>859850</v>
      </c>
      <c r="M142" s="6">
        <v>638669</v>
      </c>
      <c r="N142" s="6">
        <v>4222936</v>
      </c>
      <c r="O142" s="6">
        <v>1189847</v>
      </c>
      <c r="P142" s="6">
        <v>7586</v>
      </c>
      <c r="Q142" s="6"/>
    </row>
    <row r="143" spans="1:17">
      <c r="A143" s="1" t="s">
        <v>407</v>
      </c>
      <c r="B143" s="6">
        <v>9539897</v>
      </c>
      <c r="C143" s="6">
        <v>42041159</v>
      </c>
      <c r="D143" s="6">
        <v>40541739</v>
      </c>
      <c r="E143" s="6">
        <v>4209831</v>
      </c>
      <c r="F143" s="6">
        <v>4514277</v>
      </c>
      <c r="G143" s="6">
        <v>12029294</v>
      </c>
      <c r="H143" s="6">
        <v>11664669</v>
      </c>
      <c r="I143" s="6"/>
      <c r="J143" s="6"/>
      <c r="K143" s="6"/>
      <c r="L143" s="6">
        <v>4305</v>
      </c>
      <c r="M143" s="6"/>
      <c r="N143" s="6"/>
      <c r="O143" s="6">
        <v>12000000</v>
      </c>
      <c r="P143" s="6"/>
      <c r="Q143" s="6"/>
    </row>
    <row r="144" spans="1:17">
      <c r="A144" s="1" t="s">
        <v>408</v>
      </c>
      <c r="B144" s="6"/>
      <c r="C144" s="6">
        <v>9000</v>
      </c>
      <c r="D144" s="6"/>
      <c r="E144" s="6">
        <v>8946</v>
      </c>
      <c r="F144" s="6"/>
      <c r="G144" s="6"/>
      <c r="H144" s="6"/>
      <c r="I144" s="6"/>
      <c r="J144" s="6"/>
      <c r="K144" s="6"/>
      <c r="L144" s="6"/>
      <c r="M144" s="6">
        <v>46179</v>
      </c>
      <c r="N144" s="6">
        <v>40001</v>
      </c>
      <c r="O144" s="6">
        <v>7134963</v>
      </c>
      <c r="P144" s="6">
        <v>4105711</v>
      </c>
      <c r="Q144" s="6"/>
    </row>
    <row r="145" spans="1:17">
      <c r="A145" s="1" t="s">
        <v>400</v>
      </c>
      <c r="B145" s="6">
        <v>3718775</v>
      </c>
      <c r="C145" s="6">
        <v>7502825</v>
      </c>
      <c r="D145" s="6">
        <v>40791273</v>
      </c>
      <c r="E145" s="6">
        <v>79744083</v>
      </c>
      <c r="F145" s="6">
        <v>81303420</v>
      </c>
      <c r="G145" s="6">
        <v>29940361</v>
      </c>
      <c r="H145" s="6">
        <v>36556846</v>
      </c>
      <c r="I145" s="6">
        <v>10202154</v>
      </c>
      <c r="J145" s="6">
        <v>46467227</v>
      </c>
      <c r="K145" s="6">
        <v>65921401</v>
      </c>
      <c r="L145" s="6">
        <v>135046367</v>
      </c>
      <c r="M145" s="6">
        <v>47838602</v>
      </c>
      <c r="N145" s="6">
        <v>91500674</v>
      </c>
      <c r="O145" s="6">
        <v>67740162</v>
      </c>
      <c r="P145" s="6">
        <v>7377346</v>
      </c>
      <c r="Q145" s="6"/>
    </row>
    <row r="146" spans="1:17">
      <c r="A146" s="1" t="s">
        <v>409</v>
      </c>
      <c r="B146" s="6">
        <v>76007</v>
      </c>
      <c r="C146" s="6">
        <v>8</v>
      </c>
      <c r="D146" s="6">
        <v>525</v>
      </c>
      <c r="E146" s="6">
        <v>46970</v>
      </c>
      <c r="F146" s="6">
        <v>50080</v>
      </c>
      <c r="G146" s="6">
        <v>1144</v>
      </c>
      <c r="H146" s="6">
        <v>109217</v>
      </c>
      <c r="I146" s="6">
        <v>9673</v>
      </c>
      <c r="J146" s="6">
        <v>113</v>
      </c>
      <c r="K146" s="6">
        <v>329553</v>
      </c>
      <c r="L146" s="6">
        <v>15482</v>
      </c>
      <c r="M146" s="6">
        <v>6277</v>
      </c>
      <c r="N146" s="6">
        <v>23837</v>
      </c>
      <c r="O146" s="6">
        <v>286</v>
      </c>
      <c r="P146" s="6"/>
      <c r="Q146" s="6"/>
    </row>
    <row r="147" spans="1:17">
      <c r="A147" s="1" t="s">
        <v>401</v>
      </c>
      <c r="B147" s="6">
        <v>770313</v>
      </c>
      <c r="C147" s="6">
        <v>3975949</v>
      </c>
      <c r="D147" s="6">
        <v>1326539</v>
      </c>
      <c r="E147" s="6">
        <v>933634</v>
      </c>
      <c r="F147" s="6">
        <v>183400</v>
      </c>
      <c r="G147" s="6">
        <v>265641</v>
      </c>
      <c r="H147" s="6">
        <v>409103</v>
      </c>
      <c r="I147" s="6">
        <v>2197172</v>
      </c>
      <c r="J147" s="6">
        <v>1698471</v>
      </c>
      <c r="K147" s="6">
        <v>628529</v>
      </c>
      <c r="L147" s="6">
        <v>21497</v>
      </c>
      <c r="M147" s="6">
        <v>329637</v>
      </c>
      <c r="N147" s="6">
        <v>3817</v>
      </c>
      <c r="O147" s="6">
        <v>30331</v>
      </c>
      <c r="P147" s="6">
        <v>1469</v>
      </c>
      <c r="Q147" s="6"/>
    </row>
    <row r="148" spans="1:17">
      <c r="A148" s="1" t="s">
        <v>402</v>
      </c>
      <c r="B148" s="6"/>
      <c r="C148" s="6"/>
      <c r="D148" s="6"/>
      <c r="E148" s="6"/>
      <c r="F148" s="6"/>
      <c r="G148" s="6">
        <v>45209</v>
      </c>
      <c r="H148" s="6">
        <v>13348</v>
      </c>
      <c r="I148" s="6"/>
      <c r="J148" s="6">
        <v>25370</v>
      </c>
      <c r="K148" s="6">
        <v>155435</v>
      </c>
      <c r="L148" s="6"/>
      <c r="M148" s="6"/>
      <c r="N148" s="6"/>
      <c r="O148" s="6"/>
      <c r="P148" s="6"/>
      <c r="Q148" s="6"/>
    </row>
    <row r="149" spans="1:17">
      <c r="A149" s="153" t="s">
        <v>403</v>
      </c>
      <c r="B149" s="6"/>
      <c r="C149" s="6"/>
      <c r="D149" s="6"/>
      <c r="E149" s="6"/>
      <c r="F149" s="6"/>
      <c r="G149" s="6"/>
      <c r="H149" s="6"/>
      <c r="I149" s="6"/>
      <c r="J149" s="6"/>
      <c r="K149" s="6"/>
      <c r="L149" s="155">
        <v>11891716</v>
      </c>
      <c r="M149" s="155">
        <v>310591</v>
      </c>
      <c r="N149" s="155">
        <v>14587971</v>
      </c>
      <c r="O149" s="155">
        <v>81321123</v>
      </c>
      <c r="P149" s="6"/>
      <c r="Q149" s="6"/>
    </row>
    <row r="151" spans="1:17" ht="15.75">
      <c r="A151" s="128" t="s">
        <v>37</v>
      </c>
      <c r="B151" s="151">
        <f>SUM(B152:B154,B155)</f>
        <v>28555199</v>
      </c>
      <c r="C151" s="151">
        <f t="shared" ref="C151:P151" si="45">SUM(C152:C154,C155)</f>
        <v>225869731</v>
      </c>
      <c r="D151" s="151">
        <f t="shared" si="45"/>
        <v>625664947</v>
      </c>
      <c r="E151" s="151">
        <f t="shared" si="45"/>
        <v>557540362</v>
      </c>
      <c r="F151" s="151">
        <f t="shared" si="45"/>
        <v>142737205</v>
      </c>
      <c r="G151" s="151">
        <f t="shared" si="45"/>
        <v>145437606</v>
      </c>
      <c r="H151" s="151">
        <f t="shared" si="45"/>
        <v>98091000</v>
      </c>
      <c r="I151" s="151">
        <f t="shared" si="45"/>
        <v>144843843</v>
      </c>
      <c r="J151" s="151">
        <f t="shared" si="45"/>
        <v>179294383</v>
      </c>
      <c r="K151" s="151">
        <f t="shared" si="45"/>
        <v>322231365</v>
      </c>
      <c r="L151" s="151">
        <f t="shared" si="45"/>
        <v>332483890</v>
      </c>
      <c r="M151" s="151">
        <f t="shared" si="45"/>
        <v>233566571</v>
      </c>
      <c r="N151" s="151">
        <f t="shared" si="45"/>
        <v>340205413</v>
      </c>
      <c r="O151" s="151">
        <f t="shared" si="45"/>
        <v>252820612</v>
      </c>
      <c r="P151" s="151">
        <f t="shared" si="45"/>
        <v>48334813</v>
      </c>
      <c r="Q151" s="151"/>
    </row>
    <row r="152" spans="1:17">
      <c r="A152" s="1" t="s">
        <v>392</v>
      </c>
      <c r="B152" s="6">
        <v>1997710</v>
      </c>
      <c r="C152" s="6">
        <v>19047971</v>
      </c>
      <c r="D152" s="6">
        <v>22972102</v>
      </c>
      <c r="E152" s="6">
        <v>22877544</v>
      </c>
      <c r="F152" s="6">
        <v>4229359</v>
      </c>
      <c r="G152" s="6">
        <v>7925878</v>
      </c>
      <c r="H152" s="6">
        <v>963446</v>
      </c>
      <c r="I152" s="6">
        <v>9395200</v>
      </c>
      <c r="J152" s="6">
        <v>2600689</v>
      </c>
      <c r="K152" s="6">
        <v>1919711</v>
      </c>
      <c r="L152" s="6">
        <v>7723718</v>
      </c>
      <c r="M152" s="6">
        <v>7841263</v>
      </c>
      <c r="N152" s="6">
        <v>6903859</v>
      </c>
      <c r="O152" s="6">
        <v>9358170</v>
      </c>
      <c r="P152" s="6"/>
      <c r="Q152" s="6"/>
    </row>
    <row r="153" spans="1:17">
      <c r="A153" s="1" t="s">
        <v>393</v>
      </c>
      <c r="B153" s="6">
        <v>26390833</v>
      </c>
      <c r="C153" s="6">
        <v>201490381</v>
      </c>
      <c r="D153" s="6">
        <v>571462637</v>
      </c>
      <c r="E153" s="6">
        <v>525788814</v>
      </c>
      <c r="F153" s="6">
        <v>138287420</v>
      </c>
      <c r="G153" s="6">
        <v>137233601</v>
      </c>
      <c r="H153" s="6">
        <v>96969260</v>
      </c>
      <c r="I153" s="6">
        <v>135327591</v>
      </c>
      <c r="J153" s="6">
        <v>175535962</v>
      </c>
      <c r="K153" s="6">
        <v>317357827</v>
      </c>
      <c r="L153" s="6">
        <v>324512674</v>
      </c>
      <c r="M153" s="6">
        <v>224221540</v>
      </c>
      <c r="N153" s="6">
        <v>298932895</v>
      </c>
      <c r="O153" s="6">
        <v>174238256</v>
      </c>
      <c r="P153" s="6"/>
      <c r="Q153" s="6"/>
    </row>
    <row r="154" spans="1:17">
      <c r="A154" s="1" t="s">
        <v>394</v>
      </c>
      <c r="B154" s="6"/>
      <c r="C154" s="6">
        <v>21550</v>
      </c>
      <c r="D154" s="6">
        <v>1308704</v>
      </c>
      <c r="E154" s="6">
        <v>2454630</v>
      </c>
      <c r="F154" s="6"/>
      <c r="G154" s="6"/>
      <c r="H154" s="6">
        <v>10253</v>
      </c>
      <c r="I154" s="6"/>
      <c r="J154" s="6">
        <v>58659</v>
      </c>
      <c r="K154" s="6"/>
      <c r="L154" s="6"/>
      <c r="M154" s="6">
        <v>487164</v>
      </c>
      <c r="N154" s="6">
        <v>21714860</v>
      </c>
      <c r="O154" s="6">
        <v>65752652</v>
      </c>
      <c r="P154" s="6">
        <v>45963601</v>
      </c>
      <c r="Q154" s="6"/>
    </row>
    <row r="155" spans="1:17" ht="15.75">
      <c r="A155" s="128" t="s">
        <v>395</v>
      </c>
      <c r="B155" s="152">
        <f>SUM(B156:B166)</f>
        <v>166656</v>
      </c>
      <c r="C155" s="152">
        <f t="shared" ref="C155:O155" si="46">SUM(C156:C166)</f>
        <v>5309829</v>
      </c>
      <c r="D155" s="152">
        <f t="shared" si="46"/>
        <v>29921504</v>
      </c>
      <c r="E155" s="152">
        <f t="shared" si="46"/>
        <v>6419374</v>
      </c>
      <c r="F155" s="152">
        <f t="shared" si="46"/>
        <v>220426</v>
      </c>
      <c r="G155" s="152">
        <f t="shared" si="46"/>
        <v>278127</v>
      </c>
      <c r="H155" s="152">
        <f t="shared" si="46"/>
        <v>148041</v>
      </c>
      <c r="I155" s="152">
        <f t="shared" si="46"/>
        <v>121052</v>
      </c>
      <c r="J155" s="152">
        <f t="shared" si="46"/>
        <v>1099073</v>
      </c>
      <c r="K155" s="152">
        <f t="shared" si="46"/>
        <v>2953827</v>
      </c>
      <c r="L155" s="152">
        <f t="shared" si="46"/>
        <v>247498</v>
      </c>
      <c r="M155" s="152">
        <f t="shared" si="46"/>
        <v>1016604</v>
      </c>
      <c r="N155" s="152">
        <f t="shared" si="46"/>
        <v>12653799</v>
      </c>
      <c r="O155" s="152">
        <f t="shared" si="46"/>
        <v>3471534</v>
      </c>
      <c r="P155" s="152">
        <f>SUM(P156:P166)</f>
        <v>2371212</v>
      </c>
      <c r="Q155" s="152"/>
    </row>
    <row r="156" spans="1:17">
      <c r="A156" s="1" t="s">
        <v>404</v>
      </c>
      <c r="B156" s="2"/>
      <c r="C156" s="2"/>
      <c r="D156" s="2"/>
      <c r="E156" s="2"/>
      <c r="F156" s="2"/>
      <c r="G156" s="2"/>
      <c r="H156" s="2"/>
      <c r="I156" s="2"/>
      <c r="J156" s="2"/>
      <c r="K156" s="2">
        <v>137114</v>
      </c>
      <c r="L156" s="2">
        <v>4382</v>
      </c>
      <c r="M156" s="2">
        <v>36820</v>
      </c>
      <c r="N156" s="2">
        <v>188045</v>
      </c>
      <c r="O156" s="2">
        <v>187804</v>
      </c>
      <c r="P156" s="2">
        <v>131521</v>
      </c>
      <c r="Q156" s="2"/>
    </row>
    <row r="157" spans="1:17">
      <c r="A157" s="1" t="s">
        <v>396</v>
      </c>
      <c r="B157" s="2"/>
      <c r="C157" s="2"/>
      <c r="D157" s="2"/>
      <c r="E157" s="2"/>
      <c r="F157" s="2"/>
      <c r="G157" s="2"/>
      <c r="H157" s="2">
        <v>0</v>
      </c>
      <c r="I157" s="2">
        <v>5</v>
      </c>
      <c r="J157" s="2"/>
      <c r="K157" s="2"/>
      <c r="L157" s="2"/>
      <c r="M157" s="2"/>
      <c r="N157" s="2"/>
      <c r="O157" s="2"/>
      <c r="P157" s="2"/>
      <c r="Q157" s="2"/>
    </row>
    <row r="158" spans="1:17">
      <c r="A158" s="1" t="s">
        <v>406</v>
      </c>
      <c r="B158" s="2"/>
      <c r="C158" s="2">
        <v>64425</v>
      </c>
      <c r="D158" s="2">
        <v>99695</v>
      </c>
      <c r="E158" s="2"/>
      <c r="F158" s="2"/>
      <c r="G158" s="2"/>
      <c r="H158" s="2"/>
      <c r="I158" s="2"/>
      <c r="J158" s="2"/>
      <c r="K158" s="2"/>
      <c r="L158" s="2"/>
      <c r="M158" s="2"/>
      <c r="N158" s="2"/>
      <c r="O158" s="2"/>
      <c r="P158" s="2"/>
      <c r="Q158" s="2"/>
    </row>
    <row r="159" spans="1:17">
      <c r="A159" s="1" t="s">
        <v>397</v>
      </c>
      <c r="B159" s="2">
        <v>57876</v>
      </c>
      <c r="C159" s="2">
        <v>3535076</v>
      </c>
      <c r="D159" s="2">
        <v>29595838</v>
      </c>
      <c r="E159" s="2">
        <v>6222513</v>
      </c>
      <c r="F159" s="2">
        <v>124706</v>
      </c>
      <c r="G159" s="2">
        <v>262345</v>
      </c>
      <c r="H159" s="2">
        <v>124278</v>
      </c>
      <c r="I159" s="2">
        <v>84468</v>
      </c>
      <c r="J159" s="2">
        <v>856210</v>
      </c>
      <c r="K159" s="2">
        <v>196881</v>
      </c>
      <c r="L159" s="2">
        <v>15024</v>
      </c>
      <c r="M159" s="2">
        <v>824414</v>
      </c>
      <c r="N159" s="2">
        <v>6928395</v>
      </c>
      <c r="O159" s="2">
        <v>2408108</v>
      </c>
      <c r="P159" s="2"/>
      <c r="Q159" s="2"/>
    </row>
    <row r="160" spans="1:17">
      <c r="A160" s="1" t="s">
        <v>398</v>
      </c>
      <c r="B160" s="2">
        <v>101388</v>
      </c>
      <c r="C160" s="2">
        <v>1635966</v>
      </c>
      <c r="D160" s="2">
        <v>17627</v>
      </c>
      <c r="E160" s="2"/>
      <c r="F160" s="2"/>
      <c r="G160" s="2"/>
      <c r="H160" s="2"/>
      <c r="I160" s="2">
        <v>27528</v>
      </c>
      <c r="J160" s="2">
        <v>168452</v>
      </c>
      <c r="K160" s="2">
        <v>2573638</v>
      </c>
      <c r="L160" s="2"/>
      <c r="M160" s="2">
        <v>8612</v>
      </c>
      <c r="N160" s="2"/>
      <c r="O160" s="2"/>
      <c r="P160" s="2"/>
      <c r="Q160" s="2"/>
    </row>
    <row r="161" spans="1:17">
      <c r="A161" s="1" t="s">
        <v>399</v>
      </c>
      <c r="B161" s="2"/>
      <c r="C161" s="2">
        <v>25792</v>
      </c>
      <c r="D161" s="2">
        <v>55633</v>
      </c>
      <c r="E161" s="2">
        <v>75065</v>
      </c>
      <c r="F161" s="2">
        <v>1741</v>
      </c>
      <c r="G161" s="2">
        <v>15781</v>
      </c>
      <c r="H161" s="2">
        <v>15077</v>
      </c>
      <c r="I161" s="2">
        <v>991</v>
      </c>
      <c r="J161" s="2">
        <v>2210</v>
      </c>
      <c r="K161" s="2">
        <v>29817</v>
      </c>
      <c r="L161" s="2">
        <v>228092</v>
      </c>
      <c r="M161" s="2">
        <v>105420</v>
      </c>
      <c r="N161" s="2">
        <v>529264</v>
      </c>
      <c r="O161" s="2">
        <v>317646</v>
      </c>
      <c r="P161" s="2">
        <v>2942</v>
      </c>
      <c r="Q161" s="2"/>
    </row>
    <row r="162" spans="1:17">
      <c r="A162" s="1" t="s">
        <v>407</v>
      </c>
      <c r="B162" s="2"/>
      <c r="C162" s="2"/>
      <c r="D162" s="2">
        <v>26719</v>
      </c>
      <c r="E162" s="2">
        <v>98140</v>
      </c>
      <c r="F162" s="2"/>
      <c r="G162" s="2"/>
      <c r="H162" s="2"/>
      <c r="I162" s="2"/>
      <c r="J162" s="2">
        <v>7798</v>
      </c>
      <c r="K162" s="2"/>
      <c r="L162" s="2"/>
      <c r="M162" s="2"/>
      <c r="N162" s="2"/>
      <c r="O162" s="2"/>
      <c r="P162" s="2"/>
      <c r="Q162" s="2"/>
    </row>
    <row r="163" spans="1:17">
      <c r="A163" s="1" t="s">
        <v>400</v>
      </c>
      <c r="B163" s="2"/>
      <c r="C163" s="2">
        <v>47792</v>
      </c>
      <c r="D163" s="2">
        <v>112018</v>
      </c>
      <c r="E163" s="2"/>
      <c r="F163" s="2">
        <v>93978</v>
      </c>
      <c r="G163" s="2"/>
      <c r="H163" s="2"/>
      <c r="I163" s="2"/>
      <c r="J163" s="2"/>
      <c r="K163" s="2">
        <v>477</v>
      </c>
      <c r="L163" s="2"/>
      <c r="M163" s="2"/>
      <c r="N163" s="2">
        <v>943395</v>
      </c>
      <c r="O163" s="2">
        <v>532728</v>
      </c>
      <c r="P163" s="2">
        <v>2234646</v>
      </c>
      <c r="Q163" s="2"/>
    </row>
    <row r="164" spans="1:17">
      <c r="A164" s="1" t="s">
        <v>409</v>
      </c>
      <c r="B164" s="2"/>
      <c r="C164" s="2"/>
      <c r="D164" s="2">
        <v>11</v>
      </c>
      <c r="E164" s="2"/>
      <c r="F164" s="2"/>
      <c r="G164" s="2"/>
      <c r="H164" s="2"/>
      <c r="I164" s="2"/>
      <c r="J164" s="2"/>
      <c r="K164" s="2"/>
      <c r="L164" s="2"/>
      <c r="M164" s="2"/>
      <c r="N164" s="2"/>
      <c r="O164" s="2"/>
      <c r="P164" s="2"/>
      <c r="Q164" s="2"/>
    </row>
    <row r="165" spans="1:17">
      <c r="A165" s="1" t="s">
        <v>401</v>
      </c>
      <c r="B165" s="2">
        <v>7392</v>
      </c>
      <c r="C165" s="2">
        <v>778</v>
      </c>
      <c r="D165" s="2">
        <v>13963</v>
      </c>
      <c r="E165" s="2">
        <v>23656</v>
      </c>
      <c r="F165" s="2">
        <v>1</v>
      </c>
      <c r="G165" s="2">
        <v>1</v>
      </c>
      <c r="H165" s="2">
        <v>8686</v>
      </c>
      <c r="I165" s="2">
        <v>8060</v>
      </c>
      <c r="J165" s="2">
        <v>40170</v>
      </c>
      <c r="K165" s="2">
        <v>15900</v>
      </c>
      <c r="L165" s="2"/>
      <c r="M165" s="2">
        <v>41338</v>
      </c>
      <c r="N165" s="2">
        <v>80757</v>
      </c>
      <c r="O165" s="2">
        <v>25248</v>
      </c>
      <c r="P165" s="2">
        <v>2103</v>
      </c>
      <c r="Q165" s="2"/>
    </row>
    <row r="166" spans="1:17">
      <c r="A166" s="1" t="s">
        <v>402</v>
      </c>
      <c r="B166" s="2"/>
      <c r="C166" s="2"/>
      <c r="D166" s="2"/>
      <c r="E166" s="2"/>
      <c r="F166" s="2"/>
      <c r="G166" s="2"/>
      <c r="H166" s="2"/>
      <c r="I166" s="2"/>
      <c r="J166" s="2">
        <v>24233</v>
      </c>
      <c r="K166" s="2"/>
      <c r="L166" s="2"/>
      <c r="M166" s="2"/>
      <c r="N166" s="2">
        <v>3983943</v>
      </c>
      <c r="O166" s="2"/>
      <c r="P166" s="2"/>
      <c r="Q166" s="2"/>
    </row>
    <row r="167" spans="1:17">
      <c r="A167" s="153" t="s">
        <v>403</v>
      </c>
      <c r="B167" s="6"/>
      <c r="C167" s="6"/>
      <c r="D167" s="6"/>
      <c r="E167" s="6"/>
      <c r="F167" s="6"/>
      <c r="G167" s="6"/>
      <c r="H167" s="6"/>
      <c r="I167" s="6"/>
      <c r="J167" s="6"/>
      <c r="K167" s="155"/>
      <c r="L167" s="155">
        <v>2751513</v>
      </c>
      <c r="M167" s="155"/>
      <c r="N167" s="155">
        <v>45000</v>
      </c>
      <c r="O167" s="155">
        <v>44178</v>
      </c>
      <c r="P167" s="155"/>
      <c r="Q167" s="155"/>
    </row>
    <row r="169" spans="1:17" ht="15.75">
      <c r="A169" s="128" t="s">
        <v>38</v>
      </c>
      <c r="B169" s="151">
        <f>SUM(B170:B172,B173)</f>
        <v>5650764106</v>
      </c>
      <c r="C169" s="151">
        <f t="shared" ref="C169:P169" si="47">SUM(C170:C172,C173)</f>
        <v>13146008926</v>
      </c>
      <c r="D169" s="151">
        <f t="shared" si="47"/>
        <v>12975906580</v>
      </c>
      <c r="E169" s="151">
        <f t="shared" si="47"/>
        <v>13346392126</v>
      </c>
      <c r="F169" s="151">
        <f t="shared" si="47"/>
        <v>14351594386</v>
      </c>
      <c r="G169" s="151">
        <f t="shared" si="47"/>
        <v>14834004049</v>
      </c>
      <c r="H169" s="151">
        <f t="shared" si="47"/>
        <v>15156421140</v>
      </c>
      <c r="I169" s="151">
        <f t="shared" si="47"/>
        <v>15158149109</v>
      </c>
      <c r="J169" s="151">
        <f t="shared" si="47"/>
        <v>15179864415</v>
      </c>
      <c r="K169" s="151">
        <f t="shared" si="47"/>
        <v>14914103668</v>
      </c>
      <c r="L169" s="151">
        <f t="shared" si="47"/>
        <v>12875608907</v>
      </c>
      <c r="M169" s="151">
        <f t="shared" si="47"/>
        <v>14250041141</v>
      </c>
      <c r="N169" s="151">
        <f t="shared" si="47"/>
        <v>14538326947</v>
      </c>
      <c r="O169" s="151">
        <f>SUM(O170:O172,O173)</f>
        <v>14335844943</v>
      </c>
      <c r="P169" s="151">
        <f t="shared" si="47"/>
        <v>523953212</v>
      </c>
      <c r="Q169" s="151"/>
    </row>
    <row r="170" spans="1:17">
      <c r="A170" s="1" t="s">
        <v>392</v>
      </c>
      <c r="B170" s="2" t="s">
        <v>410</v>
      </c>
      <c r="C170" s="2">
        <v>1324299434</v>
      </c>
      <c r="D170" s="2">
        <v>506571724</v>
      </c>
      <c r="E170" s="2">
        <v>457592216</v>
      </c>
      <c r="F170" s="2">
        <v>452621072</v>
      </c>
      <c r="G170" s="2">
        <v>440953183</v>
      </c>
      <c r="H170" s="2">
        <v>394478792</v>
      </c>
      <c r="I170" s="2">
        <v>429050369</v>
      </c>
      <c r="J170" s="2">
        <v>408096645</v>
      </c>
      <c r="K170" s="2">
        <v>447727647</v>
      </c>
      <c r="L170" s="2">
        <v>429957750</v>
      </c>
      <c r="M170" s="2">
        <v>566850198</v>
      </c>
      <c r="N170" s="2">
        <v>425114231</v>
      </c>
      <c r="O170" s="2">
        <v>340053222</v>
      </c>
      <c r="P170" s="2"/>
      <c r="Q170" s="2"/>
    </row>
    <row r="171" spans="1:17">
      <c r="A171" s="1" t="s">
        <v>393</v>
      </c>
      <c r="B171" s="2">
        <v>5310840680</v>
      </c>
      <c r="C171" s="2">
        <v>10829809295</v>
      </c>
      <c r="D171" s="2">
        <v>12118569372</v>
      </c>
      <c r="E171" s="2">
        <v>12491383941</v>
      </c>
      <c r="F171" s="2">
        <v>13213183739</v>
      </c>
      <c r="G171" s="2">
        <v>13781316472</v>
      </c>
      <c r="H171" s="2">
        <v>14107648749</v>
      </c>
      <c r="I171" s="2">
        <v>13980701606</v>
      </c>
      <c r="J171" s="2">
        <v>14116157312</v>
      </c>
      <c r="K171" s="2">
        <v>13800851711</v>
      </c>
      <c r="L171" s="2">
        <v>11978833783</v>
      </c>
      <c r="M171" s="2">
        <v>13211539487</v>
      </c>
      <c r="N171" s="2">
        <v>13590347309</v>
      </c>
      <c r="O171" s="2">
        <v>13416040218</v>
      </c>
      <c r="P171" s="2"/>
      <c r="Q171" s="2"/>
    </row>
    <row r="172" spans="1:17">
      <c r="A172" s="1" t="s">
        <v>394</v>
      </c>
      <c r="B172" s="2">
        <v>252953768</v>
      </c>
      <c r="C172" s="2">
        <v>640894687</v>
      </c>
      <c r="D172" s="2">
        <v>335159158</v>
      </c>
      <c r="E172" s="2">
        <v>288358764</v>
      </c>
      <c r="F172" s="2">
        <v>390360956</v>
      </c>
      <c r="G172" s="2">
        <v>409732534</v>
      </c>
      <c r="H172" s="2">
        <v>422948346</v>
      </c>
      <c r="I172" s="2">
        <v>403181427</v>
      </c>
      <c r="J172" s="2">
        <v>436003608</v>
      </c>
      <c r="K172" s="2">
        <v>355149629</v>
      </c>
      <c r="L172" s="2">
        <v>311513241</v>
      </c>
      <c r="M172" s="2">
        <v>313025795</v>
      </c>
      <c r="N172" s="2">
        <v>373660194</v>
      </c>
      <c r="O172" s="2">
        <v>465909527</v>
      </c>
      <c r="P172" s="2">
        <v>506383941</v>
      </c>
      <c r="Q172" s="2"/>
    </row>
    <row r="173" spans="1:17" ht="15.75">
      <c r="A173" s="128" t="s">
        <v>395</v>
      </c>
      <c r="B173" s="152">
        <f>SUM(B174:B186)</f>
        <v>86969658</v>
      </c>
      <c r="C173" s="152">
        <f t="shared" ref="C173:P173" si="48">SUM(C174:C186)</f>
        <v>351005510</v>
      </c>
      <c r="D173" s="152">
        <f t="shared" si="48"/>
        <v>15606326</v>
      </c>
      <c r="E173" s="152">
        <f t="shared" si="48"/>
        <v>109057205</v>
      </c>
      <c r="F173" s="152">
        <f t="shared" si="48"/>
        <v>295428619</v>
      </c>
      <c r="G173" s="152">
        <f t="shared" si="48"/>
        <v>202001860</v>
      </c>
      <c r="H173" s="152">
        <f t="shared" si="48"/>
        <v>231345253</v>
      </c>
      <c r="I173" s="152">
        <f t="shared" si="48"/>
        <v>345215707</v>
      </c>
      <c r="J173" s="152">
        <f t="shared" si="48"/>
        <v>219606850</v>
      </c>
      <c r="K173" s="152">
        <f t="shared" si="48"/>
        <v>310374681</v>
      </c>
      <c r="L173" s="152">
        <f t="shared" si="48"/>
        <v>155304133</v>
      </c>
      <c r="M173" s="152">
        <f t="shared" si="48"/>
        <v>158625661</v>
      </c>
      <c r="N173" s="152">
        <f t="shared" si="48"/>
        <v>149205213</v>
      </c>
      <c r="O173" s="152">
        <f t="shared" si="48"/>
        <v>113841976</v>
      </c>
      <c r="P173" s="152">
        <f t="shared" si="48"/>
        <v>17569271</v>
      </c>
      <c r="Q173" s="152"/>
    </row>
    <row r="174" spans="1:17">
      <c r="A174" s="1" t="s">
        <v>404</v>
      </c>
      <c r="B174" s="2">
        <v>353963</v>
      </c>
      <c r="C174" s="2">
        <v>3466919</v>
      </c>
      <c r="D174" s="2">
        <v>374636</v>
      </c>
      <c r="E174" s="2">
        <v>629265</v>
      </c>
      <c r="F174" s="2">
        <v>142152</v>
      </c>
      <c r="G174" s="2">
        <v>618142</v>
      </c>
      <c r="H174" s="2">
        <v>246788</v>
      </c>
      <c r="I174" s="2">
        <v>143454</v>
      </c>
      <c r="J174" s="2">
        <v>91608</v>
      </c>
      <c r="K174" s="2">
        <v>67264</v>
      </c>
      <c r="L174" s="2">
        <v>1546164</v>
      </c>
      <c r="M174" s="2">
        <v>80910</v>
      </c>
      <c r="N174" s="2">
        <v>39852</v>
      </c>
      <c r="O174" s="2">
        <v>497103</v>
      </c>
      <c r="P174" s="2">
        <v>60672</v>
      </c>
      <c r="Q174" s="2"/>
    </row>
    <row r="175" spans="1:17">
      <c r="A175" s="1" t="s">
        <v>411</v>
      </c>
      <c r="B175" s="2">
        <v>6052340</v>
      </c>
      <c r="C175" s="2"/>
      <c r="D175" s="2"/>
      <c r="E175" s="2"/>
      <c r="F175" s="2"/>
      <c r="G175" s="2"/>
      <c r="H175" s="2"/>
      <c r="I175" s="2"/>
      <c r="J175" s="2"/>
      <c r="K175" s="2"/>
      <c r="L175" s="2"/>
      <c r="M175" s="2"/>
      <c r="N175" s="2"/>
      <c r="O175" s="2"/>
      <c r="P175" s="2"/>
      <c r="Q175" s="2"/>
    </row>
    <row r="176" spans="1:17">
      <c r="A176" s="1" t="s">
        <v>396</v>
      </c>
      <c r="B176" s="2">
        <v>50061329</v>
      </c>
      <c r="C176" s="2">
        <v>235287</v>
      </c>
      <c r="D176" s="2">
        <v>0</v>
      </c>
      <c r="E176" s="2"/>
      <c r="F176" s="2"/>
      <c r="G176" s="2"/>
      <c r="H176" s="2">
        <v>0</v>
      </c>
      <c r="I176" s="2"/>
      <c r="J176" s="2"/>
      <c r="K176" s="2">
        <v>971019</v>
      </c>
      <c r="L176" s="2">
        <v>4886308</v>
      </c>
      <c r="M176" s="2">
        <v>621738</v>
      </c>
      <c r="N176" s="2"/>
      <c r="O176" s="2"/>
      <c r="P176" s="2"/>
      <c r="Q176" s="2"/>
    </row>
    <row r="177" spans="1:17">
      <c r="A177" s="1" t="s">
        <v>406</v>
      </c>
      <c r="B177" s="2"/>
      <c r="C177" s="2">
        <v>70663</v>
      </c>
      <c r="D177" s="2"/>
      <c r="E177" s="2"/>
      <c r="F177" s="2"/>
      <c r="G177" s="2"/>
      <c r="H177" s="2"/>
      <c r="I177" s="2"/>
      <c r="J177" s="2"/>
      <c r="K177" s="2"/>
      <c r="L177" s="2"/>
      <c r="M177" s="2"/>
      <c r="N177" s="2"/>
      <c r="O177" s="2"/>
      <c r="P177" s="2"/>
      <c r="Q177" s="2"/>
    </row>
    <row r="178" spans="1:17">
      <c r="A178" s="1" t="s">
        <v>397</v>
      </c>
      <c r="B178" s="2">
        <v>5364514</v>
      </c>
      <c r="C178" s="2">
        <v>20308085</v>
      </c>
      <c r="D178" s="2">
        <v>5317705</v>
      </c>
      <c r="E178" s="2">
        <v>21718069</v>
      </c>
      <c r="F178" s="2">
        <v>11513723</v>
      </c>
      <c r="G178" s="2">
        <v>3317742</v>
      </c>
      <c r="H178" s="2">
        <v>14371253</v>
      </c>
      <c r="I178" s="2">
        <v>14549117</v>
      </c>
      <c r="J178" s="2">
        <v>5821702</v>
      </c>
      <c r="K178" s="2">
        <v>4310506</v>
      </c>
      <c r="L178" s="2">
        <v>2196957</v>
      </c>
      <c r="M178" s="2">
        <v>11417351</v>
      </c>
      <c r="N178" s="2">
        <v>12865767</v>
      </c>
      <c r="O178" s="2">
        <v>6459246</v>
      </c>
      <c r="P178" s="2">
        <v>15966104</v>
      </c>
      <c r="Q178" s="2"/>
    </row>
    <row r="179" spans="1:17">
      <c r="A179" s="1" t="s">
        <v>398</v>
      </c>
      <c r="B179" s="2">
        <v>13849616</v>
      </c>
      <c r="C179" s="2">
        <v>296819853</v>
      </c>
      <c r="D179" s="2">
        <v>464398</v>
      </c>
      <c r="E179" s="2">
        <v>868794</v>
      </c>
      <c r="F179" s="2">
        <v>14428150</v>
      </c>
      <c r="G179" s="2">
        <v>17602</v>
      </c>
      <c r="H179" s="2">
        <v>2713830</v>
      </c>
      <c r="I179" s="2">
        <v>79874230</v>
      </c>
      <c r="J179" s="2">
        <v>25957741</v>
      </c>
      <c r="K179" s="2">
        <v>90472518</v>
      </c>
      <c r="L179" s="2">
        <v>2106793</v>
      </c>
      <c r="M179" s="2">
        <v>87698</v>
      </c>
      <c r="N179" s="2">
        <v>2996345</v>
      </c>
      <c r="O179" s="2">
        <v>1018</v>
      </c>
      <c r="P179" s="2"/>
      <c r="Q179" s="2"/>
    </row>
    <row r="180" spans="1:17">
      <c r="A180" s="1" t="s">
        <v>399</v>
      </c>
      <c r="B180" s="2"/>
      <c r="C180" s="2">
        <v>638322</v>
      </c>
      <c r="D180" s="2">
        <v>1654270</v>
      </c>
      <c r="E180" s="2">
        <v>4123424</v>
      </c>
      <c r="F180" s="2">
        <v>11907196</v>
      </c>
      <c r="G180" s="2">
        <v>2188598</v>
      </c>
      <c r="H180" s="2">
        <v>2947396</v>
      </c>
      <c r="I180" s="2">
        <v>2071283</v>
      </c>
      <c r="J180" s="2">
        <v>2384504</v>
      </c>
      <c r="K180" s="2">
        <v>8507450</v>
      </c>
      <c r="L180" s="2">
        <v>10213899</v>
      </c>
      <c r="M180" s="2">
        <v>7400179</v>
      </c>
      <c r="N180" s="2">
        <v>4800391</v>
      </c>
      <c r="O180" s="2">
        <v>3666099</v>
      </c>
      <c r="P180" s="2">
        <v>331754</v>
      </c>
      <c r="Q180" s="2"/>
    </row>
    <row r="181" spans="1:17">
      <c r="A181" s="1" t="s">
        <v>407</v>
      </c>
      <c r="B181" s="2">
        <v>3831349</v>
      </c>
      <c r="C181" s="2">
        <v>15534810</v>
      </c>
      <c r="D181" s="2">
        <v>450</v>
      </c>
      <c r="E181" s="2">
        <v>360</v>
      </c>
      <c r="F181" s="2">
        <v>371249</v>
      </c>
      <c r="G181" s="2">
        <v>422068</v>
      </c>
      <c r="H181" s="2">
        <v>6591</v>
      </c>
      <c r="I181" s="2">
        <v>2114100</v>
      </c>
      <c r="J181" s="2"/>
      <c r="K181" s="2"/>
      <c r="L181" s="2"/>
      <c r="M181" s="2">
        <v>198545</v>
      </c>
      <c r="N181" s="2">
        <v>118807</v>
      </c>
      <c r="O181" s="2">
        <v>24895</v>
      </c>
      <c r="P181" s="2"/>
      <c r="Q181" s="2"/>
    </row>
    <row r="182" spans="1:17">
      <c r="A182" s="1" t="s">
        <v>408</v>
      </c>
      <c r="B182" s="2">
        <v>1048792</v>
      </c>
      <c r="C182" s="2">
        <v>4195168</v>
      </c>
      <c r="D182" s="2">
        <v>4827457</v>
      </c>
      <c r="E182" s="2">
        <v>171191</v>
      </c>
      <c r="F182" s="2"/>
      <c r="G182" s="2"/>
      <c r="H182" s="2">
        <v>3000</v>
      </c>
      <c r="I182" s="2"/>
      <c r="J182" s="2"/>
      <c r="K182" s="2"/>
      <c r="L182" s="2"/>
      <c r="M182" s="2"/>
      <c r="N182" s="2"/>
      <c r="O182" s="2"/>
      <c r="P182" s="2"/>
      <c r="Q182" s="2"/>
    </row>
    <row r="183" spans="1:17">
      <c r="A183" s="1" t="s">
        <v>400</v>
      </c>
      <c r="B183" s="2">
        <v>536185</v>
      </c>
      <c r="C183" s="2">
        <v>1950301</v>
      </c>
      <c r="D183" s="2">
        <v>1232868</v>
      </c>
      <c r="E183" s="2">
        <v>78269346</v>
      </c>
      <c r="F183" s="2">
        <v>254064945</v>
      </c>
      <c r="G183" s="2">
        <v>194354946</v>
      </c>
      <c r="H183" s="2">
        <v>206263834</v>
      </c>
      <c r="I183" s="2">
        <v>241551304</v>
      </c>
      <c r="J183" s="2">
        <v>181771952</v>
      </c>
      <c r="K183" s="2">
        <v>199239469</v>
      </c>
      <c r="L183" s="2">
        <v>130741895</v>
      </c>
      <c r="M183" s="2">
        <v>135074726</v>
      </c>
      <c r="N183" s="2">
        <v>127616314</v>
      </c>
      <c r="O183" s="2">
        <v>101241955</v>
      </c>
      <c r="P183" s="2">
        <v>34733</v>
      </c>
      <c r="Q183" s="2"/>
    </row>
    <row r="184" spans="1:17">
      <c r="A184" s="1" t="s">
        <v>409</v>
      </c>
      <c r="B184" s="2"/>
      <c r="C184" s="2">
        <v>78800</v>
      </c>
      <c r="D184" s="2">
        <v>98707</v>
      </c>
      <c r="E184" s="2">
        <v>92960</v>
      </c>
      <c r="F184" s="2">
        <v>104154</v>
      </c>
      <c r="G184" s="2">
        <v>20327</v>
      </c>
      <c r="H184" s="2">
        <v>367501</v>
      </c>
      <c r="I184" s="2">
        <v>18310</v>
      </c>
      <c r="J184" s="2">
        <v>63489</v>
      </c>
      <c r="K184" s="2">
        <v>719305</v>
      </c>
      <c r="L184" s="2">
        <v>118151</v>
      </c>
      <c r="M184" s="2">
        <v>15723</v>
      </c>
      <c r="N184" s="2">
        <v>5502</v>
      </c>
      <c r="O184" s="2">
        <v>109459</v>
      </c>
      <c r="P184" s="2">
        <v>155</v>
      </c>
      <c r="Q184" s="2"/>
    </row>
    <row r="185" spans="1:17">
      <c r="A185" s="1" t="s">
        <v>401</v>
      </c>
      <c r="B185" s="2">
        <v>5871570</v>
      </c>
      <c r="C185" s="2">
        <v>7707302</v>
      </c>
      <c r="D185" s="2">
        <v>1635835</v>
      </c>
      <c r="E185" s="2">
        <v>3183796</v>
      </c>
      <c r="F185" s="2">
        <v>2897050</v>
      </c>
      <c r="G185" s="2">
        <v>1001385</v>
      </c>
      <c r="H185" s="2">
        <v>4425060</v>
      </c>
      <c r="I185" s="2">
        <v>4893909</v>
      </c>
      <c r="J185" s="2">
        <v>3482159</v>
      </c>
      <c r="K185" s="2">
        <v>6087150</v>
      </c>
      <c r="L185" s="2">
        <v>3493966</v>
      </c>
      <c r="M185" s="2">
        <v>3728791</v>
      </c>
      <c r="N185" s="2">
        <v>762235</v>
      </c>
      <c r="O185" s="2">
        <v>1842201</v>
      </c>
      <c r="P185" s="2">
        <v>1175853</v>
      </c>
      <c r="Q185" s="2"/>
    </row>
    <row r="186" spans="1:17">
      <c r="A186" s="1" t="s">
        <v>402</v>
      </c>
      <c r="B186" s="2"/>
      <c r="C186" s="2"/>
      <c r="D186" s="2"/>
      <c r="E186" s="2"/>
      <c r="F186" s="2"/>
      <c r="G186" s="2">
        <v>61050</v>
      </c>
      <c r="H186" s="2"/>
      <c r="I186" s="2"/>
      <c r="J186" s="2">
        <v>33695</v>
      </c>
      <c r="K186" s="2"/>
      <c r="L186" s="2"/>
      <c r="M186" s="2"/>
      <c r="N186" s="2"/>
      <c r="O186" s="2"/>
      <c r="P186" s="2"/>
      <c r="Q186" s="2"/>
    </row>
    <row r="187" spans="1:17">
      <c r="A187" s="153" t="s">
        <v>403</v>
      </c>
      <c r="B187" s="6"/>
      <c r="C187" s="6"/>
      <c r="D187" s="6"/>
      <c r="E187" s="6"/>
      <c r="F187" s="6"/>
      <c r="G187" s="6"/>
      <c r="H187" s="6"/>
      <c r="I187" s="6"/>
      <c r="J187" s="6"/>
      <c r="K187" s="6"/>
      <c r="L187" s="155">
        <v>107650437</v>
      </c>
      <c r="M187" s="155">
        <v>3465161</v>
      </c>
      <c r="N187" s="155">
        <v>709239</v>
      </c>
      <c r="O187" s="155">
        <v>135965203</v>
      </c>
      <c r="P187" s="6"/>
      <c r="Q187" s="6"/>
    </row>
    <row r="189" spans="1:17" ht="15.75">
      <c r="A189" s="128" t="s">
        <v>39</v>
      </c>
      <c r="B189" s="151">
        <f>SUM(B190:B192,B193)</f>
        <v>0</v>
      </c>
      <c r="C189" s="151">
        <f t="shared" ref="C189:N189" si="49">SUM(C190:C192,C193)</f>
        <v>0</v>
      </c>
      <c r="D189" s="151">
        <f t="shared" si="49"/>
        <v>1741</v>
      </c>
      <c r="E189" s="151">
        <f t="shared" si="49"/>
        <v>392033</v>
      </c>
      <c r="F189" s="151">
        <f t="shared" si="49"/>
        <v>50446</v>
      </c>
      <c r="G189" s="151">
        <f t="shared" si="49"/>
        <v>217530</v>
      </c>
      <c r="H189" s="151">
        <f t="shared" si="49"/>
        <v>534429</v>
      </c>
      <c r="I189" s="151">
        <f t="shared" si="49"/>
        <v>1652610</v>
      </c>
      <c r="J189" s="151">
        <f t="shared" si="49"/>
        <v>2440000</v>
      </c>
      <c r="K189" s="151">
        <f t="shared" si="49"/>
        <v>1315941</v>
      </c>
      <c r="L189" s="151">
        <f t="shared" si="49"/>
        <v>55892</v>
      </c>
      <c r="M189" s="151">
        <f t="shared" si="49"/>
        <v>247518</v>
      </c>
      <c r="N189" s="151">
        <f t="shared" si="49"/>
        <v>236352</v>
      </c>
      <c r="O189" s="151">
        <f>SUM(O190:O192,O193)</f>
        <v>208643</v>
      </c>
      <c r="P189" s="151">
        <f>SUM(P190:P192,P193)</f>
        <v>23875</v>
      </c>
      <c r="Q189" s="151"/>
    </row>
    <row r="190" spans="1:17">
      <c r="A190" s="1" t="s">
        <v>392</v>
      </c>
      <c r="B190" s="2"/>
      <c r="C190" s="2"/>
      <c r="D190" s="2">
        <v>123</v>
      </c>
      <c r="E190" s="2">
        <v>7553</v>
      </c>
      <c r="F190" s="2"/>
      <c r="G190" s="2"/>
      <c r="H190" s="2"/>
      <c r="I190" s="2">
        <v>60000</v>
      </c>
      <c r="J190" s="2">
        <v>156655</v>
      </c>
      <c r="K190" s="2">
        <v>197470</v>
      </c>
      <c r="L190" s="2"/>
      <c r="M190" s="2"/>
      <c r="N190" s="2"/>
      <c r="O190" s="2"/>
      <c r="P190" s="2"/>
      <c r="Q190" s="2"/>
    </row>
    <row r="191" spans="1:17">
      <c r="A191" s="1" t="s">
        <v>393</v>
      </c>
      <c r="B191" s="2"/>
      <c r="C191" s="2"/>
      <c r="D191" s="2">
        <v>1618</v>
      </c>
      <c r="E191" s="2">
        <v>376148</v>
      </c>
      <c r="F191" s="2">
        <v>45449</v>
      </c>
      <c r="G191" s="2">
        <v>190000</v>
      </c>
      <c r="H191" s="2">
        <v>480988</v>
      </c>
      <c r="I191" s="2">
        <v>1517008</v>
      </c>
      <c r="J191" s="2">
        <v>2278194</v>
      </c>
      <c r="K191" s="2">
        <v>1112370</v>
      </c>
      <c r="L191" s="2">
        <v>55892</v>
      </c>
      <c r="M191" s="2">
        <v>247518</v>
      </c>
      <c r="N191" s="2">
        <v>236352</v>
      </c>
      <c r="O191" s="2">
        <v>208643</v>
      </c>
      <c r="P191" s="2"/>
      <c r="Q191" s="2"/>
    </row>
    <row r="192" spans="1:17">
      <c r="A192" s="1" t="s">
        <v>394</v>
      </c>
      <c r="B192" s="2"/>
      <c r="C192" s="2"/>
      <c r="D192" s="2"/>
      <c r="E192" s="2"/>
      <c r="F192" s="2"/>
      <c r="G192" s="2"/>
      <c r="H192" s="2"/>
      <c r="I192" s="2"/>
      <c r="J192" s="2"/>
      <c r="K192" s="2"/>
      <c r="L192" s="2"/>
      <c r="M192" s="2"/>
      <c r="N192" s="2"/>
      <c r="O192" s="2"/>
      <c r="P192" s="2"/>
      <c r="Q192" s="2"/>
    </row>
    <row r="193" spans="1:17" ht="15.75">
      <c r="A193" s="1" t="s">
        <v>395</v>
      </c>
      <c r="B193" s="152">
        <f>SUM(B194:B196)</f>
        <v>0</v>
      </c>
      <c r="C193" s="152">
        <f t="shared" ref="C193:N193" si="50">SUM(C194:C196)</f>
        <v>0</v>
      </c>
      <c r="D193" s="152">
        <f t="shared" si="50"/>
        <v>0</v>
      </c>
      <c r="E193" s="152">
        <f t="shared" si="50"/>
        <v>8332</v>
      </c>
      <c r="F193" s="152">
        <f t="shared" si="50"/>
        <v>4997</v>
      </c>
      <c r="G193" s="152">
        <f t="shared" si="50"/>
        <v>27530</v>
      </c>
      <c r="H193" s="152">
        <f t="shared" si="50"/>
        <v>53441</v>
      </c>
      <c r="I193" s="152">
        <f t="shared" si="50"/>
        <v>75602</v>
      </c>
      <c r="J193" s="152">
        <f t="shared" si="50"/>
        <v>5151</v>
      </c>
      <c r="K193" s="152">
        <f t="shared" si="50"/>
        <v>6101</v>
      </c>
      <c r="L193" s="152">
        <f t="shared" si="50"/>
        <v>0</v>
      </c>
      <c r="M193" s="152">
        <f t="shared" si="50"/>
        <v>0</v>
      </c>
      <c r="N193" s="152">
        <f t="shared" si="50"/>
        <v>0</v>
      </c>
      <c r="O193" s="152">
        <f>SUM(O194:O196)</f>
        <v>0</v>
      </c>
      <c r="P193" s="152">
        <f>SUM(P194:P196)</f>
        <v>23875</v>
      </c>
      <c r="Q193" s="152"/>
    </row>
    <row r="194" spans="1:17">
      <c r="A194" s="1" t="s">
        <v>397</v>
      </c>
      <c r="B194" s="2"/>
      <c r="C194" s="2"/>
      <c r="D194" s="2"/>
      <c r="E194" s="2">
        <v>8332</v>
      </c>
      <c r="F194" s="2">
        <v>4997</v>
      </c>
      <c r="G194" s="2">
        <v>27530</v>
      </c>
      <c r="H194" s="2">
        <v>53441</v>
      </c>
      <c r="I194" s="2">
        <v>75602</v>
      </c>
      <c r="J194" s="2"/>
      <c r="K194" s="2"/>
      <c r="L194" s="2"/>
      <c r="M194" s="2"/>
      <c r="N194" s="2"/>
      <c r="P194" s="2">
        <v>23875</v>
      </c>
      <c r="Q194" s="2"/>
    </row>
    <row r="195" spans="1:17">
      <c r="A195" s="1" t="s">
        <v>398</v>
      </c>
      <c r="B195" s="2"/>
      <c r="C195" s="2"/>
      <c r="D195" s="2"/>
      <c r="E195" s="2"/>
      <c r="F195" s="2"/>
      <c r="G195" s="2"/>
      <c r="H195" s="2"/>
      <c r="I195" s="2"/>
      <c r="J195" s="2">
        <v>5151</v>
      </c>
      <c r="K195" s="2"/>
      <c r="L195" s="2"/>
      <c r="M195" s="2"/>
      <c r="N195" s="2"/>
      <c r="P195" s="2"/>
      <c r="Q195" s="2"/>
    </row>
    <row r="196" spans="1:17">
      <c r="A196" s="1" t="s">
        <v>399</v>
      </c>
      <c r="B196" s="2"/>
      <c r="C196" s="2"/>
      <c r="D196" s="2"/>
      <c r="E196" s="2"/>
      <c r="F196" s="2"/>
      <c r="G196" s="2"/>
      <c r="H196" s="2"/>
      <c r="I196" s="2"/>
      <c r="J196" s="2"/>
      <c r="K196" s="2">
        <v>6101</v>
      </c>
      <c r="L196" s="2"/>
      <c r="M196" s="2"/>
      <c r="N196" s="2"/>
      <c r="P196" s="2"/>
      <c r="Q196" s="2"/>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CA515-46A3-44CA-AF74-0B46DC91F7AA}">
  <dimension ref="A1:P49"/>
  <sheetViews>
    <sheetView zoomScale="130" zoomScaleNormal="130" workbookViewId="0">
      <selection activeCell="AD6" sqref="AD6"/>
    </sheetView>
  </sheetViews>
  <sheetFormatPr defaultColWidth="9.140625" defaultRowHeight="12.75"/>
  <cols>
    <col min="1" max="1" width="12.42578125" style="1" customWidth="1"/>
    <col min="2" max="8" width="12.85546875" style="156" hidden="1" customWidth="1"/>
    <col min="9" max="11" width="12.85546875" style="156" customWidth="1"/>
    <col min="12" max="15" width="12.28515625" style="1" bestFit="1" customWidth="1"/>
    <col min="16" max="16" width="10.140625" style="1" bestFit="1" customWidth="1"/>
    <col min="17" max="16384" width="9.140625" style="1"/>
  </cols>
  <sheetData>
    <row r="1" spans="1:16">
      <c r="B1" s="156">
        <v>2010</v>
      </c>
      <c r="C1" s="156">
        <v>2011</v>
      </c>
      <c r="D1" s="156">
        <v>2012</v>
      </c>
      <c r="E1" s="156">
        <v>2013</v>
      </c>
      <c r="F1" s="156">
        <v>2014</v>
      </c>
      <c r="G1" s="156">
        <v>2015</v>
      </c>
      <c r="H1" s="156">
        <v>2016</v>
      </c>
      <c r="I1" s="156">
        <v>2017</v>
      </c>
      <c r="J1" s="156">
        <v>2018</v>
      </c>
      <c r="K1" s="156">
        <v>2019</v>
      </c>
      <c r="L1" s="156">
        <v>2020</v>
      </c>
      <c r="M1" s="156">
        <v>2021</v>
      </c>
      <c r="N1" s="156">
        <v>2022</v>
      </c>
      <c r="O1" s="156">
        <v>2023</v>
      </c>
      <c r="P1" s="156">
        <v>2024</v>
      </c>
    </row>
    <row r="2" spans="1:16">
      <c r="A2" s="1" t="s">
        <v>35</v>
      </c>
      <c r="B2" s="157"/>
      <c r="C2" s="157"/>
      <c r="D2" s="157"/>
      <c r="E2" s="157"/>
      <c r="F2" s="157"/>
      <c r="G2" s="157"/>
      <c r="H2" s="157"/>
      <c r="I2" s="157"/>
      <c r="J2" s="157"/>
      <c r="K2" s="157"/>
    </row>
    <row r="3" spans="1:16">
      <c r="A3" s="1" t="s">
        <v>412</v>
      </c>
      <c r="B3" s="157">
        <v>0</v>
      </c>
      <c r="C3" s="157">
        <v>0</v>
      </c>
      <c r="D3" s="157">
        <v>0</v>
      </c>
      <c r="E3" s="157">
        <v>0</v>
      </c>
      <c r="F3" s="157">
        <v>29116</v>
      </c>
      <c r="G3" s="157">
        <v>1371351</v>
      </c>
      <c r="H3" s="157">
        <v>1153780</v>
      </c>
      <c r="I3" s="157">
        <v>714288</v>
      </c>
      <c r="J3" s="157">
        <v>223639</v>
      </c>
      <c r="K3" s="157">
        <v>462387</v>
      </c>
      <c r="L3" s="157">
        <v>218820</v>
      </c>
      <c r="M3" s="157">
        <v>4209158</v>
      </c>
      <c r="N3" s="157">
        <v>51661</v>
      </c>
      <c r="O3" s="157">
        <v>58012</v>
      </c>
      <c r="P3" s="157">
        <v>73989</v>
      </c>
    </row>
    <row r="4" spans="1:16">
      <c r="A4" s="1" t="s">
        <v>413</v>
      </c>
      <c r="B4" s="157">
        <v>0</v>
      </c>
      <c r="C4" s="157">
        <v>0</v>
      </c>
      <c r="D4" s="157">
        <v>0</v>
      </c>
      <c r="E4" s="157">
        <v>414727</v>
      </c>
      <c r="F4" s="157">
        <v>33331444</v>
      </c>
      <c r="G4" s="157">
        <v>140277267</v>
      </c>
      <c r="H4" s="157">
        <v>190556256</v>
      </c>
      <c r="I4" s="157">
        <v>249517862</v>
      </c>
      <c r="J4" s="157">
        <v>312480412</v>
      </c>
      <c r="K4" s="157">
        <v>413514128</v>
      </c>
      <c r="L4" s="157">
        <v>505612582</v>
      </c>
      <c r="M4" s="157">
        <v>564173620</v>
      </c>
      <c r="N4" s="157">
        <v>668430036</v>
      </c>
      <c r="O4" s="157">
        <v>743864251</v>
      </c>
      <c r="P4" s="157">
        <v>1148930</v>
      </c>
    </row>
    <row r="5" spans="1:16">
      <c r="A5" s="1" t="s">
        <v>5</v>
      </c>
      <c r="B5" s="157">
        <f>SUM(B3:B4)</f>
        <v>0</v>
      </c>
      <c r="C5" s="157">
        <f t="shared" ref="C5:P5" si="0">SUM(C3:C4)</f>
        <v>0</v>
      </c>
      <c r="D5" s="157">
        <f t="shared" si="0"/>
        <v>0</v>
      </c>
      <c r="E5" s="157">
        <f t="shared" si="0"/>
        <v>414727</v>
      </c>
      <c r="F5" s="157">
        <f t="shared" si="0"/>
        <v>33360560</v>
      </c>
      <c r="G5" s="157">
        <f t="shared" si="0"/>
        <v>141648618</v>
      </c>
      <c r="H5" s="157">
        <f t="shared" si="0"/>
        <v>191710036</v>
      </c>
      <c r="I5" s="157">
        <f t="shared" si="0"/>
        <v>250232150</v>
      </c>
      <c r="J5" s="157">
        <f t="shared" si="0"/>
        <v>312704051</v>
      </c>
      <c r="K5" s="157">
        <f t="shared" si="0"/>
        <v>413976515</v>
      </c>
      <c r="L5" s="157">
        <f t="shared" si="0"/>
        <v>505831402</v>
      </c>
      <c r="M5" s="157">
        <f t="shared" si="0"/>
        <v>568382778</v>
      </c>
      <c r="N5" s="157">
        <f t="shared" si="0"/>
        <v>668481697</v>
      </c>
      <c r="O5" s="157">
        <f t="shared" si="0"/>
        <v>743922263</v>
      </c>
      <c r="P5" s="157">
        <f t="shared" si="0"/>
        <v>1222919</v>
      </c>
    </row>
    <row r="6" spans="1:16">
      <c r="A6" s="1" t="s">
        <v>36</v>
      </c>
      <c r="B6" s="157"/>
      <c r="C6" s="157"/>
      <c r="D6" s="157"/>
      <c r="E6" s="157"/>
      <c r="F6" s="157"/>
      <c r="G6" s="157"/>
      <c r="H6" s="157"/>
      <c r="I6" s="157"/>
      <c r="J6" s="157"/>
      <c r="K6" s="157"/>
      <c r="L6" s="157"/>
      <c r="M6" s="157"/>
      <c r="N6" s="157"/>
      <c r="O6" s="157"/>
      <c r="P6" s="157"/>
    </row>
    <row r="7" spans="1:16">
      <c r="A7" s="1" t="s">
        <v>412</v>
      </c>
      <c r="B7" s="157">
        <v>6534849</v>
      </c>
      <c r="C7" s="157">
        <v>13466161</v>
      </c>
      <c r="D7" s="157">
        <v>44718017</v>
      </c>
      <c r="E7" s="157">
        <v>80310387</v>
      </c>
      <c r="F7" s="157">
        <v>87650801</v>
      </c>
      <c r="G7" s="157">
        <v>29584233</v>
      </c>
      <c r="H7" s="157">
        <v>38319251</v>
      </c>
      <c r="I7" s="157">
        <v>31109297</v>
      </c>
      <c r="J7" s="157">
        <v>59786798</v>
      </c>
      <c r="K7" s="157">
        <v>74768737</v>
      </c>
      <c r="L7" s="157">
        <v>147522077</v>
      </c>
      <c r="M7" s="157">
        <v>59202779</v>
      </c>
      <c r="N7" s="157">
        <v>123414303</v>
      </c>
      <c r="O7" s="157">
        <v>107780173</v>
      </c>
      <c r="P7" s="157">
        <v>7904600</v>
      </c>
    </row>
    <row r="8" spans="1:16">
      <c r="A8" s="1" t="s">
        <v>413</v>
      </c>
      <c r="B8" s="157">
        <v>313986292</v>
      </c>
      <c r="C8" s="157">
        <v>1655032712</v>
      </c>
      <c r="D8" s="157">
        <v>1690101702</v>
      </c>
      <c r="E8" s="157">
        <v>2658112054</v>
      </c>
      <c r="F8" s="157">
        <v>2610833018</v>
      </c>
      <c r="G8" s="157">
        <v>2759891109</v>
      </c>
      <c r="H8" s="157">
        <v>3962422137</v>
      </c>
      <c r="I8" s="157">
        <v>3823898680</v>
      </c>
      <c r="J8" s="157">
        <v>3818607045</v>
      </c>
      <c r="K8" s="157">
        <v>4069596750</v>
      </c>
      <c r="L8" s="157">
        <v>4341046992</v>
      </c>
      <c r="M8" s="157">
        <v>4808892366</v>
      </c>
      <c r="N8" s="157">
        <v>5662556844</v>
      </c>
      <c r="O8" s="157">
        <v>7227513671</v>
      </c>
      <c r="P8" s="157">
        <v>983007373</v>
      </c>
    </row>
    <row r="9" spans="1:16">
      <c r="A9" s="1" t="s">
        <v>5</v>
      </c>
      <c r="B9" s="157">
        <f>SUM(B7:B8)</f>
        <v>320521141</v>
      </c>
      <c r="C9" s="157">
        <f t="shared" ref="C9:P9" si="1">SUM(C7:C8)</f>
        <v>1668498873</v>
      </c>
      <c r="D9" s="157">
        <f t="shared" si="1"/>
        <v>1734819719</v>
      </c>
      <c r="E9" s="157">
        <f t="shared" si="1"/>
        <v>2738422441</v>
      </c>
      <c r="F9" s="157">
        <f t="shared" si="1"/>
        <v>2698483819</v>
      </c>
      <c r="G9" s="157">
        <f t="shared" si="1"/>
        <v>2789475342</v>
      </c>
      <c r="H9" s="157">
        <f t="shared" si="1"/>
        <v>4000741388</v>
      </c>
      <c r="I9" s="157">
        <f t="shared" si="1"/>
        <v>3855007977</v>
      </c>
      <c r="J9" s="157">
        <f t="shared" si="1"/>
        <v>3878393843</v>
      </c>
      <c r="K9" s="157">
        <f t="shared" si="1"/>
        <v>4144365487</v>
      </c>
      <c r="L9" s="157">
        <f t="shared" si="1"/>
        <v>4488569069</v>
      </c>
      <c r="M9" s="157">
        <f t="shared" si="1"/>
        <v>4868095145</v>
      </c>
      <c r="N9" s="157">
        <f t="shared" si="1"/>
        <v>5785971147</v>
      </c>
      <c r="O9" s="157">
        <f t="shared" si="1"/>
        <v>7335293844</v>
      </c>
      <c r="P9" s="157">
        <f t="shared" si="1"/>
        <v>990911973</v>
      </c>
    </row>
    <row r="10" spans="1:16">
      <c r="A10" s="1" t="s">
        <v>37</v>
      </c>
      <c r="B10" s="157"/>
      <c r="C10" s="157"/>
      <c r="D10" s="157"/>
      <c r="E10" s="157"/>
      <c r="F10" s="157"/>
      <c r="G10" s="157"/>
      <c r="H10" s="157"/>
      <c r="I10" s="157"/>
      <c r="J10" s="157"/>
      <c r="K10" s="157"/>
      <c r="L10" s="157"/>
      <c r="M10" s="157"/>
      <c r="N10" s="157"/>
      <c r="O10" s="157"/>
      <c r="P10" s="157"/>
    </row>
    <row r="11" spans="1:16">
      <c r="A11" s="1" t="s">
        <v>412</v>
      </c>
      <c r="B11" s="157">
        <v>57876</v>
      </c>
      <c r="C11" s="157">
        <v>3600644</v>
      </c>
      <c r="D11" s="157">
        <v>27007251</v>
      </c>
      <c r="E11" s="157">
        <v>2331140</v>
      </c>
      <c r="F11" s="157">
        <v>92250</v>
      </c>
      <c r="G11" s="157">
        <v>27297</v>
      </c>
      <c r="H11" s="157">
        <v>127612</v>
      </c>
      <c r="I11" s="157">
        <v>89611</v>
      </c>
      <c r="J11" s="157">
        <v>639062</v>
      </c>
      <c r="K11" s="157">
        <v>147905</v>
      </c>
      <c r="L11" s="157">
        <v>0</v>
      </c>
      <c r="M11" s="157">
        <v>86016</v>
      </c>
      <c r="N11" s="157">
        <v>1096278</v>
      </c>
      <c r="O11" s="157">
        <v>1462</v>
      </c>
      <c r="P11" s="157">
        <v>1</v>
      </c>
    </row>
    <row r="12" spans="1:16">
      <c r="A12" s="1" t="s">
        <v>413</v>
      </c>
      <c r="B12" s="157">
        <v>28497323</v>
      </c>
      <c r="C12" s="157">
        <v>222269087</v>
      </c>
      <c r="D12" s="157">
        <v>598657696</v>
      </c>
      <c r="E12" s="157">
        <v>555209222</v>
      </c>
      <c r="F12" s="157">
        <v>142644955</v>
      </c>
      <c r="G12" s="157">
        <v>145410309</v>
      </c>
      <c r="H12" s="157">
        <v>97963388</v>
      </c>
      <c r="I12" s="157">
        <v>144823143</v>
      </c>
      <c r="J12" s="157">
        <v>178655321</v>
      </c>
      <c r="K12" s="157">
        <v>322083460</v>
      </c>
      <c r="L12" s="157">
        <v>335235403</v>
      </c>
      <c r="M12" s="157">
        <v>233480555</v>
      </c>
      <c r="N12" s="157">
        <v>339154135</v>
      </c>
      <c r="O12" s="157">
        <v>252863328</v>
      </c>
      <c r="P12" s="157">
        <v>48334812</v>
      </c>
    </row>
    <row r="13" spans="1:16">
      <c r="A13" s="1" t="s">
        <v>5</v>
      </c>
      <c r="B13" s="157">
        <f>SUM(B11:B12)</f>
        <v>28555199</v>
      </c>
      <c r="C13" s="157">
        <f t="shared" ref="C13:P13" si="2">SUM(C11:C12)</f>
        <v>225869731</v>
      </c>
      <c r="D13" s="157">
        <f t="shared" si="2"/>
        <v>625664947</v>
      </c>
      <c r="E13" s="157">
        <f t="shared" si="2"/>
        <v>557540362</v>
      </c>
      <c r="F13" s="157">
        <f t="shared" si="2"/>
        <v>142737205</v>
      </c>
      <c r="G13" s="157">
        <f t="shared" si="2"/>
        <v>145437606</v>
      </c>
      <c r="H13" s="157">
        <f t="shared" si="2"/>
        <v>98091000</v>
      </c>
      <c r="I13" s="157">
        <f t="shared" si="2"/>
        <v>144912754</v>
      </c>
      <c r="J13" s="157">
        <f t="shared" si="2"/>
        <v>179294383</v>
      </c>
      <c r="K13" s="157">
        <f t="shared" si="2"/>
        <v>322231365</v>
      </c>
      <c r="L13" s="157">
        <f t="shared" si="2"/>
        <v>335235403</v>
      </c>
      <c r="M13" s="157">
        <f t="shared" si="2"/>
        <v>233566571</v>
      </c>
      <c r="N13" s="157">
        <f t="shared" si="2"/>
        <v>340250413</v>
      </c>
      <c r="O13" s="157">
        <f t="shared" si="2"/>
        <v>252864790</v>
      </c>
      <c r="P13" s="157">
        <f t="shared" si="2"/>
        <v>48334813</v>
      </c>
    </row>
    <row r="14" spans="1:16">
      <c r="A14" s="1" t="s">
        <v>38</v>
      </c>
      <c r="B14" s="157"/>
      <c r="C14" s="157"/>
      <c r="D14" s="157"/>
      <c r="E14" s="157"/>
      <c r="F14" s="157"/>
      <c r="G14" s="157"/>
      <c r="H14" s="157"/>
      <c r="I14" s="157"/>
      <c r="J14" s="157"/>
      <c r="K14" s="157"/>
      <c r="L14" s="157"/>
      <c r="M14" s="157"/>
      <c r="N14" s="157"/>
      <c r="O14" s="157"/>
      <c r="P14" s="157"/>
    </row>
    <row r="15" spans="1:16">
      <c r="A15" s="1" t="s">
        <v>412</v>
      </c>
      <c r="B15" s="157">
        <v>10244607</v>
      </c>
      <c r="C15" s="157">
        <v>30837903</v>
      </c>
      <c r="D15" s="157">
        <v>14400830</v>
      </c>
      <c r="E15" s="157">
        <v>103713251</v>
      </c>
      <c r="F15" s="157">
        <v>279049327</v>
      </c>
      <c r="G15" s="157">
        <v>198965192</v>
      </c>
      <c r="H15" s="157">
        <v>226370183</v>
      </c>
      <c r="I15" s="157">
        <v>263361866</v>
      </c>
      <c r="J15" s="157">
        <v>192109311</v>
      </c>
      <c r="K15" s="157">
        <v>214587421</v>
      </c>
      <c r="L15" s="157">
        <v>145632840</v>
      </c>
      <c r="M15" s="157">
        <v>154212005</v>
      </c>
      <c r="N15" s="157">
        <v>140334185</v>
      </c>
      <c r="O15" s="157">
        <v>113310182</v>
      </c>
      <c r="P15" s="157">
        <v>12719065</v>
      </c>
    </row>
    <row r="16" spans="1:16">
      <c r="A16" s="1" t="s">
        <v>413</v>
      </c>
      <c r="B16" s="157">
        <v>6359193794</v>
      </c>
      <c r="C16" s="157">
        <v>13115171023</v>
      </c>
      <c r="D16" s="157">
        <v>12961505750</v>
      </c>
      <c r="E16" s="157">
        <v>13242678875</v>
      </c>
      <c r="F16" s="157">
        <v>14072545059</v>
      </c>
      <c r="G16" s="157">
        <v>14635038857</v>
      </c>
      <c r="H16" s="157">
        <v>14929996824</v>
      </c>
      <c r="I16" s="157">
        <v>14951701058</v>
      </c>
      <c r="J16" s="157">
        <v>14987755104</v>
      </c>
      <c r="K16" s="157">
        <v>14700802843</v>
      </c>
      <c r="L16" s="157">
        <v>12837626504</v>
      </c>
      <c r="M16" s="157">
        <v>14099294297</v>
      </c>
      <c r="N16" s="157">
        <v>14398702001</v>
      </c>
      <c r="O16" s="157">
        <v>14358499964</v>
      </c>
      <c r="P16" s="157">
        <v>511234147</v>
      </c>
    </row>
    <row r="17" spans="1:16">
      <c r="A17" s="1" t="s">
        <v>5</v>
      </c>
      <c r="B17" s="157">
        <f>SUM(B15:B16)</f>
        <v>6369438401</v>
      </c>
      <c r="C17" s="157">
        <f t="shared" ref="C17:P17" si="3">SUM(C15:C16)</f>
        <v>13146008926</v>
      </c>
      <c r="D17" s="157">
        <f t="shared" si="3"/>
        <v>12975906580</v>
      </c>
      <c r="E17" s="157">
        <f t="shared" si="3"/>
        <v>13346392126</v>
      </c>
      <c r="F17" s="157">
        <f t="shared" si="3"/>
        <v>14351594386</v>
      </c>
      <c r="G17" s="157">
        <f t="shared" si="3"/>
        <v>14834004049</v>
      </c>
      <c r="H17" s="157">
        <f t="shared" si="3"/>
        <v>15156367007</v>
      </c>
      <c r="I17" s="157">
        <f t="shared" si="3"/>
        <v>15215062924</v>
      </c>
      <c r="J17" s="157">
        <f t="shared" si="3"/>
        <v>15179864415</v>
      </c>
      <c r="K17" s="157">
        <f t="shared" si="3"/>
        <v>14915390264</v>
      </c>
      <c r="L17" s="157">
        <f t="shared" si="3"/>
        <v>12983259344</v>
      </c>
      <c r="M17" s="157">
        <f t="shared" si="3"/>
        <v>14253506302</v>
      </c>
      <c r="N17" s="157">
        <f t="shared" si="3"/>
        <v>14539036186</v>
      </c>
      <c r="O17" s="157">
        <f t="shared" si="3"/>
        <v>14471810146</v>
      </c>
      <c r="P17" s="157">
        <f t="shared" si="3"/>
        <v>523953212</v>
      </c>
    </row>
    <row r="18" spans="1:16">
      <c r="A18" s="1" t="s">
        <v>39</v>
      </c>
      <c r="B18" s="157"/>
      <c r="C18" s="157"/>
      <c r="D18" s="157"/>
      <c r="E18" s="157"/>
      <c r="F18" s="157"/>
      <c r="G18" s="157"/>
      <c r="H18" s="157"/>
      <c r="I18" s="157"/>
      <c r="J18" s="157"/>
      <c r="K18" s="157"/>
      <c r="L18" s="157"/>
      <c r="M18" s="157"/>
      <c r="N18" s="157"/>
      <c r="O18" s="157"/>
      <c r="P18" s="157"/>
    </row>
    <row r="19" spans="1:16">
      <c r="A19" s="1" t="s">
        <v>412</v>
      </c>
      <c r="B19" s="157">
        <v>0</v>
      </c>
      <c r="C19" s="157">
        <v>0</v>
      </c>
      <c r="D19" s="157">
        <v>0</v>
      </c>
      <c r="E19" s="157">
        <v>0</v>
      </c>
      <c r="F19" s="157">
        <v>4997</v>
      </c>
      <c r="G19" s="157">
        <v>10157</v>
      </c>
      <c r="H19" s="157">
        <v>12758</v>
      </c>
      <c r="I19" s="157">
        <v>75602</v>
      </c>
      <c r="J19" s="157">
        <v>0</v>
      </c>
      <c r="K19" s="157">
        <v>0</v>
      </c>
      <c r="L19" s="157">
        <v>0</v>
      </c>
      <c r="M19" s="157">
        <v>0</v>
      </c>
      <c r="N19" s="157">
        <v>0</v>
      </c>
      <c r="O19" s="157">
        <v>0</v>
      </c>
      <c r="P19" s="157">
        <v>0</v>
      </c>
    </row>
    <row r="20" spans="1:16">
      <c r="A20" s="1" t="s">
        <v>413</v>
      </c>
      <c r="B20" s="157">
        <v>0</v>
      </c>
      <c r="C20" s="157">
        <v>0</v>
      </c>
      <c r="D20" s="157">
        <v>1741</v>
      </c>
      <c r="E20" s="157">
        <v>392033</v>
      </c>
      <c r="F20" s="157">
        <v>45449</v>
      </c>
      <c r="G20" s="157">
        <v>207373</v>
      </c>
      <c r="H20" s="157">
        <v>521671</v>
      </c>
      <c r="I20" s="157">
        <v>1667833</v>
      </c>
      <c r="J20" s="157">
        <v>2440000</v>
      </c>
      <c r="K20" s="157">
        <v>1315941</v>
      </c>
      <c r="L20" s="157">
        <v>55892</v>
      </c>
      <c r="M20" s="157">
        <v>247518</v>
      </c>
      <c r="N20" s="157">
        <v>236352</v>
      </c>
      <c r="O20" s="157">
        <v>208643</v>
      </c>
      <c r="P20" s="157">
        <v>23875</v>
      </c>
    </row>
    <row r="21" spans="1:16">
      <c r="A21" s="1" t="s">
        <v>5</v>
      </c>
      <c r="B21" s="157">
        <f>SUM(B19:B20)</f>
        <v>0</v>
      </c>
      <c r="C21" s="157">
        <f t="shared" ref="C21:P21" si="4">SUM(C19:C20)</f>
        <v>0</v>
      </c>
      <c r="D21" s="157">
        <f t="shared" si="4"/>
        <v>1741</v>
      </c>
      <c r="E21" s="157">
        <f t="shared" si="4"/>
        <v>392033</v>
      </c>
      <c r="F21" s="157">
        <f t="shared" si="4"/>
        <v>50446</v>
      </c>
      <c r="G21" s="157">
        <f t="shared" si="4"/>
        <v>217530</v>
      </c>
      <c r="H21" s="157">
        <f t="shared" si="4"/>
        <v>534429</v>
      </c>
      <c r="I21" s="157">
        <f t="shared" si="4"/>
        <v>1743435</v>
      </c>
      <c r="J21" s="157">
        <f t="shared" si="4"/>
        <v>2440000</v>
      </c>
      <c r="K21" s="157">
        <f t="shared" si="4"/>
        <v>1315941</v>
      </c>
      <c r="L21" s="157">
        <f t="shared" si="4"/>
        <v>55892</v>
      </c>
      <c r="M21" s="157">
        <f t="shared" si="4"/>
        <v>247518</v>
      </c>
      <c r="N21" s="157">
        <f t="shared" si="4"/>
        <v>236352</v>
      </c>
      <c r="O21" s="157">
        <f t="shared" si="4"/>
        <v>208643</v>
      </c>
      <c r="P21" s="157">
        <f t="shared" si="4"/>
        <v>23875</v>
      </c>
    </row>
    <row r="22" spans="1:16">
      <c r="L22" s="156"/>
      <c r="M22" s="156"/>
      <c r="N22" s="156"/>
      <c r="O22" s="156"/>
      <c r="P22" s="156"/>
    </row>
    <row r="24" spans="1:16">
      <c r="A24" s="1" t="s">
        <v>414</v>
      </c>
    </row>
    <row r="25" spans="1:16">
      <c r="A25" s="1" t="s">
        <v>35</v>
      </c>
      <c r="B25" s="158">
        <f>B5-B29</f>
        <v>0</v>
      </c>
      <c r="C25" s="158">
        <f t="shared" ref="C25:K25" si="5">C5-C29</f>
        <v>0</v>
      </c>
      <c r="D25" s="158">
        <f t="shared" si="5"/>
        <v>0</v>
      </c>
      <c r="E25" s="158">
        <f t="shared" si="5"/>
        <v>121704</v>
      </c>
      <c r="F25" s="158">
        <f t="shared" si="5"/>
        <v>11840574</v>
      </c>
      <c r="G25" s="158">
        <f t="shared" si="5"/>
        <v>26171172</v>
      </c>
      <c r="H25" s="158">
        <f t="shared" si="5"/>
        <v>-10950</v>
      </c>
      <c r="I25" s="158">
        <f t="shared" si="5"/>
        <v>-11565689</v>
      </c>
      <c r="J25" s="158">
        <f t="shared" si="5"/>
        <v>26155800</v>
      </c>
      <c r="K25" s="158">
        <f t="shared" si="5"/>
        <v>-5003548</v>
      </c>
      <c r="L25" s="158">
        <f>L5-L29</f>
        <v>1020485</v>
      </c>
      <c r="M25" s="158">
        <f>M5-M29</f>
        <v>494020</v>
      </c>
      <c r="N25" s="158">
        <f>N5-N29</f>
        <v>2738045</v>
      </c>
      <c r="O25" s="158">
        <f>O5-O29</f>
        <v>6200022</v>
      </c>
      <c r="P25" s="158">
        <f>P5-P29</f>
        <v>0</v>
      </c>
    </row>
    <row r="26" spans="1:16">
      <c r="A26" s="1" t="s">
        <v>328</v>
      </c>
      <c r="B26" s="157">
        <f>'RIN Retirements'!B26</f>
        <v>0</v>
      </c>
      <c r="C26" s="157">
        <f>'RIN Retirements'!C26</f>
        <v>0</v>
      </c>
      <c r="D26" s="157">
        <f>'RIN Retirements'!D26</f>
        <v>0</v>
      </c>
      <c r="E26" s="157">
        <f>'RIN Retirements'!E26</f>
        <v>0</v>
      </c>
      <c r="F26" s="157">
        <f>'RIN Retirements'!F26</f>
        <v>342326</v>
      </c>
      <c r="G26" s="157">
        <f>'RIN Retirements'!G26</f>
        <v>2024139</v>
      </c>
      <c r="H26" s="157">
        <f>'RIN Retirements'!H26</f>
        <v>2061978</v>
      </c>
      <c r="I26" s="157">
        <f>'RIN Retirements'!I26</f>
        <v>45292</v>
      </c>
      <c r="J26" s="157">
        <f>'RIN Retirements'!J26</f>
        <v>9969</v>
      </c>
      <c r="K26" s="157">
        <f>'RIN Retirements'!K26</f>
        <v>1331600</v>
      </c>
      <c r="L26" s="157">
        <f>'RIN Retirements'!L26</f>
        <v>713562</v>
      </c>
      <c r="M26" s="157">
        <f>'RIN Retirements'!M26</f>
        <v>5205881</v>
      </c>
      <c r="N26" s="157">
        <f>'RIN Retirements'!N26</f>
        <v>5286255</v>
      </c>
      <c r="O26" s="157">
        <f>'RIN Retirements'!O26</f>
        <v>1587010</v>
      </c>
      <c r="P26" s="157">
        <f>'RIN Retirements'!P26</f>
        <v>1130290</v>
      </c>
    </row>
    <row r="27" spans="1:16">
      <c r="A27" s="1" t="s">
        <v>415</v>
      </c>
      <c r="B27" s="157">
        <f>'RIN Retirements'!B48</f>
        <v>0</v>
      </c>
      <c r="C27" s="157">
        <f>'RIN Retirements'!C48</f>
        <v>0</v>
      </c>
      <c r="D27" s="157">
        <f>'RIN Retirements'!D48</f>
        <v>0</v>
      </c>
      <c r="E27" s="157">
        <f>'RIN Retirements'!E48</f>
        <v>0</v>
      </c>
      <c r="F27" s="157">
        <f>'RIN Retirements'!F48</f>
        <v>34590</v>
      </c>
      <c r="G27" s="157">
        <f>'RIN Retirements'!G48</f>
        <v>611836</v>
      </c>
      <c r="H27" s="157">
        <f>'RIN Retirements'!H48</f>
        <v>309260</v>
      </c>
      <c r="I27" s="157">
        <f>'RIN Retirements'!I48</f>
        <v>1863175</v>
      </c>
      <c r="J27" s="157">
        <f>'RIN Retirements'!J48</f>
        <v>2598125</v>
      </c>
      <c r="K27" s="157">
        <f>'RIN Retirements'!K48</f>
        <v>7027632</v>
      </c>
      <c r="L27" s="157">
        <f>'RIN Retirements'!L48</f>
        <v>272168</v>
      </c>
      <c r="M27" s="157">
        <f>'RIN Retirements'!M48</f>
        <v>188487</v>
      </c>
      <c r="N27" s="157">
        <f>'RIN Retirements'!N48</f>
        <v>411566</v>
      </c>
      <c r="O27" s="157">
        <f>'RIN Retirements'!O48</f>
        <v>338727</v>
      </c>
      <c r="P27" s="157">
        <f>'RIN Retirements'!P48</f>
        <v>24650</v>
      </c>
    </row>
    <row r="28" spans="1:16">
      <c r="A28" s="1" t="s">
        <v>416</v>
      </c>
      <c r="B28" s="157">
        <f>'RIN Retirements'!B4</f>
        <v>0</v>
      </c>
      <c r="C28" s="157">
        <f>'RIN Retirements'!C4</f>
        <v>0</v>
      </c>
      <c r="D28" s="157">
        <f>'RIN Retirements'!D4</f>
        <v>0</v>
      </c>
      <c r="E28" s="157">
        <f>'RIN Retirements'!E4</f>
        <v>293023</v>
      </c>
      <c r="F28" s="157">
        <f>'RIN Retirements'!F4</f>
        <v>21143070</v>
      </c>
      <c r="G28" s="157">
        <f>'RIN Retirements'!G4</f>
        <v>112841471</v>
      </c>
      <c r="H28" s="157">
        <f>'RIN Retirements'!H4</f>
        <v>189349748</v>
      </c>
      <c r="I28" s="157">
        <f>'RIN Retirements'!I4</f>
        <v>259889372</v>
      </c>
      <c r="J28" s="157">
        <f>'RIN Retirements'!J4</f>
        <v>283940157</v>
      </c>
      <c r="K28" s="157">
        <f>'RIN Retirements'!K4</f>
        <v>410620831</v>
      </c>
      <c r="L28" s="157">
        <f>'RIN Retirements'!L4</f>
        <v>503825187</v>
      </c>
      <c r="M28" s="157">
        <f>'RIN Retirements'!M4</f>
        <v>562494390</v>
      </c>
      <c r="N28" s="157">
        <f>'RIN Retirements'!N4</f>
        <v>660045831</v>
      </c>
      <c r="O28" s="157">
        <f>'RIN Retirements'!O4</f>
        <v>735796504</v>
      </c>
      <c r="P28" s="157">
        <f>'RIN Retirements'!P4</f>
        <v>67979</v>
      </c>
    </row>
    <row r="29" spans="1:16">
      <c r="A29" s="1" t="s">
        <v>5</v>
      </c>
      <c r="B29" s="157">
        <f>SUM(B26:B28)</f>
        <v>0</v>
      </c>
      <c r="C29" s="157">
        <f t="shared" ref="C29:K29" si="6">SUM(C26:C28)</f>
        <v>0</v>
      </c>
      <c r="D29" s="157">
        <f t="shared" si="6"/>
        <v>0</v>
      </c>
      <c r="E29" s="157">
        <f>SUM(E26:E28)</f>
        <v>293023</v>
      </c>
      <c r="F29" s="157">
        <f t="shared" si="6"/>
        <v>21519986</v>
      </c>
      <c r="G29" s="157">
        <f t="shared" si="6"/>
        <v>115477446</v>
      </c>
      <c r="H29" s="157">
        <f t="shared" si="6"/>
        <v>191720986</v>
      </c>
      <c r="I29" s="157">
        <f t="shared" si="6"/>
        <v>261797839</v>
      </c>
      <c r="J29" s="157">
        <f t="shared" si="6"/>
        <v>286548251</v>
      </c>
      <c r="K29" s="157">
        <f t="shared" si="6"/>
        <v>418980063</v>
      </c>
      <c r="L29" s="157">
        <f>SUM(L26:L28)</f>
        <v>504810917</v>
      </c>
      <c r="M29" s="157">
        <f>SUM(M26:M28)</f>
        <v>567888758</v>
      </c>
      <c r="N29" s="157">
        <f>SUM(N26:N28)</f>
        <v>665743652</v>
      </c>
      <c r="O29" s="157">
        <f>SUM(O26:O28)</f>
        <v>737722241</v>
      </c>
      <c r="P29" s="157">
        <f>SUM(P26:P28)</f>
        <v>1222919</v>
      </c>
    </row>
    <row r="30" spans="1:16">
      <c r="A30" s="1" t="s">
        <v>36</v>
      </c>
      <c r="B30" s="158">
        <f>B9-B34</f>
        <v>60764165</v>
      </c>
      <c r="C30" s="158">
        <f t="shared" ref="C30:K30" si="7">C9-C34</f>
        <v>236295938</v>
      </c>
      <c r="D30" s="158">
        <f t="shared" si="7"/>
        <v>-35040271</v>
      </c>
      <c r="E30" s="158">
        <f t="shared" si="7"/>
        <v>257762091</v>
      </c>
      <c r="F30" s="158">
        <f t="shared" si="7"/>
        <v>-121298340</v>
      </c>
      <c r="G30" s="158">
        <f t="shared" si="7"/>
        <v>-132645790</v>
      </c>
      <c r="H30" s="158">
        <f t="shared" si="7"/>
        <v>597724825</v>
      </c>
      <c r="I30" s="158">
        <f t="shared" si="7"/>
        <v>-101389069</v>
      </c>
      <c r="J30" s="158">
        <f t="shared" si="7"/>
        <v>-132110231</v>
      </c>
      <c r="K30" s="158">
        <f t="shared" si="7"/>
        <v>-446660324</v>
      </c>
      <c r="L30" s="158">
        <f>L9-L34</f>
        <v>11891716</v>
      </c>
      <c r="M30" s="158">
        <f>M9-M34</f>
        <v>310591</v>
      </c>
      <c r="N30" s="158">
        <f>N9-N34</f>
        <v>14587971</v>
      </c>
      <c r="O30" s="158">
        <f>O9-O34</f>
        <v>87162041</v>
      </c>
      <c r="P30" s="158">
        <f>P9-P34</f>
        <v>0</v>
      </c>
    </row>
    <row r="31" spans="1:16">
      <c r="A31" s="1" t="s">
        <v>328</v>
      </c>
      <c r="B31" s="157">
        <f>'RIN Retirements'!B30</f>
        <v>13812123</v>
      </c>
      <c r="C31" s="157">
        <f>'RIN Retirements'!C30</f>
        <v>46787035</v>
      </c>
      <c r="D31" s="157">
        <f>'RIN Retirements'!D30</f>
        <v>8948629</v>
      </c>
      <c r="E31" s="157">
        <f>'RIN Retirements'!E30</f>
        <v>9467178</v>
      </c>
      <c r="F31" s="157">
        <f>'RIN Retirements'!F30</f>
        <v>7016765</v>
      </c>
      <c r="G31" s="157">
        <f>'RIN Retirements'!G30</f>
        <v>2880290</v>
      </c>
      <c r="H31" s="157">
        <f>'RIN Retirements'!H30</f>
        <v>6188858</v>
      </c>
      <c r="I31" s="157">
        <f>'RIN Retirements'!I30</f>
        <v>19001829</v>
      </c>
      <c r="J31" s="157">
        <f>'RIN Retirements'!J30</f>
        <v>17769931</v>
      </c>
      <c r="K31" s="157">
        <f>'RIN Retirements'!K30</f>
        <v>6487441</v>
      </c>
      <c r="L31" s="157">
        <f>'RIN Retirements'!L30</f>
        <v>31465401</v>
      </c>
      <c r="M31" s="157">
        <f>'RIN Retirements'!M30</f>
        <v>4051418</v>
      </c>
      <c r="N31" s="157">
        <f>'RIN Retirements'!N30</f>
        <v>7849315</v>
      </c>
      <c r="O31" s="157">
        <f>'RIN Retirements'!O30</f>
        <v>2738536</v>
      </c>
      <c r="P31" s="157">
        <f>'RIN Retirements'!P30</f>
        <v>2139574</v>
      </c>
    </row>
    <row r="32" spans="1:16">
      <c r="A32" s="1" t="s">
        <v>415</v>
      </c>
      <c r="B32" s="157">
        <f>'RIN Retirements'!B60</f>
        <v>23234306</v>
      </c>
      <c r="C32" s="157">
        <f>'RIN Retirements'!C60</f>
        <v>65552508</v>
      </c>
      <c r="D32" s="157">
        <f>'RIN Retirements'!D60</f>
        <v>81894839</v>
      </c>
      <c r="E32" s="157">
        <f>'RIN Retirements'!E60</f>
        <v>92149481</v>
      </c>
      <c r="F32" s="157">
        <f>'RIN Retirements'!F60</f>
        <v>91863865</v>
      </c>
      <c r="G32" s="157">
        <f>'RIN Retirements'!G60</f>
        <v>42404725</v>
      </c>
      <c r="H32" s="157">
        <f>'RIN Retirements'!H60</f>
        <v>115007941</v>
      </c>
      <c r="I32" s="157">
        <f>'RIN Retirements'!I60</f>
        <v>92523704</v>
      </c>
      <c r="J32" s="157">
        <f>'RIN Retirements'!J60</f>
        <v>61896826</v>
      </c>
      <c r="K32" s="157">
        <f>'RIN Retirements'!K60</f>
        <v>119105486</v>
      </c>
      <c r="L32" s="157">
        <f>'RIN Retirements'!L60</f>
        <v>156678533</v>
      </c>
      <c r="M32" s="157">
        <f>'RIN Retirements'!M60</f>
        <v>57856494</v>
      </c>
      <c r="N32" s="157">
        <f>'RIN Retirements'!N60</f>
        <v>125079266</v>
      </c>
      <c r="O32" s="157">
        <f>'RIN Retirements'!O60</f>
        <v>128065357</v>
      </c>
      <c r="P32" s="157">
        <f>'RIN Retirements'!P60</f>
        <v>16273483</v>
      </c>
    </row>
    <row r="33" spans="1:16">
      <c r="A33" s="1" t="s">
        <v>416</v>
      </c>
      <c r="B33" s="157">
        <f>'RIN Retirements'!B8</f>
        <v>222710547</v>
      </c>
      <c r="C33" s="157">
        <f>'RIN Retirements'!C8</f>
        <v>1319863392</v>
      </c>
      <c r="D33" s="157">
        <f>'RIN Retirements'!D8</f>
        <v>1679016522</v>
      </c>
      <c r="E33" s="157">
        <f>'RIN Retirements'!E8</f>
        <v>2379043691</v>
      </c>
      <c r="F33" s="157">
        <f>'RIN Retirements'!F8</f>
        <v>2720901529</v>
      </c>
      <c r="G33" s="157">
        <f>'RIN Retirements'!G8</f>
        <v>2876836117</v>
      </c>
      <c r="H33" s="157">
        <f>'RIN Retirements'!H8</f>
        <v>3281819764</v>
      </c>
      <c r="I33" s="157">
        <f>'RIN Retirements'!I8</f>
        <v>3844871513</v>
      </c>
      <c r="J33" s="157">
        <f>'RIN Retirements'!J8</f>
        <v>3930837317</v>
      </c>
      <c r="K33" s="157">
        <f>'RIN Retirements'!K8</f>
        <v>4465432884</v>
      </c>
      <c r="L33" s="157">
        <f>'RIN Retirements'!L8</f>
        <v>4288533419</v>
      </c>
      <c r="M33" s="157">
        <f>'RIN Retirements'!M8</f>
        <v>4805876642</v>
      </c>
      <c r="N33" s="157">
        <f>'RIN Retirements'!N8</f>
        <v>5638454595</v>
      </c>
      <c r="O33" s="157">
        <f>'RIN Retirements'!O8</f>
        <v>7117327910</v>
      </c>
      <c r="P33" s="157">
        <f>'RIN Retirements'!P8</f>
        <v>972498916</v>
      </c>
    </row>
    <row r="34" spans="1:16">
      <c r="A34" s="1" t="s">
        <v>5</v>
      </c>
      <c r="B34" s="157">
        <f>SUM(B31:B33)</f>
        <v>259756976</v>
      </c>
      <c r="C34" s="157">
        <f t="shared" ref="C34:K34" si="8">SUM(C31:C33)</f>
        <v>1432202935</v>
      </c>
      <c r="D34" s="157">
        <f t="shared" si="8"/>
        <v>1769859990</v>
      </c>
      <c r="E34" s="157">
        <f t="shared" si="8"/>
        <v>2480660350</v>
      </c>
      <c r="F34" s="157">
        <f t="shared" si="8"/>
        <v>2819782159</v>
      </c>
      <c r="G34" s="157">
        <f t="shared" si="8"/>
        <v>2922121132</v>
      </c>
      <c r="H34" s="157">
        <f t="shared" si="8"/>
        <v>3403016563</v>
      </c>
      <c r="I34" s="157">
        <f t="shared" si="8"/>
        <v>3956397046</v>
      </c>
      <c r="J34" s="157">
        <f t="shared" si="8"/>
        <v>4010504074</v>
      </c>
      <c r="K34" s="157">
        <f t="shared" si="8"/>
        <v>4591025811</v>
      </c>
      <c r="L34" s="157">
        <f>SUM(L31:L33)</f>
        <v>4476677353</v>
      </c>
      <c r="M34" s="157">
        <f>SUM(M31:M33)</f>
        <v>4867784554</v>
      </c>
      <c r="N34" s="157">
        <f>SUM(N31:N33)</f>
        <v>5771383176</v>
      </c>
      <c r="O34" s="157">
        <f>SUM(O31:O33)</f>
        <v>7248131803</v>
      </c>
      <c r="P34" s="157">
        <f>SUM(P31:P33)</f>
        <v>990911973</v>
      </c>
    </row>
    <row r="35" spans="1:16">
      <c r="A35" s="1" t="s">
        <v>37</v>
      </c>
      <c r="B35" s="158">
        <f>B13-B39</f>
        <v>3580101</v>
      </c>
      <c r="C35" s="158">
        <f t="shared" ref="C35:K35" si="9">C13-C39</f>
        <v>47243398</v>
      </c>
      <c r="D35" s="158">
        <f t="shared" si="9"/>
        <v>114471693</v>
      </c>
      <c r="E35" s="158">
        <f t="shared" si="9"/>
        <v>-122489552</v>
      </c>
      <c r="F35" s="158">
        <f t="shared" si="9"/>
        <v>11787099</v>
      </c>
      <c r="G35" s="158">
        <f t="shared" si="9"/>
        <v>43956078</v>
      </c>
      <c r="H35" s="158">
        <f t="shared" si="9"/>
        <v>-83613946</v>
      </c>
      <c r="I35" s="158">
        <f t="shared" si="9"/>
        <v>-5239923</v>
      </c>
      <c r="J35" s="158">
        <f t="shared" si="9"/>
        <v>5955134</v>
      </c>
      <c r="K35" s="158">
        <f t="shared" si="9"/>
        <v>-12541372</v>
      </c>
      <c r="L35" s="158">
        <f>L13-L39</f>
        <v>2751513</v>
      </c>
      <c r="M35" s="158">
        <f>M13-M39</f>
        <v>0</v>
      </c>
      <c r="N35" s="158">
        <f>N13-N39</f>
        <v>45000</v>
      </c>
      <c r="O35" s="158">
        <f>O13-O39</f>
        <v>44178</v>
      </c>
      <c r="P35" s="158">
        <f>P13-P39</f>
        <v>0</v>
      </c>
    </row>
    <row r="36" spans="1:16">
      <c r="A36" s="1" t="s">
        <v>328</v>
      </c>
      <c r="B36" s="157">
        <f>'RIN Retirements'!B34</f>
        <v>65268</v>
      </c>
      <c r="C36" s="157">
        <f>'RIN Retirements'!C34</f>
        <v>3600279</v>
      </c>
      <c r="D36" s="157">
        <f>'RIN Retirements'!D34</f>
        <v>29709496</v>
      </c>
      <c r="E36" s="157">
        <f>'RIN Retirements'!E34</f>
        <v>6246169</v>
      </c>
      <c r="F36" s="157">
        <f>'RIN Retirements'!F34</f>
        <v>124707</v>
      </c>
      <c r="G36" s="157">
        <f>'RIN Retirements'!G34</f>
        <v>262346</v>
      </c>
      <c r="H36" s="157">
        <f>'RIN Retirements'!H34</f>
        <v>132964</v>
      </c>
      <c r="I36" s="157">
        <f>'RIN Retirements'!I34</f>
        <v>92528</v>
      </c>
      <c r="J36" s="157">
        <f>'RIN Retirements'!J34</f>
        <v>896380</v>
      </c>
      <c r="K36" s="157">
        <f>'RIN Retirements'!K34</f>
        <v>212781</v>
      </c>
      <c r="L36" s="157">
        <f>'RIN Retirements'!L34</f>
        <v>15024</v>
      </c>
      <c r="M36" s="157">
        <f>'RIN Retirements'!M34</f>
        <v>865752</v>
      </c>
      <c r="N36" s="157">
        <f>'RIN Retirements'!N34</f>
        <v>7009152</v>
      </c>
      <c r="O36" s="157">
        <f>'RIN Retirements'!O34</f>
        <v>2433356</v>
      </c>
      <c r="P36" s="157">
        <f>'RIN Retirements'!P34</f>
        <v>2103</v>
      </c>
    </row>
    <row r="37" spans="1:16">
      <c r="A37" s="1" t="s">
        <v>415</v>
      </c>
      <c r="B37" s="157">
        <f>'RIN Retirements'!B72</f>
        <v>101388</v>
      </c>
      <c r="C37" s="157">
        <f>'RIN Retirements'!C72</f>
        <v>1709550</v>
      </c>
      <c r="D37" s="157">
        <f>'RIN Retirements'!D72</f>
        <v>212008</v>
      </c>
      <c r="E37" s="157">
        <f>'RIN Retirements'!E72</f>
        <v>173205</v>
      </c>
      <c r="F37" s="157">
        <f>'RIN Retirements'!F72</f>
        <v>95719</v>
      </c>
      <c r="G37" s="157">
        <f>'RIN Retirements'!G72</f>
        <v>15781</v>
      </c>
      <c r="H37" s="157">
        <f>'RIN Retirements'!H72</f>
        <v>15077</v>
      </c>
      <c r="I37" s="157">
        <f>'RIN Retirements'!I72</f>
        <v>28524</v>
      </c>
      <c r="J37" s="157">
        <f>'RIN Retirements'!J72</f>
        <v>202693</v>
      </c>
      <c r="K37" s="157">
        <f>'RIN Retirements'!K72</f>
        <v>2741046</v>
      </c>
      <c r="L37" s="157">
        <f>'RIN Retirements'!L72</f>
        <v>232474</v>
      </c>
      <c r="M37" s="157">
        <f>'RIN Retirements'!M72</f>
        <v>150852</v>
      </c>
      <c r="N37" s="157">
        <f>'RIN Retirements'!N72</f>
        <v>5644647</v>
      </c>
      <c r="O37" s="157">
        <f>'RIN Retirements'!O72</f>
        <v>1038178</v>
      </c>
      <c r="P37" s="157">
        <f>'RIN Retirements'!P72</f>
        <v>2369109</v>
      </c>
    </row>
    <row r="38" spans="1:16">
      <c r="A38" s="1" t="s">
        <v>416</v>
      </c>
      <c r="B38" s="157">
        <f>'RIN Retirements'!B12</f>
        <v>24808442</v>
      </c>
      <c r="C38" s="157">
        <f>'RIN Retirements'!C12</f>
        <v>173316504</v>
      </c>
      <c r="D38" s="157">
        <f>'RIN Retirements'!D12</f>
        <v>481271750</v>
      </c>
      <c r="E38" s="157">
        <f>'RIN Retirements'!E12</f>
        <v>673610540</v>
      </c>
      <c r="F38" s="157">
        <f>'RIN Retirements'!F12</f>
        <v>130729680</v>
      </c>
      <c r="G38" s="157">
        <f>'RIN Retirements'!G12</f>
        <v>101203401</v>
      </c>
      <c r="H38" s="157">
        <f>'RIN Retirements'!H12</f>
        <v>181556905</v>
      </c>
      <c r="I38" s="157">
        <f>'RIN Retirements'!I12</f>
        <v>150031625</v>
      </c>
      <c r="J38" s="157">
        <f>'RIN Retirements'!J12</f>
        <v>172240176</v>
      </c>
      <c r="K38" s="157">
        <f>'RIN Retirements'!K12</f>
        <v>331818910</v>
      </c>
      <c r="L38" s="157">
        <f>'RIN Retirements'!L12</f>
        <v>332236392</v>
      </c>
      <c r="M38" s="157">
        <f>'RIN Retirements'!M12</f>
        <v>232549967</v>
      </c>
      <c r="N38" s="157">
        <f>'RIN Retirements'!N12</f>
        <v>327551614</v>
      </c>
      <c r="O38" s="157">
        <f>'RIN Retirements'!O12</f>
        <v>249349078</v>
      </c>
      <c r="P38" s="157">
        <f>'RIN Retirements'!P12</f>
        <v>45963601</v>
      </c>
    </row>
    <row r="39" spans="1:16">
      <c r="A39" s="1" t="s">
        <v>5</v>
      </c>
      <c r="B39" s="157">
        <f>SUM(B36:B38)</f>
        <v>24975098</v>
      </c>
      <c r="C39" s="157">
        <f t="shared" ref="C39:K39" si="10">SUM(C36:C38)</f>
        <v>178626333</v>
      </c>
      <c r="D39" s="157">
        <f t="shared" si="10"/>
        <v>511193254</v>
      </c>
      <c r="E39" s="157">
        <f t="shared" si="10"/>
        <v>680029914</v>
      </c>
      <c r="F39" s="157">
        <f t="shared" si="10"/>
        <v>130950106</v>
      </c>
      <c r="G39" s="157">
        <f t="shared" si="10"/>
        <v>101481528</v>
      </c>
      <c r="H39" s="157">
        <f t="shared" si="10"/>
        <v>181704946</v>
      </c>
      <c r="I39" s="157">
        <f t="shared" si="10"/>
        <v>150152677</v>
      </c>
      <c r="J39" s="157">
        <f t="shared" si="10"/>
        <v>173339249</v>
      </c>
      <c r="K39" s="157">
        <f t="shared" si="10"/>
        <v>334772737</v>
      </c>
      <c r="L39" s="157">
        <f>SUM(L36:L38)</f>
        <v>332483890</v>
      </c>
      <c r="M39" s="157">
        <f>SUM(M36:M38)</f>
        <v>233566571</v>
      </c>
      <c r="N39" s="157">
        <f>SUM(N36:N38)</f>
        <v>340205413</v>
      </c>
      <c r="O39" s="157">
        <f>SUM(O36:O38)</f>
        <v>252820612</v>
      </c>
      <c r="P39" s="157">
        <f>SUM(P36:P38)</f>
        <v>48334813</v>
      </c>
    </row>
    <row r="40" spans="1:16">
      <c r="A40" s="1" t="s">
        <v>38</v>
      </c>
      <c r="B40" s="158">
        <f>B17-B44</f>
        <v>2318660307</v>
      </c>
      <c r="C40" s="158">
        <f t="shared" ref="C40:K40" si="11">C17-C44</f>
        <v>960859735</v>
      </c>
      <c r="D40" s="158">
        <f t="shared" si="11"/>
        <v>-1175965177</v>
      </c>
      <c r="E40" s="158">
        <f t="shared" si="11"/>
        <v>-1020662311</v>
      </c>
      <c r="F40" s="158">
        <f t="shared" si="11"/>
        <v>268627671</v>
      </c>
      <c r="G40" s="158">
        <f t="shared" si="11"/>
        <v>-115489222</v>
      </c>
      <c r="H40" s="158">
        <f t="shared" si="11"/>
        <v>689331593</v>
      </c>
      <c r="I40" s="158">
        <f t="shared" si="11"/>
        <v>973447094</v>
      </c>
      <c r="J40" s="158">
        <f t="shared" si="11"/>
        <v>17322288</v>
      </c>
      <c r="K40" s="158">
        <f t="shared" si="11"/>
        <v>-776776419</v>
      </c>
      <c r="L40" s="158">
        <f>L17-L44</f>
        <v>107650437</v>
      </c>
      <c r="M40" s="158">
        <f>M17-M44</f>
        <v>3465161</v>
      </c>
      <c r="N40" s="158">
        <f>N17-N44</f>
        <v>709239</v>
      </c>
      <c r="O40" s="158">
        <f>O17-O44</f>
        <v>135965203</v>
      </c>
      <c r="P40" s="158">
        <f>P17-P44</f>
        <v>0</v>
      </c>
    </row>
    <row r="41" spans="1:16">
      <c r="A41" s="1" t="s">
        <v>328</v>
      </c>
      <c r="B41" s="157">
        <f>'RIN Retirements'!B38</f>
        <v>11236084</v>
      </c>
      <c r="C41" s="157">
        <f>'RIN Retirements'!C38</f>
        <v>28086050</v>
      </c>
      <c r="D41" s="157">
        <f>'RIN Retirements'!D38</f>
        <v>6953540</v>
      </c>
      <c r="E41" s="157">
        <f>'RIN Retirements'!E38</f>
        <v>24901865</v>
      </c>
      <c r="F41" s="157">
        <f>'RIN Retirements'!F38</f>
        <v>14410773</v>
      </c>
      <c r="G41" s="157">
        <f>'RIN Retirements'!G38</f>
        <v>4319127</v>
      </c>
      <c r="H41" s="157">
        <f>'RIN Retirements'!H38</f>
        <v>18796313</v>
      </c>
      <c r="I41" s="157">
        <f>'RIN Retirements'!I38</f>
        <v>19443026</v>
      </c>
      <c r="J41" s="157">
        <f>'RIN Retirements'!J38</f>
        <v>9303861</v>
      </c>
      <c r="K41" s="157">
        <f>'RIN Retirements'!K38</f>
        <v>10397656</v>
      </c>
      <c r="L41" s="157">
        <f>'RIN Retirements'!L38</f>
        <v>5690923</v>
      </c>
      <c r="M41" s="157">
        <f>'RIN Retirements'!M38</f>
        <v>15146142</v>
      </c>
      <c r="N41" s="157">
        <f>'RIN Retirements'!N38</f>
        <v>13628002</v>
      </c>
      <c r="O41" s="157">
        <f>'RIN Retirements'!O38</f>
        <v>8301447</v>
      </c>
      <c r="P41" s="157">
        <f>'RIN Retirements'!P38</f>
        <v>17141957</v>
      </c>
    </row>
    <row r="42" spans="1:16">
      <c r="A42" s="1" t="s">
        <v>415</v>
      </c>
      <c r="B42" s="157">
        <f>'RIN Retirements'!B84</f>
        <v>75733574</v>
      </c>
      <c r="C42" s="157">
        <f>'RIN Retirements'!C84</f>
        <v>322919460</v>
      </c>
      <c r="D42" s="157">
        <f>'RIN Retirements'!D84</f>
        <v>8652786</v>
      </c>
      <c r="E42" s="157">
        <f>'RIN Retirements'!E84</f>
        <v>84155340</v>
      </c>
      <c r="F42" s="157">
        <f>'RIN Retirements'!F84</f>
        <v>281017846</v>
      </c>
      <c r="G42" s="157">
        <f>'RIN Retirements'!G84</f>
        <v>197682733</v>
      </c>
      <c r="H42" s="157">
        <f>'RIN Retirements'!H84</f>
        <v>212548940</v>
      </c>
      <c r="I42" s="157">
        <f>'RIN Retirements'!I84</f>
        <v>325772681</v>
      </c>
      <c r="J42" s="157">
        <f>'RIN Retirements'!J84</f>
        <v>210302989</v>
      </c>
      <c r="K42" s="157">
        <f>'RIN Retirements'!K84</f>
        <v>299977025</v>
      </c>
      <c r="L42" s="157">
        <f>'RIN Retirements'!L84</f>
        <v>149613210</v>
      </c>
      <c r="M42" s="157">
        <f>'RIN Retirements'!M84</f>
        <v>143479519</v>
      </c>
      <c r="N42" s="157">
        <f>'RIN Retirements'!N84</f>
        <v>135577211</v>
      </c>
      <c r="O42" s="157">
        <f>'RIN Retirements'!O84</f>
        <v>105540529</v>
      </c>
      <c r="P42" s="157">
        <f>'RIN Retirements'!P84</f>
        <v>427314</v>
      </c>
    </row>
    <row r="43" spans="1:16">
      <c r="A43" s="1" t="s">
        <v>416</v>
      </c>
      <c r="B43" s="157">
        <f>'RIN Retirements'!B16</f>
        <v>3963808436</v>
      </c>
      <c r="C43" s="157">
        <f>'RIN Retirements'!C16</f>
        <v>11834143681</v>
      </c>
      <c r="D43" s="157">
        <f>'RIN Retirements'!D16</f>
        <v>14136265431</v>
      </c>
      <c r="E43" s="157">
        <f>'RIN Retirements'!E16</f>
        <v>14257997232</v>
      </c>
      <c r="F43" s="157">
        <f>'RIN Retirements'!F16</f>
        <v>13787538096</v>
      </c>
      <c r="G43" s="157">
        <f>'RIN Retirements'!G16</f>
        <v>14747491411</v>
      </c>
      <c r="H43" s="157">
        <f>'RIN Retirements'!H16</f>
        <v>14235690161</v>
      </c>
      <c r="I43" s="157">
        <f>'RIN Retirements'!I16</f>
        <v>13896400123</v>
      </c>
      <c r="J43" s="157">
        <f>'RIN Retirements'!J16</f>
        <v>14942935277</v>
      </c>
      <c r="K43" s="157">
        <f>'RIN Retirements'!K16</f>
        <v>15381792002</v>
      </c>
      <c r="L43" s="157">
        <f>'RIN Retirements'!L16</f>
        <v>12720304774</v>
      </c>
      <c r="M43" s="157">
        <f>'RIN Retirements'!M16</f>
        <v>14091415480</v>
      </c>
      <c r="N43" s="157">
        <f>'RIN Retirements'!N16</f>
        <v>14389121734</v>
      </c>
      <c r="O43" s="157">
        <f>'RIN Retirements'!O16</f>
        <v>14222002967</v>
      </c>
      <c r="P43" s="157">
        <f>'RIN Retirements'!P16</f>
        <v>506383941</v>
      </c>
    </row>
    <row r="44" spans="1:16">
      <c r="A44" s="1" t="s">
        <v>5</v>
      </c>
      <c r="B44" s="157">
        <f>SUM(B41:B43)</f>
        <v>4050778094</v>
      </c>
      <c r="C44" s="157">
        <f t="shared" ref="C44:K44" si="12">SUM(C41:C43)</f>
        <v>12185149191</v>
      </c>
      <c r="D44" s="157">
        <f t="shared" si="12"/>
        <v>14151871757</v>
      </c>
      <c r="E44" s="157">
        <f t="shared" si="12"/>
        <v>14367054437</v>
      </c>
      <c r="F44" s="157">
        <f t="shared" si="12"/>
        <v>14082966715</v>
      </c>
      <c r="G44" s="157">
        <f t="shared" si="12"/>
        <v>14949493271</v>
      </c>
      <c r="H44" s="157">
        <f t="shared" si="12"/>
        <v>14467035414</v>
      </c>
      <c r="I44" s="157">
        <f t="shared" si="12"/>
        <v>14241615830</v>
      </c>
      <c r="J44" s="157">
        <f t="shared" si="12"/>
        <v>15162542127</v>
      </c>
      <c r="K44" s="157">
        <f t="shared" si="12"/>
        <v>15692166683</v>
      </c>
      <c r="L44" s="157">
        <f>SUM(L41:L43)</f>
        <v>12875608907</v>
      </c>
      <c r="M44" s="157">
        <f>SUM(M41:M43)</f>
        <v>14250041141</v>
      </c>
      <c r="N44" s="157">
        <f>SUM(N41:N43)</f>
        <v>14538326947</v>
      </c>
      <c r="O44" s="157">
        <f>SUM(O41:O43)</f>
        <v>14335844943</v>
      </c>
      <c r="P44" s="157">
        <f>SUM(P41:P43)</f>
        <v>523953212</v>
      </c>
    </row>
    <row r="45" spans="1:16">
      <c r="A45" s="1" t="s">
        <v>39</v>
      </c>
      <c r="B45" s="158">
        <f>B21-B49</f>
        <v>0</v>
      </c>
      <c r="C45" s="158">
        <f t="shared" ref="C45:K45" si="13">C21-C49</f>
        <v>0</v>
      </c>
      <c r="D45" s="158">
        <f t="shared" si="13"/>
        <v>1741</v>
      </c>
      <c r="E45" s="158">
        <f t="shared" si="13"/>
        <v>59064</v>
      </c>
      <c r="F45" s="158">
        <f t="shared" si="13"/>
        <v>-60805</v>
      </c>
      <c r="G45" s="158">
        <f t="shared" si="13"/>
        <v>90000</v>
      </c>
      <c r="H45" s="158">
        <f t="shared" si="13"/>
        <v>-90000</v>
      </c>
      <c r="I45" s="158">
        <f t="shared" si="13"/>
        <v>91306</v>
      </c>
      <c r="J45" s="158">
        <f t="shared" si="13"/>
        <v>745041</v>
      </c>
      <c r="K45" s="158">
        <f t="shared" si="13"/>
        <v>-646147</v>
      </c>
      <c r="L45" s="158">
        <f>L21-L49</f>
        <v>0</v>
      </c>
      <c r="M45" s="158">
        <f>M21-M49</f>
        <v>0</v>
      </c>
      <c r="N45" s="158">
        <f>N21-N49</f>
        <v>0</v>
      </c>
      <c r="O45" s="158">
        <f>O21-O49</f>
        <v>0</v>
      </c>
      <c r="P45" s="158">
        <f>P21-P49</f>
        <v>0</v>
      </c>
    </row>
    <row r="46" spans="1:16">
      <c r="A46" s="1" t="s">
        <v>328</v>
      </c>
      <c r="B46" s="157">
        <f>'RIN Retirements'!B42</f>
        <v>0</v>
      </c>
      <c r="C46" s="157">
        <f>'RIN Retirements'!C42</f>
        <v>0</v>
      </c>
      <c r="D46" s="157">
        <f>'RIN Retirements'!D42</f>
        <v>0</v>
      </c>
      <c r="E46" s="157">
        <f>'RIN Retirements'!E42</f>
        <v>8332</v>
      </c>
      <c r="F46" s="157">
        <f>'RIN Retirements'!F42</f>
        <v>4997</v>
      </c>
      <c r="G46" s="157">
        <f>'RIN Retirements'!G42</f>
        <v>27530</v>
      </c>
      <c r="H46" s="157">
        <f>'RIN Retirements'!H42</f>
        <v>53441</v>
      </c>
      <c r="I46" s="157">
        <f>'RIN Retirements'!I42</f>
        <v>75602</v>
      </c>
      <c r="J46" s="157">
        <f>'RIN Retirements'!J42</f>
        <v>0</v>
      </c>
      <c r="K46" s="157">
        <f>'RIN Retirements'!K42</f>
        <v>0</v>
      </c>
      <c r="L46" s="157">
        <f>'RIN Retirements'!L42</f>
        <v>0</v>
      </c>
      <c r="M46" s="157">
        <f>'RIN Retirements'!M42</f>
        <v>0</v>
      </c>
      <c r="N46" s="157">
        <f>'RIN Retirements'!N42</f>
        <v>0</v>
      </c>
      <c r="O46" s="157">
        <f>'RIN Retirements'!O42</f>
        <v>0</v>
      </c>
      <c r="P46" s="157">
        <f>'RIN Retirements'!P42</f>
        <v>23875</v>
      </c>
    </row>
    <row r="47" spans="1:16">
      <c r="A47" s="1" t="s">
        <v>415</v>
      </c>
      <c r="B47" s="157">
        <f>'RIN Retirements'!B96</f>
        <v>0</v>
      </c>
      <c r="C47" s="157">
        <f>'RIN Retirements'!C96</f>
        <v>0</v>
      </c>
      <c r="D47" s="157">
        <f>'RIN Retirements'!D96</f>
        <v>0</v>
      </c>
      <c r="E47" s="157">
        <f>'RIN Retirements'!E96</f>
        <v>0</v>
      </c>
      <c r="F47" s="157">
        <f>'RIN Retirements'!F96</f>
        <v>0</v>
      </c>
      <c r="G47" s="157">
        <f>'RIN Retirements'!G96</f>
        <v>0</v>
      </c>
      <c r="H47" s="157">
        <f>'RIN Retirements'!H96</f>
        <v>0</v>
      </c>
      <c r="I47" s="157">
        <f>'RIN Retirements'!I96</f>
        <v>0</v>
      </c>
      <c r="J47" s="157">
        <f>'RIN Retirements'!J96</f>
        <v>5151</v>
      </c>
      <c r="K47" s="157">
        <f>'RIN Retirements'!K96</f>
        <v>6101</v>
      </c>
      <c r="L47" s="157">
        <f>'RIN Retirements'!L96</f>
        <v>0</v>
      </c>
      <c r="M47" s="157">
        <f>'RIN Retirements'!M96</f>
        <v>0</v>
      </c>
      <c r="N47" s="157">
        <f>'RIN Retirements'!N96</f>
        <v>0</v>
      </c>
      <c r="O47" s="157">
        <f>'RIN Retirements'!O96</f>
        <v>0</v>
      </c>
      <c r="P47" s="157">
        <f>'RIN Retirements'!P96</f>
        <v>0</v>
      </c>
    </row>
    <row r="48" spans="1:16">
      <c r="A48" s="1" t="s">
        <v>416</v>
      </c>
      <c r="B48" s="157">
        <f>'RIN Retirements'!B20</f>
        <v>0</v>
      </c>
      <c r="C48" s="157">
        <f>'RIN Retirements'!C20</f>
        <v>0</v>
      </c>
      <c r="D48" s="157">
        <f>'RIN Retirements'!D20</f>
        <v>0</v>
      </c>
      <c r="E48" s="157">
        <f>'RIN Retirements'!E20</f>
        <v>324637</v>
      </c>
      <c r="F48" s="157">
        <f>'RIN Retirements'!F20</f>
        <v>106254</v>
      </c>
      <c r="G48" s="157">
        <f>'RIN Retirements'!G20</f>
        <v>100000</v>
      </c>
      <c r="H48" s="157">
        <f>'RIN Retirements'!H20</f>
        <v>570988</v>
      </c>
      <c r="I48" s="157">
        <f>'RIN Retirements'!I20</f>
        <v>1576527</v>
      </c>
      <c r="J48" s="157">
        <f>'RIN Retirements'!J20</f>
        <v>1689808</v>
      </c>
      <c r="K48" s="157">
        <f>'RIN Retirements'!K20</f>
        <v>1955987</v>
      </c>
      <c r="L48" s="157">
        <f>'RIN Retirements'!L20</f>
        <v>55892</v>
      </c>
      <c r="M48" s="157">
        <f>'RIN Retirements'!M20</f>
        <v>247518</v>
      </c>
      <c r="N48" s="157">
        <f>'RIN Retirements'!N20</f>
        <v>236352</v>
      </c>
      <c r="O48" s="157">
        <f>'RIN Retirements'!O20</f>
        <v>208643</v>
      </c>
      <c r="P48" s="157">
        <f>'RIN Retirements'!P20</f>
        <v>0</v>
      </c>
    </row>
    <row r="49" spans="1:16">
      <c r="A49" s="1" t="s">
        <v>5</v>
      </c>
      <c r="B49" s="157">
        <f>SUM(B46:B48)</f>
        <v>0</v>
      </c>
      <c r="C49" s="157">
        <f t="shared" ref="C49:K49" si="14">SUM(C46:C48)</f>
        <v>0</v>
      </c>
      <c r="D49" s="157">
        <f t="shared" si="14"/>
        <v>0</v>
      </c>
      <c r="E49" s="157">
        <f t="shared" si="14"/>
        <v>332969</v>
      </c>
      <c r="F49" s="157">
        <f t="shared" si="14"/>
        <v>111251</v>
      </c>
      <c r="G49" s="157">
        <f t="shared" si="14"/>
        <v>127530</v>
      </c>
      <c r="H49" s="157">
        <f t="shared" si="14"/>
        <v>624429</v>
      </c>
      <c r="I49" s="157">
        <f t="shared" si="14"/>
        <v>1652129</v>
      </c>
      <c r="J49" s="157">
        <f t="shared" si="14"/>
        <v>1694959</v>
      </c>
      <c r="K49" s="157">
        <f t="shared" si="14"/>
        <v>1962088</v>
      </c>
      <c r="L49" s="157">
        <f>SUM(L46:L48)</f>
        <v>55892</v>
      </c>
      <c r="M49" s="157">
        <f>SUM(M46:M48)</f>
        <v>247518</v>
      </c>
      <c r="N49" s="157">
        <f>SUM(N46:N48)</f>
        <v>236352</v>
      </c>
      <c r="O49" s="157">
        <f>SUM(O46:O48)</f>
        <v>208643</v>
      </c>
      <c r="P49" s="157">
        <f>SUM(P46:P48)</f>
        <v>23875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A35FA-C4E2-4044-9775-006D80D78E40}">
  <dimension ref="A1:L44"/>
  <sheetViews>
    <sheetView workbookViewId="0">
      <selection activeCell="AD6" sqref="AD6"/>
    </sheetView>
  </sheetViews>
  <sheetFormatPr defaultColWidth="9.140625" defaultRowHeight="15.75"/>
  <cols>
    <col min="1" max="1" width="28.85546875" style="115" customWidth="1"/>
    <col min="2" max="12" width="14.28515625" style="115" customWidth="1"/>
    <col min="13" max="16384" width="9.140625" style="115"/>
  </cols>
  <sheetData>
    <row r="1" spans="1:12">
      <c r="A1" s="115" t="s">
        <v>417</v>
      </c>
    </row>
    <row r="2" spans="1:12">
      <c r="A2" s="1" t="s">
        <v>418</v>
      </c>
      <c r="B2" s="115">
        <v>2010</v>
      </c>
      <c r="C2" s="115">
        <v>2011</v>
      </c>
      <c r="D2" s="115">
        <v>2012</v>
      </c>
      <c r="E2" s="115">
        <v>2013</v>
      </c>
      <c r="F2" s="115">
        <v>2014</v>
      </c>
      <c r="G2" s="115">
        <v>2015</v>
      </c>
      <c r="H2" s="115">
        <v>2016</v>
      </c>
      <c r="I2" s="115">
        <v>2017</v>
      </c>
      <c r="J2" s="115">
        <v>2018</v>
      </c>
      <c r="K2" s="115">
        <v>2019</v>
      </c>
      <c r="L2" s="115">
        <v>2020</v>
      </c>
    </row>
    <row r="3" spans="1:12">
      <c r="A3" s="115" t="s">
        <v>419</v>
      </c>
      <c r="B3" s="116" t="e">
        <f>#REF!</f>
        <v>#REF!</v>
      </c>
      <c r="C3" s="116" t="e">
        <f>B10</f>
        <v>#REF!</v>
      </c>
      <c r="D3" s="116" t="e">
        <f t="shared" ref="D3:L3" si="0">C10</f>
        <v>#REF!</v>
      </c>
      <c r="E3" s="116" t="e">
        <f t="shared" si="0"/>
        <v>#REF!</v>
      </c>
      <c r="F3" s="116" t="e">
        <f t="shared" si="0"/>
        <v>#REF!</v>
      </c>
      <c r="G3" s="116" t="e">
        <f t="shared" si="0"/>
        <v>#REF!</v>
      </c>
      <c r="H3" s="116" t="e">
        <f t="shared" si="0"/>
        <v>#REF!</v>
      </c>
      <c r="I3" s="116" t="e">
        <f t="shared" si="0"/>
        <v>#REF!</v>
      </c>
      <c r="J3" s="116" t="e">
        <f t="shared" si="0"/>
        <v>#REF!</v>
      </c>
      <c r="K3" s="116" t="e">
        <f t="shared" si="0"/>
        <v>#REF!</v>
      </c>
      <c r="L3" s="116">
        <f t="shared" si="0"/>
        <v>0</v>
      </c>
    </row>
    <row r="4" spans="1:12">
      <c r="A4" s="115" t="s">
        <v>420</v>
      </c>
      <c r="B4" s="116" t="e">
        <f>SUM(#REF!)</f>
        <v>#REF!</v>
      </c>
      <c r="C4" s="116" t="e">
        <f>SUM(#REF!)</f>
        <v>#REF!</v>
      </c>
      <c r="D4" s="116" t="e">
        <f>SUM(#REF!)</f>
        <v>#REF!</v>
      </c>
      <c r="E4" s="116" t="e">
        <f>SUM(#REF!)</f>
        <v>#REF!</v>
      </c>
      <c r="F4" s="116" t="e">
        <f>SUM(#REF!)</f>
        <v>#REF!</v>
      </c>
      <c r="G4" s="116" t="e">
        <f>SUM(#REF!)</f>
        <v>#REF!</v>
      </c>
      <c r="H4" s="116" t="e">
        <f>SUM(#REF!)</f>
        <v>#REF!</v>
      </c>
      <c r="I4" s="116" t="e">
        <f>SUM(#REF!)</f>
        <v>#REF!</v>
      </c>
      <c r="J4" s="116" t="e">
        <f>SUM(#REF!)</f>
        <v>#REF!</v>
      </c>
      <c r="K4" s="116"/>
      <c r="L4" s="116"/>
    </row>
    <row r="5" spans="1:12">
      <c r="A5" s="115" t="s">
        <v>421</v>
      </c>
      <c r="B5" s="116">
        <f>'[3]US Biodiesel Imports'!R$293</f>
        <v>22.912362669411806</v>
      </c>
      <c r="C5" s="116">
        <f>'[3]US Biodiesel Imports'!S$293</f>
        <v>46.454325035999972</v>
      </c>
      <c r="D5" s="116">
        <f>'[3]US Biodiesel Imports'!T$293</f>
        <v>33.513434343058805</v>
      </c>
      <c r="E5" s="116">
        <f>'[3]US Biodiesel Imports'!U$293</f>
        <v>324.84598943035303</v>
      </c>
      <c r="F5" s="116">
        <f>'[3]US Biodiesel Imports'!V$293</f>
        <v>185.11049544894115</v>
      </c>
      <c r="G5" s="116">
        <f>'[3]US Biodiesel Imports'!W$293</f>
        <v>339.80717852941149</v>
      </c>
      <c r="H5" s="116">
        <f>'[3]US Biodiesel Imports'!X$293</f>
        <v>709.5457427314285</v>
      </c>
      <c r="I5" s="116">
        <f>'[3]US Biodiesel Imports'!Y$293</f>
        <v>397.25191799485714</v>
      </c>
      <c r="J5" s="116">
        <f>'[3]US Biodiesel Imports'!Z$293</f>
        <v>0</v>
      </c>
      <c r="K5" s="116"/>
      <c r="L5" s="116"/>
    </row>
    <row r="6" spans="1:12">
      <c r="A6" s="115" t="s">
        <v>422</v>
      </c>
      <c r="B6" s="116" t="e">
        <f t="shared" ref="B6:J6" si="1">SUM(B3:B5)</f>
        <v>#REF!</v>
      </c>
      <c r="C6" s="116" t="e">
        <f t="shared" si="1"/>
        <v>#REF!</v>
      </c>
      <c r="D6" s="116" t="e">
        <f t="shared" si="1"/>
        <v>#REF!</v>
      </c>
      <c r="E6" s="116" t="e">
        <f t="shared" si="1"/>
        <v>#REF!</v>
      </c>
      <c r="F6" s="116" t="e">
        <f t="shared" si="1"/>
        <v>#REF!</v>
      </c>
      <c r="G6" s="116" t="e">
        <f t="shared" si="1"/>
        <v>#REF!</v>
      </c>
      <c r="H6" s="116" t="e">
        <f t="shared" si="1"/>
        <v>#REF!</v>
      </c>
      <c r="I6" s="116" t="e">
        <f t="shared" si="1"/>
        <v>#REF!</v>
      </c>
      <c r="J6" s="116" t="e">
        <f t="shared" si="1"/>
        <v>#REF!</v>
      </c>
      <c r="K6" s="116"/>
      <c r="L6" s="116"/>
    </row>
    <row r="7" spans="1:12">
      <c r="A7" s="115" t="s">
        <v>423</v>
      </c>
      <c r="B7" s="116" t="e">
        <f t="shared" ref="B7:J7" si="2">B9-B8</f>
        <v>#REF!</v>
      </c>
      <c r="C7" s="116" t="e">
        <f t="shared" si="2"/>
        <v>#REF!</v>
      </c>
      <c r="D7" s="116" t="e">
        <f t="shared" si="2"/>
        <v>#REF!</v>
      </c>
      <c r="E7" s="116" t="e">
        <f t="shared" si="2"/>
        <v>#REF!</v>
      </c>
      <c r="F7" s="116" t="e">
        <f t="shared" si="2"/>
        <v>#REF!</v>
      </c>
      <c r="G7" s="116" t="e">
        <f t="shared" si="2"/>
        <v>#REF!</v>
      </c>
      <c r="H7" s="116" t="e">
        <f t="shared" si="2"/>
        <v>#REF!</v>
      </c>
      <c r="I7" s="116" t="e">
        <f t="shared" si="2"/>
        <v>#REF!</v>
      </c>
      <c r="J7" s="116" t="e">
        <f t="shared" si="2"/>
        <v>#REF!</v>
      </c>
      <c r="K7" s="116"/>
      <c r="L7" s="116"/>
    </row>
    <row r="8" spans="1:12">
      <c r="A8" s="115" t="s">
        <v>424</v>
      </c>
      <c r="B8" s="116">
        <f>'[3]US Biodiesel Exports'!R$293</f>
        <v>0</v>
      </c>
      <c r="C8" s="116">
        <f>'[3]US Biodiesel Exports'!S$293</f>
        <v>0</v>
      </c>
      <c r="D8" s="116">
        <f>'[3]US Biodiesel Exports'!T$293</f>
        <v>0</v>
      </c>
      <c r="E8" s="116">
        <f>'[3]US Biodiesel Exports'!U$293</f>
        <v>0</v>
      </c>
      <c r="F8" s="116">
        <f>'[3]US Biodiesel Exports'!V$293</f>
        <v>0</v>
      </c>
      <c r="G8" s="116">
        <f>'[3]US Biodiesel Exports'!W$293</f>
        <v>0</v>
      </c>
      <c r="H8" s="116">
        <f>'[3]US Biodiesel Exports'!X$293</f>
        <v>0</v>
      </c>
      <c r="I8" s="116">
        <f>'[3]US Biodiesel Exports'!Y$293</f>
        <v>0</v>
      </c>
      <c r="J8" s="116">
        <f>'[3]US Biodiesel Exports'!Z$293</f>
        <v>0</v>
      </c>
      <c r="K8" s="116"/>
      <c r="L8" s="116"/>
    </row>
    <row r="9" spans="1:12">
      <c r="A9" s="115" t="s">
        <v>425</v>
      </c>
      <c r="B9" s="116" t="e">
        <f>B6-B10</f>
        <v>#REF!</v>
      </c>
      <c r="C9" s="116" t="e">
        <f t="shared" ref="C9:J9" si="3">C6-C10</f>
        <v>#REF!</v>
      </c>
      <c r="D9" s="116" t="e">
        <f t="shared" si="3"/>
        <v>#REF!</v>
      </c>
      <c r="E9" s="116" t="e">
        <f t="shared" si="3"/>
        <v>#REF!</v>
      </c>
      <c r="F9" s="116" t="e">
        <f t="shared" si="3"/>
        <v>#REF!</v>
      </c>
      <c r="G9" s="116" t="e">
        <f t="shared" si="3"/>
        <v>#REF!</v>
      </c>
      <c r="H9" s="116" t="e">
        <f t="shared" si="3"/>
        <v>#REF!</v>
      </c>
      <c r="I9" s="116" t="e">
        <f t="shared" si="3"/>
        <v>#REF!</v>
      </c>
      <c r="J9" s="116" t="e">
        <f t="shared" si="3"/>
        <v>#REF!</v>
      </c>
      <c r="K9" s="116"/>
      <c r="L9" s="116"/>
    </row>
    <row r="10" spans="1:12">
      <c r="A10" s="115" t="s">
        <v>426</v>
      </c>
      <c r="B10" s="116" t="e">
        <f>#REF!</f>
        <v>#REF!</v>
      </c>
      <c r="C10" s="116" t="e">
        <f>#REF!</f>
        <v>#REF!</v>
      </c>
      <c r="D10" s="116" t="e">
        <f>#REF!</f>
        <v>#REF!</v>
      </c>
      <c r="E10" s="116" t="e">
        <f>#REF!</f>
        <v>#REF!</v>
      </c>
      <c r="F10" s="116" t="e">
        <f>#REF!</f>
        <v>#REF!</v>
      </c>
      <c r="G10" s="116" t="e">
        <f>#REF!</f>
        <v>#REF!</v>
      </c>
      <c r="H10" s="116" t="e">
        <f>#REF!</f>
        <v>#REF!</v>
      </c>
      <c r="I10" s="116" t="e">
        <f>#REF!</f>
        <v>#REF!</v>
      </c>
      <c r="J10" s="116" t="e">
        <f>#REF!</f>
        <v>#REF!</v>
      </c>
      <c r="K10" s="116"/>
      <c r="L10" s="116"/>
    </row>
    <row r="12" spans="1:12">
      <c r="A12" s="115" t="s">
        <v>427</v>
      </c>
    </row>
    <row r="13" spans="1:12">
      <c r="A13" s="1" t="s">
        <v>418</v>
      </c>
      <c r="B13" s="115">
        <v>2010</v>
      </c>
      <c r="C13" s="115">
        <v>2011</v>
      </c>
      <c r="D13" s="115">
        <v>2012</v>
      </c>
      <c r="E13" s="115">
        <v>2013</v>
      </c>
      <c r="F13" s="115">
        <v>2014</v>
      </c>
      <c r="G13" s="115">
        <v>2015</v>
      </c>
      <c r="H13" s="115">
        <v>2016</v>
      </c>
      <c r="I13" s="115">
        <v>2017</v>
      </c>
      <c r="J13" s="115">
        <v>2018</v>
      </c>
      <c r="K13" s="115">
        <v>2019</v>
      </c>
      <c r="L13" s="115">
        <v>2020</v>
      </c>
    </row>
    <row r="14" spans="1:12">
      <c r="A14" s="115" t="s">
        <v>419</v>
      </c>
      <c r="B14" s="116">
        <v>0</v>
      </c>
      <c r="C14" s="116">
        <f>B21</f>
        <v>0</v>
      </c>
      <c r="D14" s="116">
        <f t="shared" ref="D14:L14" si="4">C21</f>
        <v>0</v>
      </c>
      <c r="E14" s="116">
        <f t="shared" si="4"/>
        <v>0</v>
      </c>
      <c r="F14" s="116">
        <f t="shared" si="4"/>
        <v>0</v>
      </c>
      <c r="G14" s="116">
        <f t="shared" si="4"/>
        <v>0</v>
      </c>
      <c r="H14" s="116">
        <f t="shared" si="4"/>
        <v>0</v>
      </c>
      <c r="I14" s="116">
        <f t="shared" si="4"/>
        <v>0</v>
      </c>
      <c r="J14" s="116">
        <f t="shared" si="4"/>
        <v>0</v>
      </c>
      <c r="K14" s="116">
        <f t="shared" si="4"/>
        <v>0</v>
      </c>
      <c r="L14" s="116">
        <f t="shared" si="4"/>
        <v>0</v>
      </c>
    </row>
    <row r="15" spans="1:12">
      <c r="A15" s="115" t="s">
        <v>420</v>
      </c>
      <c r="B15" s="116">
        <f>B28/1000000</f>
        <v>8.7765930000000001</v>
      </c>
      <c r="C15" s="116">
        <f t="shared" ref="C15:I15" si="5">C28/1000000</f>
        <v>62.041289999999996</v>
      </c>
      <c r="D15" s="116">
        <f t="shared" si="5"/>
        <v>52.401102000000002</v>
      </c>
      <c r="E15" s="116">
        <f t="shared" si="5"/>
        <v>113.285858</v>
      </c>
      <c r="F15" s="116">
        <f t="shared" si="5"/>
        <v>159.14120600000001</v>
      </c>
      <c r="G15" s="116">
        <f t="shared" si="5"/>
        <v>176.84761599999999</v>
      </c>
      <c r="H15" s="116">
        <f t="shared" si="5"/>
        <v>241.487435</v>
      </c>
      <c r="I15" s="116">
        <f t="shared" si="5"/>
        <v>258.34212500000001</v>
      </c>
      <c r="J15" s="116">
        <f>J28/1000000</f>
        <v>305.48444699999999</v>
      </c>
      <c r="K15" s="116">
        <f>K28/1000000</f>
        <v>492.13718899999998</v>
      </c>
      <c r="L15" s="116">
        <f>L28/1000000</f>
        <v>533.50834699999996</v>
      </c>
    </row>
    <row r="16" spans="1:12">
      <c r="A16" s="115" t="s">
        <v>421</v>
      </c>
      <c r="B16" s="116">
        <f>B39/1000000</f>
        <v>0</v>
      </c>
      <c r="C16" s="116">
        <f t="shared" ref="C16:I16" si="6">C39/1000000</f>
        <v>0</v>
      </c>
      <c r="D16" s="116">
        <f t="shared" si="6"/>
        <v>50.272922000000001</v>
      </c>
      <c r="E16" s="116">
        <f t="shared" si="6"/>
        <v>303.399542</v>
      </c>
      <c r="F16" s="116">
        <f t="shared" si="6"/>
        <v>328.75148999999999</v>
      </c>
      <c r="G16" s="116">
        <f t="shared" si="6"/>
        <v>336.29695800000002</v>
      </c>
      <c r="H16" s="116">
        <f t="shared" si="6"/>
        <v>349.686036</v>
      </c>
      <c r="I16" s="116">
        <f t="shared" si="6"/>
        <v>344.38169499999998</v>
      </c>
      <c r="J16" s="116">
        <f>J39/1000000</f>
        <v>309.84663699999999</v>
      </c>
      <c r="K16" s="116">
        <f>K39/1000000</f>
        <v>420.37309699999997</v>
      </c>
      <c r="L16" s="116">
        <f>L39/1000000</f>
        <v>435.47989200000001</v>
      </c>
    </row>
    <row r="17" spans="1:12">
      <c r="A17" s="115" t="s">
        <v>422</v>
      </c>
      <c r="B17" s="116"/>
      <c r="C17" s="116"/>
      <c r="D17" s="116"/>
      <c r="E17" s="116"/>
      <c r="F17" s="116"/>
      <c r="G17" s="116"/>
      <c r="H17" s="116"/>
      <c r="I17" s="116"/>
      <c r="J17" s="116"/>
      <c r="K17" s="116"/>
      <c r="L17" s="116"/>
    </row>
    <row r="18" spans="1:12">
      <c r="A18" s="115" t="s">
        <v>423</v>
      </c>
      <c r="B18" s="116"/>
      <c r="C18" s="116"/>
      <c r="D18" s="116"/>
      <c r="E18" s="116"/>
      <c r="F18" s="116"/>
      <c r="G18" s="116"/>
      <c r="H18" s="116"/>
      <c r="I18" s="116"/>
      <c r="J18" s="116"/>
      <c r="K18" s="116"/>
      <c r="L18" s="116"/>
    </row>
    <row r="19" spans="1:12">
      <c r="A19" s="115" t="s">
        <v>424</v>
      </c>
      <c r="B19" s="116"/>
      <c r="C19" s="116"/>
      <c r="D19" s="116"/>
      <c r="E19" s="116"/>
      <c r="F19" s="116"/>
      <c r="G19" s="116"/>
      <c r="H19" s="116"/>
      <c r="I19" s="116"/>
      <c r="J19" s="116"/>
      <c r="K19" s="116"/>
      <c r="L19" s="116"/>
    </row>
    <row r="20" spans="1:12">
      <c r="A20" s="115" t="s">
        <v>425</v>
      </c>
      <c r="B20" s="116"/>
      <c r="C20" s="116"/>
      <c r="D20" s="116"/>
      <c r="E20" s="116"/>
      <c r="F20" s="116"/>
      <c r="G20" s="116"/>
      <c r="H20" s="116"/>
      <c r="I20" s="116"/>
      <c r="J20" s="116"/>
      <c r="K20" s="116"/>
      <c r="L20" s="116"/>
    </row>
    <row r="21" spans="1:12">
      <c r="A21" s="115" t="s">
        <v>426</v>
      </c>
      <c r="B21" s="116">
        <v>0</v>
      </c>
      <c r="C21" s="116">
        <v>0</v>
      </c>
      <c r="D21" s="116">
        <v>0</v>
      </c>
      <c r="E21" s="116">
        <v>0</v>
      </c>
      <c r="F21" s="116">
        <v>0</v>
      </c>
      <c r="G21" s="116">
        <v>0</v>
      </c>
      <c r="H21" s="116">
        <v>0</v>
      </c>
      <c r="I21" s="116">
        <v>0</v>
      </c>
      <c r="J21" s="116">
        <v>0</v>
      </c>
      <c r="K21" s="116">
        <v>0</v>
      </c>
      <c r="L21" s="116">
        <v>0</v>
      </c>
    </row>
    <row r="23" spans="1:12">
      <c r="A23" s="115" t="s">
        <v>428</v>
      </c>
    </row>
    <row r="24" spans="1:12">
      <c r="A24" s="115" t="s">
        <v>429</v>
      </c>
      <c r="B24" s="116">
        <f>B25+B26</f>
        <v>214475497</v>
      </c>
      <c r="C24" s="116">
        <f t="shared" ref="C24:I24" si="7">C25+C26</f>
        <v>1037090330</v>
      </c>
      <c r="D24" s="116">
        <f t="shared" si="7"/>
        <v>1016947679</v>
      </c>
      <c r="E24" s="116">
        <f t="shared" si="7"/>
        <v>1384593682</v>
      </c>
      <c r="F24" s="116">
        <f t="shared" si="7"/>
        <v>1307213117</v>
      </c>
      <c r="G24" s="116">
        <f t="shared" si="7"/>
        <v>1254272724</v>
      </c>
      <c r="H24" s="116">
        <f t="shared" si="7"/>
        <v>1633107120</v>
      </c>
      <c r="I24" s="116">
        <f t="shared" si="7"/>
        <v>1588249740</v>
      </c>
      <c r="J24" s="116">
        <f>J25+J26</f>
        <v>1855452750</v>
      </c>
      <c r="K24" s="117">
        <f>K25+K26</f>
        <v>1713773577</v>
      </c>
      <c r="L24" s="117">
        <f>L25+L26</f>
        <v>1824873638</v>
      </c>
    </row>
    <row r="25" spans="1:12">
      <c r="A25" s="115" t="s">
        <v>324</v>
      </c>
      <c r="B25" s="116">
        <f>'[1]D4 Gallon Forecast'!B$4</f>
        <v>201955850</v>
      </c>
      <c r="C25" s="116">
        <f>'[1]D4 Gallon Forecast'!C$4</f>
        <v>1032917947</v>
      </c>
      <c r="D25" s="116">
        <f>'[1]D4 Gallon Forecast'!D$4</f>
        <v>1016202001</v>
      </c>
      <c r="E25" s="116">
        <f>'[1]D4 Gallon Forecast'!E$4</f>
        <v>1378586362</v>
      </c>
      <c r="F25" s="116">
        <f>'[1]D4 Gallon Forecast'!F$4</f>
        <v>1305909690</v>
      </c>
      <c r="G25" s="116">
        <f>'[1]D4 Gallon Forecast'!G$4</f>
        <v>1254228294</v>
      </c>
      <c r="H25" s="116">
        <f>'[1]D4 Gallon Forecast'!H$4</f>
        <v>1632752622</v>
      </c>
      <c r="I25" s="116">
        <f>'[1]D4 Gallon Forecast'!I$4</f>
        <v>1588249740</v>
      </c>
      <c r="J25" s="116">
        <f>'[1]D4 Gallon Forecast'!J$4</f>
        <v>1855120823</v>
      </c>
      <c r="K25" s="117">
        <f>'[1]D4 Gallon Forecast'!K$4</f>
        <v>1713762399</v>
      </c>
      <c r="L25" s="117">
        <f>'[1]D4 Gallon Forecast'!L$4</f>
        <v>1824873638</v>
      </c>
    </row>
    <row r="26" spans="1:12">
      <c r="A26" s="115" t="s">
        <v>326</v>
      </c>
      <c r="B26" s="116">
        <f>'[1]D6 Gallon Forecast'!B$4</f>
        <v>12519647</v>
      </c>
      <c r="C26" s="116">
        <f>'[1]D6 Gallon Forecast'!C$4</f>
        <v>4172383</v>
      </c>
      <c r="D26" s="116">
        <f>'[1]D6 Gallon Forecast'!D$4</f>
        <v>745678</v>
      </c>
      <c r="E26" s="116">
        <f>'[1]D6 Gallon Forecast'!E$4</f>
        <v>6007320</v>
      </c>
      <c r="F26" s="116">
        <f>'[1]D6 Gallon Forecast'!F$4</f>
        <v>1303427</v>
      </c>
      <c r="G26" s="116">
        <f>'[1]D6 Gallon Forecast'!G$4</f>
        <v>44430</v>
      </c>
      <c r="H26" s="116">
        <f>'[1]D6 Gallon Forecast'!H$4</f>
        <v>354498</v>
      </c>
      <c r="I26" s="116">
        <f>'[1]D6 Gallon Forecast'!I$4</f>
        <v>0</v>
      </c>
      <c r="J26" s="116">
        <f>'[1]D6 Gallon Forecast'!J$4</f>
        <v>331927</v>
      </c>
      <c r="K26" s="117">
        <f>'[1]D6 Gallon Forecast'!K$4</f>
        <v>11178</v>
      </c>
      <c r="L26" s="117">
        <f>'[1]D6 Gallon Forecast'!L$4</f>
        <v>0</v>
      </c>
    </row>
    <row r="28" spans="1:12">
      <c r="A28" s="115" t="s">
        <v>427</v>
      </c>
      <c r="B28" s="116">
        <f>SUM(B29:B31)</f>
        <v>8776593</v>
      </c>
      <c r="C28" s="116">
        <f t="shared" ref="C28:I28" si="8">SUM(C29:C31)</f>
        <v>62041290</v>
      </c>
      <c r="D28" s="116">
        <f t="shared" si="8"/>
        <v>52401102</v>
      </c>
      <c r="E28" s="116">
        <f t="shared" si="8"/>
        <v>113285858</v>
      </c>
      <c r="F28" s="116">
        <f t="shared" si="8"/>
        <v>159141206</v>
      </c>
      <c r="G28" s="116">
        <f t="shared" si="8"/>
        <v>176847616</v>
      </c>
      <c r="H28" s="116">
        <f t="shared" si="8"/>
        <v>241487435</v>
      </c>
      <c r="I28" s="116">
        <f t="shared" si="8"/>
        <v>258342125</v>
      </c>
      <c r="J28" s="116">
        <f>SUM(J29:J31)</f>
        <v>305484447</v>
      </c>
      <c r="K28" s="117">
        <f>SUM(K29:K31)</f>
        <v>492137189</v>
      </c>
      <c r="L28" s="117">
        <f>SUM(L29:L31)</f>
        <v>533508347</v>
      </c>
    </row>
    <row r="29" spans="1:12">
      <c r="A29" s="115" t="s">
        <v>324</v>
      </c>
      <c r="B29" s="116">
        <f>'[1]D4 Gallon Forecast'!B$8</f>
        <v>959557</v>
      </c>
      <c r="C29" s="116">
        <f>'[1]D4 Gallon Forecast'!C$8</f>
        <v>45321674</v>
      </c>
      <c r="D29" s="116">
        <f>'[1]D4 Gallon Forecast'!D$8</f>
        <v>40195484</v>
      </c>
      <c r="E29" s="116">
        <f>'[1]D4 Gallon Forecast'!E$8</f>
        <v>72007416</v>
      </c>
      <c r="F29" s="116">
        <f>'[1]D4 Gallon Forecast'!F$8</f>
        <v>150536188</v>
      </c>
      <c r="G29" s="116">
        <f>'[1]D4 Gallon Forecast'!G$8</f>
        <v>171867841</v>
      </c>
      <c r="H29" s="116">
        <f>'[1]D4 Gallon Forecast'!H$8</f>
        <v>236821419</v>
      </c>
      <c r="I29" s="116">
        <f>'[1]D4 Gallon Forecast'!I$8</f>
        <v>253194888</v>
      </c>
      <c r="J29" s="116">
        <f>'[1]D4 Gallon Forecast'!J$8</f>
        <v>281876562</v>
      </c>
      <c r="K29" s="117">
        <f>'[1]D4 Gallon Forecast'!K$8</f>
        <v>457843380</v>
      </c>
      <c r="L29" s="117">
        <f>'[1]D4 Gallon Forecast'!L$8</f>
        <v>482911676</v>
      </c>
    </row>
    <row r="30" spans="1:12">
      <c r="A30" s="115" t="s">
        <v>325</v>
      </c>
      <c r="B30" s="116">
        <f>'[1]D5 Gallon Forecast'!B$7</f>
        <v>7817036</v>
      </c>
      <c r="C30" s="116">
        <f>'[1]D5 Gallon Forecast'!C$7</f>
        <v>16719616</v>
      </c>
      <c r="D30" s="116">
        <f>'[1]D5 Gallon Forecast'!D$7</f>
        <v>12205618</v>
      </c>
      <c r="E30" s="116">
        <f>'[1]D5 Gallon Forecast'!E$7</f>
        <v>41278442</v>
      </c>
      <c r="F30" s="116">
        <f>'[1]D5 Gallon Forecast'!F$7</f>
        <v>8605018</v>
      </c>
      <c r="G30" s="116">
        <f>'[1]D5 Gallon Forecast'!G$7</f>
        <v>4979775</v>
      </c>
      <c r="H30" s="116">
        <f>'[1]D5 Gallon Forecast'!H$7</f>
        <v>4666016</v>
      </c>
      <c r="I30" s="116">
        <f>'[1]D5 Gallon Forecast'!I$7</f>
        <v>5147237</v>
      </c>
      <c r="J30" s="116">
        <f>'[1]D5 Gallon Forecast'!J$7</f>
        <v>23607885</v>
      </c>
      <c r="K30" s="117">
        <f>'[1]D5 Gallon Forecast'!K$7</f>
        <v>34293809</v>
      </c>
      <c r="L30" s="117">
        <f>'[1]D5 Gallon Forecast'!L$7</f>
        <v>50596671</v>
      </c>
    </row>
    <row r="31" spans="1:12">
      <c r="A31" s="115" t="s">
        <v>326</v>
      </c>
      <c r="B31" s="116">
        <f>'[1]D6 Gallon Forecast'!B$13</f>
        <v>0</v>
      </c>
      <c r="C31" s="116">
        <f>'[1]D6 Gallon Forecast'!C$13</f>
        <v>0</v>
      </c>
      <c r="D31" s="116">
        <f>'[1]D6 Gallon Forecast'!D$13</f>
        <v>0</v>
      </c>
      <c r="E31" s="116">
        <f>'[1]D6 Gallon Forecast'!E$13</f>
        <v>0</v>
      </c>
      <c r="F31" s="116">
        <f>'[1]D6 Gallon Forecast'!F$13</f>
        <v>0</v>
      </c>
      <c r="G31" s="116">
        <f>'[1]D6 Gallon Forecast'!G$13</f>
        <v>0</v>
      </c>
      <c r="H31" s="116">
        <f>'[1]D6 Gallon Forecast'!H$13</f>
        <v>0</v>
      </c>
      <c r="I31" s="116">
        <f>'[1]D6 Gallon Forecast'!I$13</f>
        <v>0</v>
      </c>
      <c r="J31" s="116">
        <f>'[1]D6 Gallon Forecast'!J$13</f>
        <v>0</v>
      </c>
      <c r="K31" s="117">
        <f>'[1]D6 Gallon Forecast'!K$13</f>
        <v>0</v>
      </c>
      <c r="L31" s="117">
        <f>'[1]D6 Gallon Forecast'!L$13</f>
        <v>0</v>
      </c>
    </row>
    <row r="33" spans="1:12">
      <c r="A33" s="115" t="s">
        <v>430</v>
      </c>
    </row>
    <row r="34" spans="1:12">
      <c r="A34" s="115" t="s">
        <v>429</v>
      </c>
      <c r="B34" s="116">
        <f>SUM(B35:B36)</f>
        <v>12487506</v>
      </c>
      <c r="C34" s="116">
        <f t="shared" ref="C34:L34" si="9">SUM(C35:C36)</f>
        <v>44459572</v>
      </c>
      <c r="D34" s="116">
        <f t="shared" si="9"/>
        <v>40228770</v>
      </c>
      <c r="E34" s="116">
        <f t="shared" si="9"/>
        <v>155815717</v>
      </c>
      <c r="F34" s="116">
        <f t="shared" si="9"/>
        <v>129629026</v>
      </c>
      <c r="G34" s="116">
        <f t="shared" si="9"/>
        <v>261256195</v>
      </c>
      <c r="H34" s="116">
        <f t="shared" si="9"/>
        <v>561640318</v>
      </c>
      <c r="I34" s="116">
        <f t="shared" si="9"/>
        <v>461914644</v>
      </c>
      <c r="J34" s="116">
        <f t="shared" si="9"/>
        <v>175141321</v>
      </c>
      <c r="K34" s="117">
        <f t="shared" si="9"/>
        <v>184741553</v>
      </c>
      <c r="L34" s="117">
        <f t="shared" si="9"/>
        <v>209493674</v>
      </c>
    </row>
    <row r="35" spans="1:12">
      <c r="A35" s="115" t="s">
        <v>431</v>
      </c>
      <c r="B35" s="116">
        <f>'[1]D4 Gallon Forecast'!B$5</f>
        <v>0</v>
      </c>
      <c r="C35" s="116">
        <f>'[1]D4 Gallon Forecast'!C$5</f>
        <v>0</v>
      </c>
      <c r="D35" s="116">
        <f>'[1]D4 Gallon Forecast'!D$5</f>
        <v>6781908</v>
      </c>
      <c r="E35" s="116">
        <f>'[1]D4 Gallon Forecast'!E$5</f>
        <v>2790763</v>
      </c>
      <c r="F35" s="116">
        <f>'[1]D4 Gallon Forecast'!F$5</f>
        <v>0</v>
      </c>
      <c r="G35" s="116">
        <f>'[1]D4 Gallon Forecast'!G$5</f>
        <v>0</v>
      </c>
      <c r="H35" s="116">
        <f>'[1]D4 Gallon Forecast'!H$5</f>
        <v>0</v>
      </c>
      <c r="I35" s="116">
        <f>'[1]D4 Gallon Forecast'!I$5</f>
        <v>0</v>
      </c>
      <c r="J35" s="116">
        <f>'[1]D4 Gallon Forecast'!J$5</f>
        <v>0</v>
      </c>
      <c r="K35" s="117">
        <f>'[1]D4 Gallon Forecast'!K$5</f>
        <v>0</v>
      </c>
      <c r="L35" s="117">
        <f>'[1]D4 Gallon Forecast'!L$5</f>
        <v>0</v>
      </c>
    </row>
    <row r="36" spans="1:12">
      <c r="A36" s="115" t="s">
        <v>432</v>
      </c>
      <c r="B36" s="116">
        <f>'[1]D4 Gallon Forecast'!B$6</f>
        <v>12487506</v>
      </c>
      <c r="C36" s="116">
        <f>'[1]D4 Gallon Forecast'!C$6</f>
        <v>44459572</v>
      </c>
      <c r="D36" s="116">
        <f>'[1]D4 Gallon Forecast'!D$6</f>
        <v>33446862</v>
      </c>
      <c r="E36" s="116">
        <f>'[1]D4 Gallon Forecast'!E$6</f>
        <v>153024954</v>
      </c>
      <c r="F36" s="116">
        <f>'[1]D4 Gallon Forecast'!F$6</f>
        <v>129629026</v>
      </c>
      <c r="G36" s="116">
        <f>'[1]D4 Gallon Forecast'!G$6</f>
        <v>261256195</v>
      </c>
      <c r="H36" s="116">
        <f>'[1]D4 Gallon Forecast'!H$6</f>
        <v>561640318</v>
      </c>
      <c r="I36" s="116">
        <f>'[1]D4 Gallon Forecast'!I$6</f>
        <v>461914644</v>
      </c>
      <c r="J36" s="116">
        <f>'[1]D4 Gallon Forecast'!J$6</f>
        <v>175141321</v>
      </c>
      <c r="K36" s="117">
        <f>'[1]D4 Gallon Forecast'!K$6</f>
        <v>184741553</v>
      </c>
      <c r="L36" s="117">
        <f>'[1]D4 Gallon Forecast'!L$6</f>
        <v>209493674</v>
      </c>
    </row>
    <row r="37" spans="1:12">
      <c r="A37" s="115" t="s">
        <v>433</v>
      </c>
      <c r="B37" s="116">
        <f>'[1]D6 Gallon Forecast'!B$5</f>
        <v>0</v>
      </c>
      <c r="C37" s="116">
        <f>'[1]D6 Gallon Forecast'!C$5</f>
        <v>0</v>
      </c>
      <c r="D37" s="116">
        <f>'[1]D6 Gallon Forecast'!D$5</f>
        <v>0</v>
      </c>
      <c r="E37" s="116">
        <f>'[1]D6 Gallon Forecast'!E$5</f>
        <v>30771420</v>
      </c>
      <c r="F37" s="116">
        <f>'[1]D6 Gallon Forecast'!F$5</f>
        <v>51881055</v>
      </c>
      <c r="G37" s="116">
        <f>'[1]D6 Gallon Forecast'!G$5</f>
        <v>74408661</v>
      </c>
      <c r="H37" s="116">
        <f>'[1]D6 Gallon Forecast'!H$5</f>
        <v>112527999</v>
      </c>
      <c r="I37" s="116">
        <f>'[1]D6 Gallon Forecast'!I$5</f>
        <v>0</v>
      </c>
      <c r="J37" s="116">
        <f>'[1]D6 Gallon Forecast'!J$5</f>
        <v>0</v>
      </c>
      <c r="K37" s="117">
        <f>'[1]D6 Gallon Forecast'!K$5</f>
        <v>0</v>
      </c>
      <c r="L37" s="117">
        <f>'[1]D6 Gallon Forecast'!L$5</f>
        <v>0</v>
      </c>
    </row>
    <row r="39" spans="1:12">
      <c r="A39" s="115" t="s">
        <v>427</v>
      </c>
      <c r="B39" s="116">
        <f>SUM(B40:B44)</f>
        <v>0</v>
      </c>
      <c r="C39" s="116">
        <f t="shared" ref="C39:L39" si="10">SUM(C40:C44)</f>
        <v>0</v>
      </c>
      <c r="D39" s="116">
        <f t="shared" si="10"/>
        <v>50272922</v>
      </c>
      <c r="E39" s="116">
        <f t="shared" si="10"/>
        <v>303399542</v>
      </c>
      <c r="F39" s="116">
        <f t="shared" si="10"/>
        <v>328751490</v>
      </c>
      <c r="G39" s="116">
        <f t="shared" si="10"/>
        <v>336296958</v>
      </c>
      <c r="H39" s="116">
        <f t="shared" si="10"/>
        <v>349686036</v>
      </c>
      <c r="I39" s="116">
        <f t="shared" si="10"/>
        <v>344381695</v>
      </c>
      <c r="J39" s="116">
        <f t="shared" si="10"/>
        <v>309846637</v>
      </c>
      <c r="K39" s="117">
        <f t="shared" si="10"/>
        <v>420373097</v>
      </c>
      <c r="L39" s="117">
        <f t="shared" si="10"/>
        <v>435479892</v>
      </c>
    </row>
    <row r="40" spans="1:12">
      <c r="A40" s="115" t="s">
        <v>431</v>
      </c>
      <c r="B40" s="116">
        <f>'[1]D4 Gallon Forecast'!B$12</f>
        <v>0</v>
      </c>
      <c r="C40" s="116">
        <f>'[1]D4 Gallon Forecast'!C$12</f>
        <v>0</v>
      </c>
      <c r="D40" s="116">
        <f>'[1]D4 Gallon Forecast'!D$12</f>
        <v>50272922</v>
      </c>
      <c r="E40" s="116">
        <f>'[1]D4 Gallon Forecast'!E$12</f>
        <v>166292775</v>
      </c>
      <c r="F40" s="116">
        <f>'[1]D4 Gallon Forecast'!F$12</f>
        <v>171747164</v>
      </c>
      <c r="G40" s="116">
        <f>'[1]D4 Gallon Forecast'!G$12</f>
        <v>135765543</v>
      </c>
      <c r="H40" s="116">
        <f>'[1]D4 Gallon Forecast'!H$12</f>
        <v>184028971</v>
      </c>
      <c r="I40" s="116">
        <f>'[1]D4 Gallon Forecast'!I$12</f>
        <v>199517243</v>
      </c>
      <c r="J40" s="116">
        <f>'[1]D4 Gallon Forecast'!J$12</f>
        <v>203337808</v>
      </c>
      <c r="K40" s="117">
        <f>'[1]D4 Gallon Forecast'!K$12</f>
        <v>304019646</v>
      </c>
      <c r="L40" s="117">
        <f>'[1]D4 Gallon Forecast'!L$12</f>
        <v>359210967</v>
      </c>
    </row>
    <row r="41" spans="1:12">
      <c r="A41" s="115" t="s">
        <v>432</v>
      </c>
      <c r="B41" s="116">
        <f>'[1]D4 Gallon Forecast'!B$16</f>
        <v>0</v>
      </c>
      <c r="C41" s="116">
        <f>'[1]D4 Gallon Forecast'!C$16</f>
        <v>0</v>
      </c>
      <c r="D41" s="116">
        <f>'[1]D4 Gallon Forecast'!D$16</f>
        <v>0</v>
      </c>
      <c r="E41" s="116">
        <f>'[1]D4 Gallon Forecast'!E$16</f>
        <v>21602599</v>
      </c>
      <c r="F41" s="116">
        <f>'[1]D4 Gallon Forecast'!F$16</f>
        <v>5612400</v>
      </c>
      <c r="G41" s="116">
        <f>'[1]D4 Gallon Forecast'!G$16</f>
        <v>0</v>
      </c>
      <c r="H41" s="116">
        <f>'[1]D4 Gallon Forecast'!H$16</f>
        <v>0</v>
      </c>
      <c r="I41" s="116">
        <f>'[1]D4 Gallon Forecast'!I$16</f>
        <v>757255</v>
      </c>
      <c r="J41" s="116">
        <f>'[1]D4 Gallon Forecast'!J$16</f>
        <v>0</v>
      </c>
      <c r="K41" s="117">
        <f>'[1]D4 Gallon Forecast'!K$16</f>
        <v>0</v>
      </c>
      <c r="L41" s="117">
        <f>'[1]D4 Gallon Forecast'!L$16</f>
        <v>0</v>
      </c>
    </row>
    <row r="42" spans="1:12">
      <c r="A42" s="115" t="s">
        <v>434</v>
      </c>
      <c r="B42" s="116">
        <f>'[1]D5 Gallon Forecast'!B$10</f>
        <v>0</v>
      </c>
      <c r="C42" s="116">
        <f>'[1]D5 Gallon Forecast'!C$10</f>
        <v>0</v>
      </c>
      <c r="D42" s="116">
        <f>'[1]D5 Gallon Forecast'!D$10</f>
        <v>0</v>
      </c>
      <c r="E42" s="116">
        <f>'[1]D5 Gallon Forecast'!E$10</f>
        <v>0</v>
      </c>
      <c r="F42" s="116">
        <f>'[1]D5 Gallon Forecast'!F$10</f>
        <v>0</v>
      </c>
      <c r="G42" s="116">
        <f>'[1]D5 Gallon Forecast'!G$10</f>
        <v>0</v>
      </c>
      <c r="H42" s="116">
        <f>'[1]D5 Gallon Forecast'!H$10</f>
        <v>0</v>
      </c>
      <c r="I42" s="116">
        <f>'[1]D5 Gallon Forecast'!I$10</f>
        <v>0</v>
      </c>
      <c r="J42" s="116">
        <f>'[1]D5 Gallon Forecast'!J$10</f>
        <v>0</v>
      </c>
      <c r="K42" s="117">
        <f>'[1]D5 Gallon Forecast'!K$10</f>
        <v>0</v>
      </c>
      <c r="L42" s="117">
        <f>'[1]D5 Gallon Forecast'!L$10</f>
        <v>0</v>
      </c>
    </row>
    <row r="43" spans="1:12">
      <c r="A43" s="115" t="s">
        <v>435</v>
      </c>
      <c r="B43" s="116">
        <f>'[1]D6 Gallon Forecast'!B$14</f>
        <v>0</v>
      </c>
      <c r="C43" s="116">
        <f>'[1]D6 Gallon Forecast'!C$14</f>
        <v>0</v>
      </c>
      <c r="D43" s="116">
        <f>'[1]D6 Gallon Forecast'!D$14</f>
        <v>0</v>
      </c>
      <c r="E43" s="116">
        <f>'[1]D6 Gallon Forecast'!E$14</f>
        <v>115504168</v>
      </c>
      <c r="F43" s="116">
        <f>'[1]D6 Gallon Forecast'!F$14</f>
        <v>151391926</v>
      </c>
      <c r="G43" s="116">
        <f>'[1]D6 Gallon Forecast'!G$14</f>
        <v>200531415</v>
      </c>
      <c r="H43" s="116">
        <f>'[1]D6 Gallon Forecast'!H$14</f>
        <v>165657065</v>
      </c>
      <c r="I43" s="116">
        <f>'[1]D6 Gallon Forecast'!I$14</f>
        <v>144107197</v>
      </c>
      <c r="J43" s="116">
        <f>'[1]D6 Gallon Forecast'!J$14</f>
        <v>106508829</v>
      </c>
      <c r="K43" s="117">
        <f>'[1]D6 Gallon Forecast'!K$14</f>
        <v>116353451</v>
      </c>
      <c r="L43" s="117">
        <f>'[1]D6 Gallon Forecast'!L$14</f>
        <v>76268925</v>
      </c>
    </row>
    <row r="44" spans="1:12">
      <c r="A44" s="115" t="s">
        <v>433</v>
      </c>
      <c r="B44" s="116">
        <f>'[1]D6 Gallon Forecast'!B$15</f>
        <v>0</v>
      </c>
      <c r="C44" s="116">
        <f>'[1]D6 Gallon Forecast'!C$15</f>
        <v>0</v>
      </c>
      <c r="D44" s="116">
        <f>'[1]D6 Gallon Forecast'!D$15</f>
        <v>0</v>
      </c>
      <c r="E44" s="116">
        <f>'[1]D6 Gallon Forecast'!E$15</f>
        <v>0</v>
      </c>
      <c r="F44" s="116">
        <f>'[1]D6 Gallon Forecast'!F$15</f>
        <v>0</v>
      </c>
      <c r="G44" s="116">
        <f>'[1]D6 Gallon Forecast'!G$15</f>
        <v>0</v>
      </c>
      <c r="H44" s="116">
        <f>'[1]D6 Gallon Forecast'!H$15</f>
        <v>0</v>
      </c>
      <c r="I44" s="116">
        <f>'[1]D6 Gallon Forecast'!I$15</f>
        <v>0</v>
      </c>
      <c r="J44" s="116">
        <f>'[1]D6 Gallon Forecast'!J$15</f>
        <v>0</v>
      </c>
      <c r="K44" s="117">
        <f>'[1]D6 Gallon Forecast'!K$15</f>
        <v>0</v>
      </c>
      <c r="L44" s="117">
        <f>'[1]D6 Gallon Forecast'!L$15</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Small Refinery Exemptions</vt:lpstr>
      <vt:lpstr>Final % Std</vt:lpstr>
      <vt:lpstr>RFS % Std Formula</vt:lpstr>
      <vt:lpstr>Mandate Levels and Rules</vt:lpstr>
      <vt:lpstr>RVO Table</vt:lpstr>
      <vt:lpstr>RVO Forecast</vt:lpstr>
      <vt:lpstr>RIN Balance Sheet</vt:lpstr>
      <vt:lpstr>RIN Carryover</vt:lpstr>
      <vt:lpstr>D3 RIN Balance Sheet</vt:lpstr>
      <vt:lpstr>D4 RIN Balance Sheet</vt:lpstr>
      <vt:lpstr>D5 RIN Balance Sheet</vt:lpstr>
      <vt:lpstr>D6 RIN Balance Sheet</vt:lpstr>
      <vt:lpstr>D7 RIN Balance Sheet</vt:lpstr>
      <vt:lpstr>RIN Retirements</vt:lpstr>
      <vt:lpstr>RIN Assignments-Separations</vt:lpstr>
      <vt:lpstr>Fuel Balance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Tore Alden</dc:creator>
  <cp:lastModifiedBy>Tore Alden</cp:lastModifiedBy>
  <dcterms:created xsi:type="dcterms:W3CDTF">2025-07-17T08:53:40Z</dcterms:created>
  <dcterms:modified xsi:type="dcterms:W3CDTF">2025-09-03T07:45:02Z</dcterms:modified>
</cp:coreProperties>
</file>